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2.xml" ContentType="application/vnd.openxmlformats-officedocument.drawing+xml"/>
  <Override PartName="/xl/comments9.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3.xml" ContentType="application/vnd.openxmlformats-officedocument.drawing+xml"/>
  <Override PartName="/xl/comments14.xml" ContentType="application/vnd.openxmlformats-officedocument.spreadsheetml.comments+xml"/>
  <Override PartName="/xl/charts/chart4.xml" ContentType="application/vnd.openxmlformats-officedocument.drawingml.chart+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Users\ls754f\Documents\Produc Strategy\Boeing\"/>
    </mc:Choice>
  </mc:AlternateContent>
  <xr:revisionPtr revIDLastSave="0" documentId="8_{CAFEC1AA-10E8-4D7E-BD61-3E1DA127A070}" xr6:coauthVersionLast="47" xr6:coauthVersionMax="47" xr10:uidLastSave="{00000000-0000-0000-0000-000000000000}"/>
  <bookViews>
    <workbookView xWindow="-120" yWindow="-120" windowWidth="29040" windowHeight="15720" tabRatio="801" firstSheet="14" activeTab="14" xr2:uid="{00000000-000D-0000-FFFF-FFFF00000000}"/>
  </bookViews>
  <sheets>
    <sheet name="CircularReferenceAlert" sheetId="72" r:id="rId1"/>
    <sheet name="ImportantDisclosures" sheetId="69" r:id="rId2"/>
    <sheet name="Financial Summary" sheetId="20" r:id="rId3"/>
    <sheet name="Income_Statement_Annual" sheetId="15" r:id="rId4"/>
    <sheet name="Income_Statement_Qtr" sheetId="13" r:id="rId5"/>
    <sheet name="Balance_Sheet_Annual" sheetId="18" r:id="rId6"/>
    <sheet name="Balance_Sheet_Qtr" sheetId="17" r:id="rId7"/>
    <sheet name="Cash_Flow_Annual" sheetId="16" r:id="rId8"/>
    <sheet name="Cash_Flow_Qtr" sheetId="14" r:id="rId9"/>
    <sheet name="Debt_Annual" sheetId="32" r:id="rId10"/>
    <sheet name="Debt_Qtr " sheetId="31" r:id="rId11"/>
    <sheet name="Inventory" sheetId="48" r:id="rId12"/>
    <sheet name="Customer Advances" sheetId="52" r:id="rId13"/>
    <sheet name="BCA_Annual" sheetId="7" r:id="rId14"/>
    <sheet name="BCA_Qtr" sheetId="1" r:id="rId15"/>
    <sheet name="BCA_Deliveries_Annual" sheetId="8" r:id="rId16"/>
    <sheet name="BCA_Deliveries_Qtr" sheetId="5" r:id="rId17"/>
    <sheet name="BCA_Model_Annual" sheetId="46" r:id="rId18"/>
    <sheet name="BDS_Annual" sheetId="10" r:id="rId19"/>
    <sheet name="BDS_Qtr" sheetId="2" r:id="rId20"/>
    <sheet name="BDS_Driver_Annual" sheetId="47" r:id="rId21"/>
    <sheet name="BDS_Deliveries_Annual" sheetId="40" r:id="rId22"/>
    <sheet name="BDS_Deliveries_Qtr" sheetId="41" r:id="rId23"/>
    <sheet name="BGS_Annual" sheetId="11" r:id="rId24"/>
    <sheet name="BGS_Qtr" sheetId="4" r:id="rId25"/>
    <sheet name="IndexInformation" sheetId="70" r:id="rId26"/>
    <sheet name="ModPubIndex" sheetId="71" r:id="rId27"/>
  </sheets>
  <definedNames>
    <definedName name="_bdm.FastTrackBookmark.4_16_2024_3_54_44_PM.edm" hidden="1">#REF!</definedName>
    <definedName name="africa">0.01</definedName>
    <definedName name="africaCountries">#REF!</definedName>
    <definedName name="allRegions">#REF!</definedName>
    <definedName name="americaRegion">#REF!</definedName>
    <definedName name="americas">0.55</definedName>
    <definedName name="americasStates">#REF!</definedName>
    <definedName name="AppVersion">"GEG-1.0"</definedName>
    <definedName name="asiaPacific">0.22</definedName>
    <definedName name="asiaPacificExJapan">0.11</definedName>
    <definedName name="asiaPacificExJapanCountries">#REF!</definedName>
    <definedName name="asiaPacificRegion">#REF!</definedName>
    <definedName name="asiaPacificStates">#REF!</definedName>
    <definedName name="australasia">0.02</definedName>
    <definedName name="BRICS">0.1</definedName>
    <definedName name="centralEasternEurope">0.03</definedName>
    <definedName name="centralEasternEuropeCountries">#REF!</definedName>
    <definedName name="china">0.07</definedName>
    <definedName name="consumerDemandExposure">#REF!</definedName>
    <definedName name="consumersExposure">0</definedName>
    <definedName name="countryList">"Country Mapping"</definedName>
    <definedName name="developedEuropeExUK">0.07</definedName>
    <definedName name="developedEuropeExUKCountries">#REF!</definedName>
    <definedName name="domesticAndForeignExposure">#REF!</definedName>
    <definedName name="domesticCostExposure">#REF!</definedName>
    <definedName name="EEMEA">0.15</definedName>
    <definedName name="endDemandExposure">#REF!</definedName>
    <definedName name="europe">0.11</definedName>
    <definedName name="europeRegion">#REF!</definedName>
    <definedName name="europeStates">#REF!</definedName>
    <definedName name="india">0.02</definedName>
    <definedName name="instructions">#REF!</definedName>
    <definedName name="IQ_CH">110000</definedName>
    <definedName name="IQ_CQ">5000</definedName>
    <definedName name="IQ_CY">10000</definedName>
    <definedName name="IQ_DAILY">500000</definedName>
    <definedName name="IQ_FH">100000</definedName>
    <definedName name="IQ_FQ">500</definedName>
    <definedName name="IQ_FY">1000</definedName>
    <definedName name="IQ_LTM">2000</definedName>
    <definedName name="IQ_MONTH">15000</definedName>
    <definedName name="IQ_NTM">6000</definedName>
    <definedName name="IQ_WEEK">50000</definedName>
    <definedName name="IQ_YTD">3000</definedName>
    <definedName name="italy">0.01</definedName>
    <definedName name="japan">0.02</definedName>
    <definedName name="latinAmerica">0.03</definedName>
    <definedName name="latinAmericaCountries">#REF!</definedName>
    <definedName name="Linking_1">#REF!</definedName>
    <definedName name="Linking_2">BCA_Model_Annual!$AW$38:$AY$51</definedName>
    <definedName name="middleEast">0.11</definedName>
    <definedName name="middleEastAfrica">0.12</definedName>
    <definedName name="middleEastAfricaRegion">#REF!</definedName>
    <definedName name="middleEastAfricaStates">#REF!</definedName>
    <definedName name="northAmerica">0.52</definedName>
    <definedName name="northAmericaCountries">#REF!</definedName>
    <definedName name="otherAfrica">0.01</definedName>
    <definedName name="otherAsiaPacific">0.06</definedName>
    <definedName name="otherCentralEasternEurope">0.02</definedName>
    <definedName name="otherDevelopedEurope">0.03</definedName>
    <definedName name="otherLATAM">0.03</definedName>
    <definedName name="regionalCostExposure">#REF!</definedName>
    <definedName name="rngBRICS">#REF!,#REF!,#REF!,#REF!</definedName>
    <definedName name="rngContinentWiseValue">#REF!</definedName>
    <definedName name="rngCountryWiseValue">#REF!</definedName>
    <definedName name="rngEEMEA">#REF!,#REF!,#REF!,#REF!</definedName>
    <definedName name="rngStateWiseValue">#REF!</definedName>
    <definedName name="rngTotalRegionExposure">1</definedName>
    <definedName name="showVersionCheckMessage">1</definedName>
    <definedName name="socioEconomicRegion">#REF!</definedName>
    <definedName name="socioEconomicRegions">#REF!</definedName>
    <definedName name="solver_adj" localSheetId="19" hidden="1">BDS_Qtr!$AZ$26:$BB$26</definedName>
    <definedName name="solver_adj" localSheetId="4" hidden="1">Income_Statement_Qtr!$AZ$90:$BC$90</definedName>
    <definedName name="solver_cvg" localSheetId="19" hidden="1">0.0001</definedName>
    <definedName name="solver_cvg" localSheetId="4" hidden="1">0.0001</definedName>
    <definedName name="solver_drv" localSheetId="19" hidden="1">2</definedName>
    <definedName name="solver_drv" localSheetId="4" hidden="1">1</definedName>
    <definedName name="solver_eng" localSheetId="19" hidden="1">1</definedName>
    <definedName name="solver_eng" localSheetId="4" hidden="1">1</definedName>
    <definedName name="solver_est" localSheetId="19" hidden="1">1</definedName>
    <definedName name="solver_est" localSheetId="4" hidden="1">1</definedName>
    <definedName name="solver_itr" localSheetId="19" hidden="1">2147483647</definedName>
    <definedName name="solver_itr" localSheetId="4" hidden="1">2147483647</definedName>
    <definedName name="solver_mip" localSheetId="19" hidden="1">2147483647</definedName>
    <definedName name="solver_mip" localSheetId="4" hidden="1">2147483647</definedName>
    <definedName name="solver_mni" localSheetId="19" hidden="1">30</definedName>
    <definedName name="solver_mni" localSheetId="4" hidden="1">30</definedName>
    <definedName name="solver_mrt" localSheetId="19" hidden="1">0.075</definedName>
    <definedName name="solver_mrt" localSheetId="4" hidden="1">0.075</definedName>
    <definedName name="solver_msl" localSheetId="19" hidden="1">2</definedName>
    <definedName name="solver_msl" localSheetId="4" hidden="1">2</definedName>
    <definedName name="solver_neg" localSheetId="19" hidden="1">1</definedName>
    <definedName name="solver_neg" localSheetId="4" hidden="1">1</definedName>
    <definedName name="solver_nod" localSheetId="19" hidden="1">2147483647</definedName>
    <definedName name="solver_nod" localSheetId="4" hidden="1">2147483647</definedName>
    <definedName name="solver_num" localSheetId="19" hidden="1">0</definedName>
    <definedName name="solver_num" localSheetId="4" hidden="1">0</definedName>
    <definedName name="solver_nwt" localSheetId="19" hidden="1">1</definedName>
    <definedName name="solver_nwt" localSheetId="4" hidden="1">1</definedName>
    <definedName name="solver_opt" localSheetId="19" hidden="1">BDS_Qtr!$BD$25</definedName>
    <definedName name="solver_opt" localSheetId="4" hidden="1">Income_Statement_Qtr!$BD$90</definedName>
    <definedName name="solver_pre" localSheetId="19" hidden="1">0.000001</definedName>
    <definedName name="solver_pre" localSheetId="4" hidden="1">0.000001</definedName>
    <definedName name="solver_rbv" localSheetId="19" hidden="1">2</definedName>
    <definedName name="solver_rbv" localSheetId="4" hidden="1">1</definedName>
    <definedName name="solver_rlx" localSheetId="19" hidden="1">2</definedName>
    <definedName name="solver_rlx" localSheetId="4" hidden="1">2</definedName>
    <definedName name="solver_rsd" localSheetId="19" hidden="1">0</definedName>
    <definedName name="solver_rsd" localSheetId="4" hidden="1">0</definedName>
    <definedName name="solver_scl" localSheetId="19" hidden="1">2</definedName>
    <definedName name="solver_scl" localSheetId="4" hidden="1">1</definedName>
    <definedName name="solver_sho" localSheetId="19" hidden="1">2</definedName>
    <definedName name="solver_sho" localSheetId="4" hidden="1">2</definedName>
    <definedName name="solver_ssz" localSheetId="19" hidden="1">100</definedName>
    <definedName name="solver_ssz" localSheetId="4" hidden="1">100</definedName>
    <definedName name="solver_tim" localSheetId="19" hidden="1">2147483647</definedName>
    <definedName name="solver_tim" localSheetId="4" hidden="1">2147483647</definedName>
    <definedName name="solver_tol" localSheetId="19" hidden="1">0.01</definedName>
    <definedName name="solver_tol" localSheetId="4" hidden="1">0.01</definedName>
    <definedName name="solver_typ" localSheetId="19" hidden="1">3</definedName>
    <definedName name="solver_typ" localSheetId="4" hidden="1">3</definedName>
    <definedName name="solver_val" localSheetId="19" hidden="1">0</definedName>
    <definedName name="solver_val" localSheetId="4" hidden="1">0.15</definedName>
    <definedName name="solver_ver" localSheetId="19" hidden="1">3</definedName>
    <definedName name="solver_ver" localSheetId="4" hidden="1">3</definedName>
    <definedName name="spain">0.01</definedName>
    <definedName name="totalConsumerDemandExposure">0</definedName>
    <definedName name="totalDomesticCostExposure">#REF!</definedName>
    <definedName name="totalDomesticRevenueExposure">#REF!</definedName>
    <definedName name="totalEndDemandRevenueExposure">#REF!</definedName>
    <definedName name="totalRegionCostExposure">#REF!</definedName>
    <definedName name="totalRegionRevenueExposure">#REF!</definedName>
    <definedName name="uk">0.01</definedName>
    <definedName name="ValidDateTable">#REF!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4" i="52" l="1"/>
  <c r="BF33" i="17"/>
  <c r="BG33" i="17" s="1"/>
  <c r="BE33" i="17"/>
  <c r="BF32" i="17"/>
  <c r="BG32" i="17" s="1"/>
  <c r="BE32" i="17"/>
  <c r="BE79" i="13"/>
  <c r="CI41" i="48" l="1"/>
  <c r="R35" i="48"/>
  <c r="R34" i="48"/>
  <c r="Q35" i="48"/>
  <c r="Q34" i="48"/>
  <c r="CH34" i="48"/>
  <c r="CI34" i="48"/>
  <c r="CH35" i="48"/>
  <c r="CI35" i="48"/>
  <c r="CJ18" i="48"/>
  <c r="CK18" i="48" s="1"/>
  <c r="CL18" i="48" s="1"/>
  <c r="CM18" i="48" s="1"/>
  <c r="CJ17" i="48"/>
  <c r="CK17" i="48" s="1"/>
  <c r="CL17" i="48" s="1"/>
  <c r="CM17" i="48" s="1"/>
  <c r="BD30" i="4"/>
  <c r="BC30" i="4"/>
  <c r="BM75" i="17"/>
  <c r="BN75" i="17"/>
  <c r="BO75" i="17"/>
  <c r="BP75" i="17"/>
  <c r="BM76" i="17"/>
  <c r="BN76" i="17"/>
  <c r="BO76" i="17"/>
  <c r="BP76" i="17"/>
  <c r="BM77" i="17"/>
  <c r="BN77" i="17"/>
  <c r="BO77" i="17"/>
  <c r="BP77" i="17"/>
  <c r="BM78" i="17"/>
  <c r="BN78" i="17"/>
  <c r="BO78" i="17"/>
  <c r="BP78" i="17"/>
  <c r="BM79" i="17"/>
  <c r="BN79" i="17"/>
  <c r="BO79" i="17"/>
  <c r="BP79" i="17"/>
  <c r="BM80" i="17"/>
  <c r="BN80" i="17"/>
  <c r="BO80" i="17"/>
  <c r="BP80" i="17"/>
  <c r="BL75" i="17"/>
  <c r="BL76" i="17"/>
  <c r="BL77" i="17"/>
  <c r="BL78" i="17"/>
  <c r="BL79" i="17"/>
  <c r="BL80" i="17"/>
  <c r="BM67" i="17"/>
  <c r="BN67" i="17"/>
  <c r="BO67" i="17"/>
  <c r="BP67" i="17"/>
  <c r="BL67" i="17"/>
  <c r="BH32" i="17"/>
  <c r="BI32" i="17"/>
  <c r="AL13" i="46" l="1"/>
  <c r="AM13" i="46"/>
  <c r="AN13" i="46"/>
  <c r="AO13" i="46"/>
  <c r="AO39" i="46"/>
  <c r="BD56" i="13"/>
  <c r="BC56" i="13"/>
  <c r="BB56" i="13"/>
  <c r="BA56" i="13"/>
  <c r="BA82" i="17" l="1"/>
  <c r="BD35" i="1"/>
  <c r="AZ56" i="13"/>
  <c r="BC201" i="31"/>
  <c r="BC202" i="31"/>
  <c r="CI124" i="48"/>
  <c r="Q19" i="48"/>
  <c r="Q21" i="48"/>
  <c r="Q22" i="48"/>
  <c r="Q61" i="52"/>
  <c r="BC65" i="31"/>
  <c r="BC67" i="31"/>
  <c r="BC66" i="31"/>
  <c r="BD82" i="17"/>
  <c r="BD79" i="17"/>
  <c r="BD78" i="17"/>
  <c r="BD77" i="17"/>
  <c r="BD76" i="17"/>
  <c r="BD75" i="17"/>
  <c r="BD74" i="17"/>
  <c r="BD71" i="17"/>
  <c r="BD70" i="17"/>
  <c r="BD69" i="17"/>
  <c r="BD68" i="17"/>
  <c r="BD32" i="17"/>
  <c r="BD33" i="17"/>
  <c r="BD34" i="17"/>
  <c r="BD35" i="17"/>
  <c r="BD36" i="17"/>
  <c r="BD31" i="17"/>
  <c r="BD24" i="17"/>
  <c r="BD23" i="17"/>
  <c r="BD22" i="17"/>
  <c r="BD21" i="17"/>
  <c r="BD20" i="17"/>
  <c r="BD19" i="17"/>
  <c r="BD18" i="17"/>
  <c r="BD14" i="17"/>
  <c r="BD13" i="17"/>
  <c r="BD12" i="17"/>
  <c r="BD11" i="17"/>
  <c r="BD10" i="17"/>
  <c r="BD9" i="17"/>
  <c r="BD8" i="17"/>
  <c r="BD7" i="17"/>
  <c r="BD6" i="17"/>
  <c r="BC14" i="17"/>
  <c r="BC68" i="14"/>
  <c r="BC69" i="14" s="1"/>
  <c r="BB68" i="14"/>
  <c r="BB69" i="14" s="1"/>
  <c r="BA68" i="14"/>
  <c r="BA69" i="14" s="1"/>
  <c r="AZ68" i="14"/>
  <c r="AZ69" i="14" s="1"/>
  <c r="AX69" i="14"/>
  <c r="AX68" i="14"/>
  <c r="AW68" i="14"/>
  <c r="BC58" i="14"/>
  <c r="BC57" i="14"/>
  <c r="BC54" i="14"/>
  <c r="BC53" i="14"/>
  <c r="BC52" i="14"/>
  <c r="BC51" i="14"/>
  <c r="BC50" i="14"/>
  <c r="BC49" i="14"/>
  <c r="BC48" i="14"/>
  <c r="BC47" i="14"/>
  <c r="BC46" i="14"/>
  <c r="BC45" i="14"/>
  <c r="BC44" i="14"/>
  <c r="BC40" i="14"/>
  <c r="BC39" i="14"/>
  <c r="BC38" i="14"/>
  <c r="BC37" i="14"/>
  <c r="BC36" i="14"/>
  <c r="BC35" i="14"/>
  <c r="BC34" i="14"/>
  <c r="BC33" i="14"/>
  <c r="BC32" i="14"/>
  <c r="BD40" i="14"/>
  <c r="BD13" i="14"/>
  <c r="BC22" i="14"/>
  <c r="BC13" i="14"/>
  <c r="BC12" i="14"/>
  <c r="BC10" i="14"/>
  <c r="BC9" i="14"/>
  <c r="BC7" i="14"/>
  <c r="BC6" i="14"/>
  <c r="BD105" i="13"/>
  <c r="BD106" i="13" s="1"/>
  <c r="BD101" i="13"/>
  <c r="BD100" i="13"/>
  <c r="BD76" i="13"/>
  <c r="BC76" i="13"/>
  <c r="BC90" i="13"/>
  <c r="BD67" i="13"/>
  <c r="BD66" i="13"/>
  <c r="BD114" i="13"/>
  <c r="BD128" i="13"/>
  <c r="BD127" i="13"/>
  <c r="BD126" i="13"/>
  <c r="BD55" i="13"/>
  <c r="BD54" i="13"/>
  <c r="BD53" i="13"/>
  <c r="BD49" i="13"/>
  <c r="BD48" i="13"/>
  <c r="BD43" i="13"/>
  <c r="BD39" i="13"/>
  <c r="BD30" i="13"/>
  <c r="BD29" i="13"/>
  <c r="BD28" i="13"/>
  <c r="BD27" i="13"/>
  <c r="BD26" i="13"/>
  <c r="BD25" i="13"/>
  <c r="BD23" i="13"/>
  <c r="BD22" i="13"/>
  <c r="BD19" i="4"/>
  <c r="BD20" i="4" s="1"/>
  <c r="BD15" i="4"/>
  <c r="BD14" i="4"/>
  <c r="BD10" i="4"/>
  <c r="BD11" i="4" s="1"/>
  <c r="BD8" i="4"/>
  <c r="BD7" i="4"/>
  <c r="BC6" i="4"/>
  <c r="BC7" i="4" s="1"/>
  <c r="BD4" i="4"/>
  <c r="BC3" i="4"/>
  <c r="AA47" i="47"/>
  <c r="AA4" i="47"/>
  <c r="AA5" i="47"/>
  <c r="AA6" i="47"/>
  <c r="AA7" i="47"/>
  <c r="AA8" i="47"/>
  <c r="AA9" i="47"/>
  <c r="AA10" i="47"/>
  <c r="AA11" i="47"/>
  <c r="AA12" i="47"/>
  <c r="AA13" i="47"/>
  <c r="AA14" i="47"/>
  <c r="AA15" i="47"/>
  <c r="AA16" i="47"/>
  <c r="AA17" i="47"/>
  <c r="AA18" i="47"/>
  <c r="AA19" i="47"/>
  <c r="AA27" i="40"/>
  <c r="AA26" i="40"/>
  <c r="AA25" i="40"/>
  <c r="AA24" i="40"/>
  <c r="AA23" i="40"/>
  <c r="AA7" i="40"/>
  <c r="AA8" i="40"/>
  <c r="AA9" i="40"/>
  <c r="AA10" i="40"/>
  <c r="AA11" i="40"/>
  <c r="AA12" i="40"/>
  <c r="AA13" i="40"/>
  <c r="AA14" i="40"/>
  <c r="AA15" i="40"/>
  <c r="AA16" i="40"/>
  <c r="AA17" i="40"/>
  <c r="AA18" i="40"/>
  <c r="AA19" i="40"/>
  <c r="AA20" i="40"/>
  <c r="AA21" i="40"/>
  <c r="AA6" i="40"/>
  <c r="BD27" i="41"/>
  <c r="BC26" i="41"/>
  <c r="BC25" i="41"/>
  <c r="BC24" i="41"/>
  <c r="BC23" i="41"/>
  <c r="BC21" i="41"/>
  <c r="BC20" i="41"/>
  <c r="BC19" i="41"/>
  <c r="BC18" i="41"/>
  <c r="BC17" i="41"/>
  <c r="BC16" i="41"/>
  <c r="BC15" i="41"/>
  <c r="BC14" i="41"/>
  <c r="BC13" i="41"/>
  <c r="BC12" i="41"/>
  <c r="BC11" i="41"/>
  <c r="BC10" i="41"/>
  <c r="BC9" i="41"/>
  <c r="BC8" i="41"/>
  <c r="BC7" i="41"/>
  <c r="BC6" i="41"/>
  <c r="BD2" i="41"/>
  <c r="BC2" i="41"/>
  <c r="BC27" i="2"/>
  <c r="BB27" i="2"/>
  <c r="BA27" i="2"/>
  <c r="BD27" i="2" s="1"/>
  <c r="AZ27" i="2"/>
  <c r="BC26" i="2"/>
  <c r="BB26" i="2"/>
  <c r="BA26" i="2"/>
  <c r="BD26" i="2" s="1"/>
  <c r="AZ26" i="2"/>
  <c r="BD19" i="2"/>
  <c r="BD20" i="2" s="1"/>
  <c r="BD15" i="2"/>
  <c r="BD14" i="2"/>
  <c r="BD10" i="2"/>
  <c r="BD11" i="2" s="1"/>
  <c r="BD8" i="2"/>
  <c r="BD7" i="2"/>
  <c r="BC6" i="2"/>
  <c r="BC7" i="2" s="1"/>
  <c r="BD4" i="2"/>
  <c r="BC3" i="2"/>
  <c r="AA61" i="46"/>
  <c r="AA6" i="8"/>
  <c r="AA7" i="8"/>
  <c r="AA8" i="8"/>
  <c r="AA9" i="8"/>
  <c r="AA10" i="8"/>
  <c r="AA11" i="8"/>
  <c r="AA12" i="8"/>
  <c r="AA13" i="8"/>
  <c r="AA5" i="8"/>
  <c r="BD13" i="5"/>
  <c r="BC8" i="5"/>
  <c r="BC7" i="5"/>
  <c r="BC6" i="5"/>
  <c r="BC4" i="5"/>
  <c r="AA32" i="46"/>
  <c r="BC55" i="14" l="1"/>
  <c r="BC41" i="14"/>
  <c r="BD24" i="13"/>
  <c r="BC24" i="13" s="1"/>
  <c r="BC31" i="13" s="1"/>
  <c r="BD31" i="13"/>
  <c r="BC19" i="4"/>
  <c r="BC13" i="4" s="1"/>
  <c r="BC10" i="4" s="1"/>
  <c r="BC11" i="4" s="1"/>
  <c r="BC4" i="4"/>
  <c r="BC14" i="4"/>
  <c r="BC15" i="4"/>
  <c r="BC8" i="4"/>
  <c r="BD22" i="4"/>
  <c r="BD23" i="4" s="1"/>
  <c r="BC20" i="4"/>
  <c r="BC27" i="41"/>
  <c r="BC19" i="2"/>
  <c r="BC13" i="2" s="1"/>
  <c r="BC10" i="2" s="1"/>
  <c r="BC11" i="2" s="1"/>
  <c r="BC4" i="2"/>
  <c r="BC22" i="2"/>
  <c r="BC23" i="2" s="1"/>
  <c r="BC8" i="2"/>
  <c r="BD22" i="2"/>
  <c r="BD23" i="2" s="1"/>
  <c r="BC22" i="4" l="1"/>
  <c r="BC23" i="4" s="1"/>
  <c r="BC14" i="2"/>
  <c r="BC20" i="2"/>
  <c r="BC15" i="2"/>
  <c r="BC6" i="1" l="1"/>
  <c r="BC8" i="1" s="1"/>
  <c r="BD19" i="1"/>
  <c r="BD22" i="1" s="1"/>
  <c r="BD23" i="1" s="1"/>
  <c r="BD17" i="1"/>
  <c r="BD15" i="1"/>
  <c r="BD14" i="1"/>
  <c r="BD10" i="1"/>
  <c r="BD11" i="1" s="1"/>
  <c r="BD8" i="1"/>
  <c r="BD7" i="1"/>
  <c r="BD4" i="1"/>
  <c r="BC7" i="1" l="1"/>
  <c r="BD20" i="1"/>
  <c r="S41" i="48" l="1"/>
  <c r="AE20" i="46"/>
  <c r="AF20" i="46" s="1"/>
  <c r="AE16" i="46"/>
  <c r="AF16" i="46" s="1"/>
  <c r="V10" i="52" l="1"/>
  <c r="W10" i="52" s="1"/>
  <c r="V9" i="52"/>
  <c r="W9" i="52" s="1"/>
  <c r="V8" i="52"/>
  <c r="W8" i="52" s="1"/>
  <c r="V7" i="52"/>
  <c r="W7" i="52" s="1"/>
  <c r="V6" i="52"/>
  <c r="W6" i="52" s="1"/>
  <c r="V162" i="48"/>
  <c r="V108" i="48"/>
  <c r="V104" i="48"/>
  <c r="V94" i="48"/>
  <c r="V91" i="48"/>
  <c r="V90" i="48" s="1"/>
  <c r="V92" i="48" s="1"/>
  <c r="V80" i="48"/>
  <c r="V77" i="48"/>
  <c r="V76" i="48" s="1"/>
  <c r="V78" i="48" s="1"/>
  <c r="V45" i="48"/>
  <c r="V41" i="48"/>
  <c r="V9" i="48"/>
  <c r="V5" i="48"/>
  <c r="V4" i="48" s="1"/>
  <c r="V2" i="48"/>
  <c r="AF2" i="16"/>
  <c r="AF85" i="16"/>
  <c r="AF173" i="15"/>
  <c r="BI175" i="13"/>
  <c r="BG175" i="13"/>
  <c r="BF175" i="13"/>
  <c r="BE175" i="13"/>
  <c r="AF93" i="15"/>
  <c r="AF92" i="15"/>
  <c r="AF86" i="15"/>
  <c r="AF59" i="15"/>
  <c r="AF24" i="15"/>
  <c r="AF2" i="18"/>
  <c r="AF67" i="32"/>
  <c r="AF34" i="18" s="1"/>
  <c r="AF2" i="32"/>
  <c r="AF38" i="7"/>
  <c r="AF31" i="7"/>
  <c r="AF32" i="7" s="1"/>
  <c r="AF40" i="7" s="1"/>
  <c r="AF2" i="7"/>
  <c r="AF13" i="8"/>
  <c r="AF12" i="8"/>
  <c r="AF11" i="8"/>
  <c r="AF10" i="8"/>
  <c r="AF7" i="8"/>
  <c r="AF6" i="8"/>
  <c r="AF2" i="8"/>
  <c r="AF86" i="46"/>
  <c r="AF59" i="46"/>
  <c r="AF58" i="46"/>
  <c r="AF57" i="46"/>
  <c r="AF56" i="46"/>
  <c r="AF53" i="46"/>
  <c r="AF68" i="46" s="1"/>
  <c r="AF52" i="46"/>
  <c r="AF67" i="46" s="1"/>
  <c r="AF48" i="46"/>
  <c r="AF8" i="46"/>
  <c r="AF33" i="46" s="1"/>
  <c r="AF7" i="46"/>
  <c r="AF54" i="46" s="1"/>
  <c r="AF69" i="46" s="1"/>
  <c r="AF4" i="46"/>
  <c r="AF51" i="46" s="1"/>
  <c r="AF2" i="46"/>
  <c r="AF36" i="10"/>
  <c r="AF2" i="10"/>
  <c r="AF21" i="40"/>
  <c r="AF20" i="40"/>
  <c r="AF19" i="40"/>
  <c r="AF18" i="40"/>
  <c r="AF17" i="40"/>
  <c r="AF16" i="40"/>
  <c r="AF15" i="40"/>
  <c r="AF14" i="40"/>
  <c r="AF13" i="40"/>
  <c r="AF12" i="40"/>
  <c r="AF11" i="40"/>
  <c r="AF10" i="40"/>
  <c r="AF9" i="40"/>
  <c r="AF8" i="40"/>
  <c r="AF7" i="40"/>
  <c r="AF6" i="40"/>
  <c r="AF66" i="47"/>
  <c r="AF20" i="47"/>
  <c r="AF2" i="47"/>
  <c r="AF2" i="40"/>
  <c r="AF23" i="11"/>
  <c r="AF2" i="11"/>
  <c r="AB123" i="18"/>
  <c r="AB117" i="18"/>
  <c r="AB115" i="18"/>
  <c r="AB113" i="18"/>
  <c r="AB104" i="18"/>
  <c r="AB100" i="18"/>
  <c r="AB97" i="18"/>
  <c r="AB95" i="18"/>
  <c r="AB92" i="18"/>
  <c r="AB75" i="18"/>
  <c r="AB70" i="18"/>
  <c r="AB69" i="18"/>
  <c r="AB68" i="18"/>
  <c r="AB129" i="15"/>
  <c r="AB127" i="15"/>
  <c r="AB126" i="15"/>
  <c r="AB114" i="15"/>
  <c r="AB113" i="15"/>
  <c r="AB112" i="15"/>
  <c r="AB101" i="15"/>
  <c r="AB67" i="15"/>
  <c r="AB66" i="15"/>
  <c r="AB55" i="15"/>
  <c r="AB54" i="15"/>
  <c r="AB53" i="15"/>
  <c r="AB44" i="15"/>
  <c r="AB39" i="15"/>
  <c r="AC39" i="15" s="1"/>
  <c r="AD39" i="15" s="1"/>
  <c r="AE39" i="15" s="1"/>
  <c r="AF39" i="15" s="1"/>
  <c r="AB29" i="15"/>
  <c r="AB28" i="15"/>
  <c r="AB27" i="15"/>
  <c r="AB26" i="15"/>
  <c r="AB25" i="15"/>
  <c r="AB23" i="15"/>
  <c r="AB22" i="15"/>
  <c r="AB19" i="15"/>
  <c r="AB9" i="15"/>
  <c r="AB89" i="16"/>
  <c r="AB88" i="16"/>
  <c r="AB84" i="16"/>
  <c r="AB74" i="16"/>
  <c r="AB71" i="16"/>
  <c r="AB70" i="16"/>
  <c r="AB69" i="16"/>
  <c r="AB63" i="16"/>
  <c r="AB58" i="16"/>
  <c r="AB53" i="16"/>
  <c r="AB51" i="16"/>
  <c r="AB50" i="16"/>
  <c r="AB49" i="16"/>
  <c r="AB48" i="16"/>
  <c r="AB47" i="16"/>
  <c r="AB46" i="16"/>
  <c r="AB40" i="16"/>
  <c r="AB39" i="16"/>
  <c r="AB36" i="16"/>
  <c r="AB35" i="16"/>
  <c r="AB34" i="16"/>
  <c r="AB22" i="16"/>
  <c r="AB13" i="16"/>
  <c r="AB12" i="16"/>
  <c r="AB11" i="16"/>
  <c r="AB10" i="16"/>
  <c r="AB9" i="16"/>
  <c r="AB8" i="16"/>
  <c r="AB7" i="16"/>
  <c r="AB6" i="16"/>
  <c r="AB31" i="7"/>
  <c r="AB22" i="11"/>
  <c r="AB4" i="11"/>
  <c r="AF3" i="46" l="1"/>
  <c r="AF9" i="8"/>
  <c r="AF21" i="8" s="1"/>
  <c r="AF55" i="46"/>
  <c r="AF70" i="46" s="1"/>
  <c r="AF77" i="46" s="1"/>
  <c r="AF5" i="8"/>
  <c r="AF17" i="8" s="1"/>
  <c r="V6" i="48"/>
  <c r="AB24" i="15"/>
  <c r="AF27" i="40"/>
  <c r="AF30" i="46"/>
  <c r="AF44" i="46" s="1"/>
  <c r="AF45" i="7" s="1"/>
  <c r="V40" i="48"/>
  <c r="V42" i="48"/>
  <c r="V43" i="48" s="1"/>
  <c r="V105" i="48"/>
  <c r="V106" i="48" s="1"/>
  <c r="AF8" i="8"/>
  <c r="V7" i="48"/>
  <c r="AF31" i="15"/>
  <c r="AF85" i="46"/>
  <c r="AF76" i="46"/>
  <c r="AF83" i="46"/>
  <c r="AF74" i="46"/>
  <c r="AF75" i="46"/>
  <c r="AF84" i="46"/>
  <c r="AF60" i="46"/>
  <c r="AF62" i="46" s="1"/>
  <c r="AF19" i="7" s="1"/>
  <c r="AF93" i="46"/>
  <c r="AF13" i="46"/>
  <c r="AF14" i="8" s="1"/>
  <c r="AF66" i="46"/>
  <c r="AF32" i="46" l="1"/>
  <c r="AF3" i="7" s="1"/>
  <c r="AF44" i="7" s="1"/>
  <c r="V32" i="52"/>
  <c r="V52" i="52"/>
  <c r="AF3" i="15"/>
  <c r="AF13" i="7"/>
  <c r="AF13" i="15"/>
  <c r="AF63" i="46"/>
  <c r="AF73" i="46"/>
  <c r="AF82" i="46"/>
  <c r="AF22" i="7" l="1"/>
  <c r="AF41" i="7"/>
  <c r="AF15" i="7"/>
  <c r="W32" i="52"/>
  <c r="V19" i="52"/>
  <c r="V28" i="52" s="1"/>
  <c r="V41" i="52"/>
  <c r="U40" i="52"/>
  <c r="W52" i="52"/>
  <c r="W53" i="52" s="1"/>
  <c r="W54" i="52" s="1"/>
  <c r="V53" i="52"/>
  <c r="V54" i="52" s="1"/>
  <c r="AF10" i="7"/>
  <c r="V48" i="52" s="1"/>
  <c r="W48" i="52" s="1"/>
  <c r="W49" i="52" s="1"/>
  <c r="BI92" i="13"/>
  <c r="AB92" i="15" s="1"/>
  <c r="R21" i="48"/>
  <c r="R5" i="48"/>
  <c r="R112" i="48"/>
  <c r="R104" i="48"/>
  <c r="R90" i="48"/>
  <c r="R84" i="48"/>
  <c r="R41" i="48"/>
  <c r="R22" i="48"/>
  <c r="R18" i="48"/>
  <c r="R17" i="48"/>
  <c r="W19" i="52" l="1"/>
  <c r="W28" i="52" s="1"/>
  <c r="X32" i="52"/>
  <c r="V39" i="52" s="1"/>
  <c r="W41" i="52"/>
  <c r="U38" i="52"/>
  <c r="V40" i="52"/>
  <c r="AF47" i="7"/>
  <c r="AF42" i="7"/>
  <c r="U39" i="52"/>
  <c r="CM2" i="48"/>
  <c r="CL2" i="48"/>
  <c r="CK2" i="48"/>
  <c r="CJ2" i="48"/>
  <c r="W40" i="52" l="1"/>
  <c r="Y32" i="52"/>
  <c r="W38" i="52" s="1"/>
  <c r="V38" i="52"/>
  <c r="V37" i="52" s="1"/>
  <c r="V57" i="52" s="1"/>
  <c r="CJ19" i="48"/>
  <c r="W39" i="52" l="1"/>
  <c r="W37" i="52" s="1"/>
  <c r="W57" i="52" s="1"/>
  <c r="W58" i="52"/>
  <c r="CK19" i="48"/>
  <c r="CK23" i="48"/>
  <c r="CM19" i="48" l="1"/>
  <c r="R19" i="48" s="1"/>
  <c r="CL19" i="48"/>
  <c r="CL23" i="48" s="1"/>
  <c r="CK32" i="48"/>
  <c r="CK25" i="48"/>
  <c r="CM25" i="48" l="1"/>
  <c r="CL32" i="48"/>
  <c r="CM23" i="48"/>
  <c r="CL25" i="48"/>
  <c r="CM32" i="48" l="1"/>
  <c r="BI31" i="5" l="1"/>
  <c r="BI27" i="5"/>
  <c r="BI24" i="5"/>
  <c r="BG24" i="5" s="1"/>
  <c r="BI23" i="5"/>
  <c r="BE23" i="5" s="1"/>
  <c r="BI22" i="5"/>
  <c r="BE22" i="5" s="1"/>
  <c r="BI21" i="5"/>
  <c r="BE21" i="5" s="1"/>
  <c r="BI20" i="5"/>
  <c r="BH20" i="5" s="1"/>
  <c r="BI19" i="5"/>
  <c r="BE19" i="5" s="1"/>
  <c r="BI18" i="5"/>
  <c r="BE18" i="5" s="1"/>
  <c r="BI17" i="5"/>
  <c r="BE17" i="5" s="1"/>
  <c r="BI16" i="5"/>
  <c r="BH16" i="5" s="1"/>
  <c r="BH24" i="5"/>
  <c r="BE24" i="5"/>
  <c r="BH23" i="5"/>
  <c r="BG23" i="5"/>
  <c r="BF23" i="5"/>
  <c r="BI12" i="5"/>
  <c r="BI11" i="5"/>
  <c r="BI10" i="5"/>
  <c r="BI9" i="5"/>
  <c r="BI5" i="5"/>
  <c r="BF19" i="5" l="1"/>
  <c r="BG19" i="5"/>
  <c r="BE20" i="5"/>
  <c r="BF20" i="5"/>
  <c r="BG20" i="5"/>
  <c r="BE16" i="5"/>
  <c r="BF16" i="5"/>
  <c r="BG16" i="5"/>
  <c r="BF24" i="5"/>
  <c r="BG18" i="5"/>
  <c r="BF18" i="5"/>
  <c r="BH19" i="5"/>
  <c r="BF22" i="5"/>
  <c r="BF21" i="5"/>
  <c r="BF17" i="5"/>
  <c r="BG22" i="5"/>
  <c r="BH17" i="5"/>
  <c r="BH18" i="5"/>
  <c r="BH21" i="5"/>
  <c r="BH22" i="5"/>
  <c r="BG17" i="5"/>
  <c r="BG21" i="5"/>
  <c r="BG35" i="1" l="1"/>
  <c r="BF35" i="1"/>
  <c r="BF36" i="1" s="1"/>
  <c r="BE35" i="1"/>
  <c r="BG12" i="5"/>
  <c r="BF12" i="5"/>
  <c r="BE12" i="5"/>
  <c r="BG11" i="5"/>
  <c r="BF11" i="5"/>
  <c r="BE11" i="5"/>
  <c r="BG10" i="5"/>
  <c r="BF10" i="5"/>
  <c r="BE10" i="5"/>
  <c r="BG9" i="5"/>
  <c r="BF9" i="5"/>
  <c r="BE9" i="5"/>
  <c r="BG5" i="5"/>
  <c r="BF5" i="5"/>
  <c r="BE5" i="5"/>
  <c r="BF27" i="5"/>
  <c r="BG27" i="5"/>
  <c r="BE27" i="5"/>
  <c r="BG74" i="14"/>
  <c r="BF74" i="14"/>
  <c r="BE74" i="14"/>
  <c r="BG69" i="14"/>
  <c r="BF69" i="14"/>
  <c r="BE69" i="14"/>
  <c r="BG106" i="13"/>
  <c r="BF106" i="13"/>
  <c r="BE106" i="13"/>
  <c r="BG44" i="13"/>
  <c r="BF44" i="13"/>
  <c r="BE44" i="13"/>
  <c r="BG22" i="4"/>
  <c r="BF22" i="4"/>
  <c r="BE22" i="4"/>
  <c r="BG4" i="4"/>
  <c r="BF4" i="4"/>
  <c r="BF3" i="4" s="1"/>
  <c r="BE4" i="4"/>
  <c r="BE3" i="4" s="1"/>
  <c r="BG89" i="14"/>
  <c r="BF89" i="14"/>
  <c r="BE89" i="14"/>
  <c r="BG88" i="14"/>
  <c r="BF88" i="14"/>
  <c r="BE88" i="14"/>
  <c r="BG84" i="14"/>
  <c r="BG92" i="13" s="1"/>
  <c r="BF84" i="14"/>
  <c r="BE84" i="14"/>
  <c r="BE85" i="14" s="1"/>
  <c r="BE93" i="13" s="1"/>
  <c r="BG35" i="14"/>
  <c r="BF35" i="14"/>
  <c r="BE35" i="14"/>
  <c r="BG34" i="14"/>
  <c r="BF34" i="14"/>
  <c r="BE34" i="14"/>
  <c r="BG13" i="14"/>
  <c r="BF13" i="14"/>
  <c r="BE13" i="14"/>
  <c r="BG6" i="14"/>
  <c r="BF6" i="14"/>
  <c r="BE6" i="14"/>
  <c r="BG127" i="13"/>
  <c r="BF127" i="13"/>
  <c r="BE127" i="13"/>
  <c r="BG126" i="13"/>
  <c r="BF126" i="13"/>
  <c r="BE126" i="13"/>
  <c r="BG114" i="13"/>
  <c r="BF114" i="13"/>
  <c r="BE114" i="13"/>
  <c r="BG85" i="13"/>
  <c r="BF85" i="13"/>
  <c r="BE85" i="13"/>
  <c r="BG29" i="13"/>
  <c r="BF29" i="13"/>
  <c r="BE29" i="13"/>
  <c r="BG28" i="13"/>
  <c r="BF28" i="13"/>
  <c r="BE28" i="13"/>
  <c r="BG27" i="13"/>
  <c r="BF27" i="13"/>
  <c r="BE27" i="13"/>
  <c r="BG26" i="13"/>
  <c r="BF26" i="13"/>
  <c r="BE26" i="13"/>
  <c r="BG25" i="13"/>
  <c r="BF25" i="13"/>
  <c r="BE25" i="13"/>
  <c r="BG23" i="13"/>
  <c r="BF23" i="13"/>
  <c r="BF134" i="13" s="1"/>
  <c r="BE23" i="13"/>
  <c r="BE134" i="13" s="1"/>
  <c r="BG9" i="13"/>
  <c r="BF9" i="13"/>
  <c r="BE9" i="13"/>
  <c r="BG22" i="13"/>
  <c r="BG133" i="13" s="1"/>
  <c r="BF22" i="13"/>
  <c r="BE22" i="13"/>
  <c r="BG3" i="4"/>
  <c r="BG59" i="13"/>
  <c r="BF59" i="13"/>
  <c r="BE59" i="13"/>
  <c r="BE54" i="13"/>
  <c r="BF54" i="13" s="1"/>
  <c r="BG54" i="13" s="1"/>
  <c r="BG123" i="17"/>
  <c r="BF123" i="17"/>
  <c r="BE123" i="17"/>
  <c r="BG117" i="17"/>
  <c r="BF117" i="17"/>
  <c r="BE117" i="17"/>
  <c r="BG115" i="17"/>
  <c r="BF115" i="17"/>
  <c r="BE115" i="17"/>
  <c r="BG113" i="17"/>
  <c r="BF113" i="17"/>
  <c r="BE113" i="17"/>
  <c r="BG104" i="17"/>
  <c r="BF104" i="17"/>
  <c r="BE104" i="17"/>
  <c r="BG100" i="17"/>
  <c r="BF100" i="17"/>
  <c r="BE100" i="17"/>
  <c r="BG97" i="17"/>
  <c r="BF97" i="17"/>
  <c r="BE97" i="17"/>
  <c r="BG95" i="17"/>
  <c r="BF95" i="17"/>
  <c r="BE95" i="17"/>
  <c r="BG92" i="17"/>
  <c r="BF92" i="17"/>
  <c r="BE92" i="17"/>
  <c r="BE63" i="14"/>
  <c r="BF63" i="14" s="1"/>
  <c r="BG42" i="1"/>
  <c r="BF42" i="1"/>
  <c r="BE42" i="1"/>
  <c r="BG36" i="1"/>
  <c r="BE36" i="1"/>
  <c r="BG6" i="1"/>
  <c r="BG109" i="13" s="1"/>
  <c r="BF6" i="1"/>
  <c r="BF109" i="13" s="1"/>
  <c r="BE6" i="1"/>
  <c r="BE109" i="13" s="1"/>
  <c r="BG42" i="2"/>
  <c r="BF42" i="2"/>
  <c r="BE42" i="2"/>
  <c r="BG6" i="2"/>
  <c r="BG110" i="13" s="1"/>
  <c r="BF6" i="2"/>
  <c r="BF110" i="13" s="1"/>
  <c r="BE6" i="2"/>
  <c r="BE110" i="13" s="1"/>
  <c r="BG85" i="14" l="1"/>
  <c r="BG93" i="13" s="1"/>
  <c r="BF85" i="14"/>
  <c r="BF93" i="13" s="1"/>
  <c r="BF92" i="13"/>
  <c r="BE44" i="1"/>
  <c r="BG44" i="1"/>
  <c r="BF44" i="1"/>
  <c r="BF5" i="13"/>
  <c r="BE5" i="13"/>
  <c r="BG19" i="4"/>
  <c r="BG13" i="4" s="1"/>
  <c r="BE24" i="13"/>
  <c r="BE133" i="13"/>
  <c r="BE135" i="13" s="1"/>
  <c r="BE136" i="13" s="1"/>
  <c r="BF120" i="13"/>
  <c r="BG63" i="14"/>
  <c r="BG6" i="17" s="1"/>
  <c r="BF6" i="17"/>
  <c r="BE6" i="17"/>
  <c r="BE92" i="13"/>
  <c r="BG5" i="13"/>
  <c r="BG134" i="13"/>
  <c r="BG135" i="13" s="1"/>
  <c r="BG120" i="13"/>
  <c r="BF24" i="13"/>
  <c r="BF133" i="13"/>
  <c r="BF135" i="13" s="1"/>
  <c r="BF119" i="13"/>
  <c r="BG24" i="13"/>
  <c r="BE119" i="13"/>
  <c r="BG119" i="13"/>
  <c r="BE120" i="13"/>
  <c r="BE19" i="4"/>
  <c r="BF19" i="4"/>
  <c r="BG15" i="13" l="1"/>
  <c r="BF15" i="13"/>
  <c r="BE15" i="13"/>
  <c r="BE128" i="13"/>
  <c r="BE130" i="13" s="1"/>
  <c r="BE62" i="13" s="1"/>
  <c r="BF128" i="13"/>
  <c r="BF130" i="13" s="1"/>
  <c r="BF62" i="13" s="1"/>
  <c r="BG128" i="13"/>
  <c r="BG130" i="13" s="1"/>
  <c r="BG62" i="13" s="1"/>
  <c r="BG136" i="13"/>
  <c r="BF136" i="13"/>
  <c r="BE13" i="4"/>
  <c r="BG14" i="4"/>
  <c r="BG15" i="4"/>
  <c r="BG10" i="4"/>
  <c r="BF13" i="4"/>
  <c r="BE14" i="4" l="1"/>
  <c r="BE15" i="4"/>
  <c r="BE10" i="4"/>
  <c r="BF15" i="4"/>
  <c r="BF14" i="4"/>
  <c r="BF10" i="4"/>
  <c r="BI138" i="13" l="1"/>
  <c r="BH129" i="13"/>
  <c r="BH127" i="13"/>
  <c r="BH126" i="13"/>
  <c r="BI122" i="13"/>
  <c r="AB122" i="15" s="1"/>
  <c r="BH114" i="13"/>
  <c r="BH113" i="13"/>
  <c r="BH112" i="13"/>
  <c r="BH101" i="13"/>
  <c r="BI93" i="13"/>
  <c r="AB93" i="15" s="1"/>
  <c r="BH93" i="13"/>
  <c r="BI86" i="13"/>
  <c r="BH85" i="13"/>
  <c r="BH67" i="13"/>
  <c r="BH66" i="13"/>
  <c r="BH59" i="13"/>
  <c r="BH55" i="13"/>
  <c r="BH54" i="13"/>
  <c r="BH53" i="13"/>
  <c r="BI48" i="13"/>
  <c r="BH39" i="13"/>
  <c r="BI38" i="13"/>
  <c r="AB38" i="15" s="1"/>
  <c r="BI32" i="13"/>
  <c r="AB32" i="15" s="1"/>
  <c r="BH29" i="13"/>
  <c r="BH28" i="13"/>
  <c r="BH27" i="13"/>
  <c r="BH26" i="13"/>
  <c r="BH25" i="13"/>
  <c r="BI24" i="13"/>
  <c r="BH23" i="13"/>
  <c r="BH22" i="13"/>
  <c r="BH19" i="13"/>
  <c r="BI18" i="13"/>
  <c r="AB18" i="15" s="1"/>
  <c r="BI17" i="13"/>
  <c r="AB17" i="15" s="1"/>
  <c r="BI16" i="13"/>
  <c r="AB16" i="15" s="1"/>
  <c r="BH9" i="13"/>
  <c r="BI8" i="13"/>
  <c r="AB8" i="15" s="1"/>
  <c r="BI7" i="13"/>
  <c r="AB7" i="15" s="1"/>
  <c r="BI6" i="13"/>
  <c r="AB6" i="15" s="1"/>
  <c r="BH123" i="17"/>
  <c r="BH117" i="17"/>
  <c r="BH115" i="17"/>
  <c r="BH113" i="17"/>
  <c r="BH104" i="17"/>
  <c r="BH100" i="17"/>
  <c r="BH97" i="17"/>
  <c r="BH95" i="17"/>
  <c r="BH92" i="17"/>
  <c r="BH89" i="14"/>
  <c r="BH88" i="14"/>
  <c r="BI85" i="14"/>
  <c r="AB85" i="16" s="1"/>
  <c r="BH84" i="14"/>
  <c r="BH92" i="13" s="1"/>
  <c r="BH63" i="14"/>
  <c r="BH6" i="17" s="1"/>
  <c r="BI6" i="17" s="1"/>
  <c r="AB6" i="18" s="1"/>
  <c r="BH58" i="14"/>
  <c r="BI57" i="14"/>
  <c r="AB57" i="16" s="1"/>
  <c r="BI54" i="14"/>
  <c r="AB54" i="16" s="1"/>
  <c r="BH53" i="14"/>
  <c r="BH51" i="14"/>
  <c r="BH175" i="13" s="1"/>
  <c r="BH49" i="14"/>
  <c r="BH48" i="14"/>
  <c r="BH47" i="14"/>
  <c r="BH46" i="14"/>
  <c r="BH39" i="14"/>
  <c r="BH35" i="14"/>
  <c r="BH34" i="14"/>
  <c r="BI27" i="14"/>
  <c r="AB27" i="16" s="1"/>
  <c r="BH13" i="14"/>
  <c r="BH12" i="14"/>
  <c r="BH10" i="14"/>
  <c r="BH9" i="14"/>
  <c r="BH7" i="14"/>
  <c r="BH6" i="14"/>
  <c r="BH42" i="1"/>
  <c r="BI41" i="1"/>
  <c r="AB37" i="7" s="1"/>
  <c r="BI40" i="1"/>
  <c r="AB36" i="7" s="1"/>
  <c r="BI39" i="1"/>
  <c r="AB35" i="7" s="1"/>
  <c r="AB38" i="7" s="1"/>
  <c r="BH35" i="1"/>
  <c r="BH36" i="1" s="1"/>
  <c r="BH44" i="1" s="1"/>
  <c r="BI34" i="1"/>
  <c r="AB30" i="7" s="1"/>
  <c r="BI33" i="1"/>
  <c r="AB29" i="7" s="1"/>
  <c r="BI32" i="1"/>
  <c r="AB28" i="7" s="1"/>
  <c r="BI31" i="1"/>
  <c r="AB27" i="7" s="1"/>
  <c r="BI17" i="1"/>
  <c r="AB17" i="7" s="1"/>
  <c r="BH42" i="2"/>
  <c r="BI39" i="2"/>
  <c r="AB35" i="10" s="1"/>
  <c r="BI38" i="2"/>
  <c r="AB34" i="10" s="1"/>
  <c r="BI37" i="2"/>
  <c r="AB33" i="10" s="1"/>
  <c r="BI36" i="2"/>
  <c r="AB32" i="10" s="1"/>
  <c r="BI35" i="2"/>
  <c r="AB31" i="10" s="1"/>
  <c r="BI17" i="2"/>
  <c r="AB17" i="10" s="1"/>
  <c r="BI23" i="4"/>
  <c r="AB23" i="11" s="1"/>
  <c r="BI17" i="4"/>
  <c r="AB17" i="11" s="1"/>
  <c r="BI201" i="31"/>
  <c r="AB201" i="32" s="1"/>
  <c r="BI2" i="4"/>
  <c r="BH2" i="4"/>
  <c r="BG2" i="4"/>
  <c r="BF2" i="4"/>
  <c r="BE2" i="4"/>
  <c r="BI2" i="2"/>
  <c r="BH2" i="2"/>
  <c r="BG2" i="2"/>
  <c r="BF2" i="2"/>
  <c r="BE2" i="2"/>
  <c r="BI2" i="5"/>
  <c r="BH2" i="5"/>
  <c r="BG2" i="5"/>
  <c r="BF2" i="5"/>
  <c r="BE2" i="5"/>
  <c r="BI2" i="1"/>
  <c r="BH2" i="1"/>
  <c r="BG2" i="1"/>
  <c r="BF2" i="1"/>
  <c r="BE2" i="1"/>
  <c r="BI2" i="31"/>
  <c r="BH2" i="31"/>
  <c r="BG2" i="31"/>
  <c r="BF2" i="31"/>
  <c r="BE2" i="31"/>
  <c r="BI2" i="14"/>
  <c r="BH2" i="14"/>
  <c r="BG2" i="14"/>
  <c r="BF2" i="14"/>
  <c r="BE2" i="14"/>
  <c r="BI2" i="17"/>
  <c r="BH2" i="17"/>
  <c r="BG2" i="17"/>
  <c r="BF2" i="17"/>
  <c r="BE2" i="17"/>
  <c r="AC4" i="46"/>
  <c r="BI59" i="13" l="1"/>
  <c r="AB48" i="15"/>
  <c r="AB59" i="15" s="1"/>
  <c r="AB32" i="7"/>
  <c r="AB40" i="7" s="1"/>
  <c r="BI36" i="1"/>
  <c r="BI42" i="1"/>
  <c r="BI42" i="2"/>
  <c r="BH133" i="13"/>
  <c r="BH119" i="13"/>
  <c r="BH24" i="13"/>
  <c r="BH134" i="13"/>
  <c r="BI134" i="13" s="1"/>
  <c r="AB134" i="15" s="1"/>
  <c r="BH120" i="13"/>
  <c r="BI120" i="13" s="1"/>
  <c r="AB120" i="15" s="1"/>
  <c r="BI40" i="2"/>
  <c r="AB36" i="10" s="1"/>
  <c r="AB4" i="46"/>
  <c r="BI4" i="5" s="1"/>
  <c r="CH124" i="48"/>
  <c r="AB8" i="46"/>
  <c r="BI8" i="5" s="1"/>
  <c r="BB58" i="17"/>
  <c r="BB62" i="17" s="1"/>
  <c r="BB46" i="17"/>
  <c r="BB37" i="17"/>
  <c r="BB25" i="17"/>
  <c r="BB71" i="14"/>
  <c r="BB70" i="14"/>
  <c r="BB51" i="14"/>
  <c r="BB49" i="14"/>
  <c r="BB12" i="14"/>
  <c r="BB19" i="1"/>
  <c r="BB15" i="1"/>
  <c r="BB14" i="1"/>
  <c r="BB10" i="1"/>
  <c r="BB8" i="1"/>
  <c r="BB7" i="1"/>
  <c r="BB4" i="1"/>
  <c r="BB19" i="2"/>
  <c r="BB15" i="2"/>
  <c r="BB14" i="2"/>
  <c r="BB10" i="2"/>
  <c r="BB8" i="2"/>
  <c r="BB7" i="2"/>
  <c r="BB4" i="2"/>
  <c r="BB19" i="4"/>
  <c r="BG20" i="4" s="1"/>
  <c r="BB15" i="4"/>
  <c r="BB14" i="4"/>
  <c r="BB10" i="4"/>
  <c r="BG11" i="4" s="1"/>
  <c r="BB8" i="4"/>
  <c r="BB7" i="4"/>
  <c r="BB4" i="4"/>
  <c r="BB27" i="41"/>
  <c r="BB2" i="41"/>
  <c r="BB202" i="31"/>
  <c r="BB100" i="13"/>
  <c r="BB120" i="13"/>
  <c r="BB119" i="13"/>
  <c r="BB111" i="13"/>
  <c r="BB110" i="13"/>
  <c r="BB109" i="13"/>
  <c r="BB92" i="13"/>
  <c r="BB90" i="13"/>
  <c r="BB85" i="13"/>
  <c r="BG86" i="13" s="1"/>
  <c r="BB83" i="13"/>
  <c r="BB80" i="13"/>
  <c r="BB77" i="13"/>
  <c r="BB59" i="13"/>
  <c r="BB24" i="13"/>
  <c r="BB31" i="13" l="1"/>
  <c r="BB70" i="17"/>
  <c r="BG8" i="5"/>
  <c r="CL6" i="48" s="1"/>
  <c r="BF8" i="5"/>
  <c r="CK6" i="48" s="1"/>
  <c r="BE8" i="5"/>
  <c r="CJ6" i="48" s="1"/>
  <c r="CJ7" i="48" s="1"/>
  <c r="BH8" i="5"/>
  <c r="CM6" i="48" s="1"/>
  <c r="BG4" i="5"/>
  <c r="CL42" i="48" s="1"/>
  <c r="CL43" i="48" s="1"/>
  <c r="BF4" i="5"/>
  <c r="CK42" i="48" s="1"/>
  <c r="CK43" i="48" s="1"/>
  <c r="BE4" i="5"/>
  <c r="CJ42" i="48" s="1"/>
  <c r="CJ43" i="48" s="1"/>
  <c r="AB32" i="18"/>
  <c r="BI44" i="1"/>
  <c r="BH128" i="13"/>
  <c r="BI128" i="13" s="1"/>
  <c r="AB128" i="15" s="1"/>
  <c r="AB130" i="15" s="1"/>
  <c r="BI119" i="13"/>
  <c r="AB119" i="15" s="1"/>
  <c r="BH135" i="13"/>
  <c r="BH136" i="13" s="1"/>
  <c r="BI133" i="13"/>
  <c r="BB102" i="13"/>
  <c r="BB130" i="13"/>
  <c r="BB62" i="13" s="1"/>
  <c r="BB71" i="17"/>
  <c r="BB48" i="17"/>
  <c r="BB64" i="17" s="1"/>
  <c r="BB22" i="1"/>
  <c r="BG23" i="1" s="1"/>
  <c r="BB22" i="2"/>
  <c r="BG23" i="2" s="1"/>
  <c r="BB115" i="13"/>
  <c r="BB22" i="4"/>
  <c r="BG23" i="4" s="1"/>
  <c r="BI135" i="13" l="1"/>
  <c r="BI136" i="13" s="1"/>
  <c r="AB133" i="15"/>
  <c r="AB135" i="15" s="1"/>
  <c r="AB136" i="15" s="1"/>
  <c r="BH4" i="5"/>
  <c r="CM42" i="48" s="1"/>
  <c r="CM43" i="48" s="1"/>
  <c r="CM7" i="48"/>
  <c r="CM36" i="48"/>
  <c r="CK36" i="48"/>
  <c r="CK7" i="48"/>
  <c r="CL7" i="48"/>
  <c r="CL36" i="48"/>
  <c r="BI130" i="13"/>
  <c r="BI62" i="13" s="1"/>
  <c r="AB62" i="15" s="1"/>
  <c r="BH130" i="13"/>
  <c r="BH62" i="13" s="1"/>
  <c r="CG124" i="48" l="1"/>
  <c r="BB79" i="17"/>
  <c r="BA58" i="17"/>
  <c r="BA62" i="17" s="1"/>
  <c r="BA46" i="17"/>
  <c r="BA37" i="17"/>
  <c r="BA25" i="17"/>
  <c r="BA92" i="17"/>
  <c r="BA95" i="17"/>
  <c r="BA97" i="17"/>
  <c r="BA100" i="17"/>
  <c r="BA104" i="17"/>
  <c r="BA113" i="17"/>
  <c r="BA115" i="17"/>
  <c r="BA117" i="17"/>
  <c r="BA123" i="17"/>
  <c r="BA57" i="14"/>
  <c r="BB57" i="14" s="1"/>
  <c r="BA52" i="14"/>
  <c r="BA54" i="14"/>
  <c r="BB54" i="14" s="1"/>
  <c r="BA50" i="14"/>
  <c r="BB50" i="14" s="1"/>
  <c r="BA45" i="14"/>
  <c r="BB45" i="14" s="1"/>
  <c r="BA44" i="14"/>
  <c r="BB44" i="14" s="1"/>
  <c r="BA40" i="14"/>
  <c r="BB40" i="14" s="1"/>
  <c r="BA38" i="14"/>
  <c r="BB38" i="14" s="1"/>
  <c r="BA37" i="14"/>
  <c r="BB37" i="14" s="1"/>
  <c r="BA36" i="14"/>
  <c r="BB36" i="14" s="1"/>
  <c r="BA35" i="14"/>
  <c r="BB35" i="14" s="1"/>
  <c r="BA34" i="14"/>
  <c r="BB34" i="14" s="1"/>
  <c r="BA33" i="14"/>
  <c r="BA75" i="14" s="1"/>
  <c r="BA27" i="14"/>
  <c r="BB27" i="14" s="1"/>
  <c r="BA26" i="14"/>
  <c r="BB26" i="14" s="1"/>
  <c r="BA25" i="14"/>
  <c r="BA24" i="14"/>
  <c r="BB24" i="14" s="1"/>
  <c r="BA23" i="14"/>
  <c r="BB23" i="14" s="1"/>
  <c r="BA21" i="14"/>
  <c r="BB21" i="14" s="1"/>
  <c r="BA20" i="14"/>
  <c r="BB20" i="14" s="1"/>
  <c r="BA19" i="14"/>
  <c r="BB19" i="14" s="1"/>
  <c r="BA18" i="14"/>
  <c r="BB18" i="14" s="1"/>
  <c r="BA17" i="14"/>
  <c r="BB17" i="14" s="1"/>
  <c r="BA16" i="14"/>
  <c r="BB16" i="14" s="1"/>
  <c r="BA15" i="14"/>
  <c r="BB15" i="14" s="1"/>
  <c r="BA11" i="14"/>
  <c r="BB11" i="14" s="1"/>
  <c r="BA8" i="14"/>
  <c r="BB8" i="14" s="1"/>
  <c r="BA6" i="14"/>
  <c r="BB6" i="14" s="1"/>
  <c r="BA5" i="14"/>
  <c r="BB5" i="14" s="1"/>
  <c r="BB96" i="13" s="1"/>
  <c r="BA85" i="14"/>
  <c r="BA93" i="13" s="1"/>
  <c r="BA81" i="14"/>
  <c r="BA48" i="14"/>
  <c r="BB48" i="14" s="1"/>
  <c r="BA47" i="14"/>
  <c r="BB47" i="14" s="1"/>
  <c r="BA46" i="14"/>
  <c r="BB46" i="14" s="1"/>
  <c r="BA39" i="14"/>
  <c r="BB39" i="14" s="1"/>
  <c r="BA22" i="14"/>
  <c r="BB22" i="14" s="1"/>
  <c r="BA9" i="14"/>
  <c r="BB9" i="14" s="1"/>
  <c r="BA24" i="13"/>
  <c r="BA19" i="1"/>
  <c r="BA22" i="1" s="1"/>
  <c r="BF23" i="1" s="1"/>
  <c r="BA15" i="1"/>
  <c r="BA14" i="1"/>
  <c r="BA10" i="1"/>
  <c r="BA8" i="1"/>
  <c r="BA7" i="1"/>
  <c r="BA4" i="1"/>
  <c r="BA19" i="2"/>
  <c r="BA15" i="2"/>
  <c r="BA14" i="2"/>
  <c r="BA10" i="2"/>
  <c r="BA8" i="2"/>
  <c r="BA7" i="2"/>
  <c r="BA4" i="2"/>
  <c r="BA19" i="4"/>
  <c r="BA15" i="4"/>
  <c r="BA14" i="4"/>
  <c r="BA10" i="4"/>
  <c r="BF11" i="4" s="1"/>
  <c r="BA8" i="4"/>
  <c r="BA7" i="4"/>
  <c r="BA4" i="4"/>
  <c r="BA202" i="31"/>
  <c r="BA27" i="41"/>
  <c r="BA2" i="41"/>
  <c r="BA100" i="13"/>
  <c r="BA71" i="17" s="1"/>
  <c r="BA111" i="13"/>
  <c r="BA110" i="13"/>
  <c r="BA109" i="13"/>
  <c r="BA92" i="13"/>
  <c r="BA90" i="13"/>
  <c r="BA85" i="13"/>
  <c r="BF86" i="13" s="1"/>
  <c r="BA83" i="13"/>
  <c r="BA80" i="13"/>
  <c r="BA77" i="13"/>
  <c r="BA59" i="13"/>
  <c r="BA22" i="4" l="1"/>
  <c r="BF23" i="4" s="1"/>
  <c r="BF20" i="4"/>
  <c r="BA31" i="13"/>
  <c r="BB52" i="14"/>
  <c r="BA70" i="17"/>
  <c r="BA55" i="14"/>
  <c r="BB33" i="14"/>
  <c r="BA102" i="13"/>
  <c r="BA88" i="14"/>
  <c r="BB25" i="14"/>
  <c r="BB28" i="14" s="1"/>
  <c r="CH125" i="48"/>
  <c r="BA48" i="17"/>
  <c r="BA64" i="17" s="1"/>
  <c r="BA28" i="14"/>
  <c r="BA41" i="14"/>
  <c r="BA96" i="13"/>
  <c r="BA22" i="2"/>
  <c r="BF23" i="2" s="1"/>
  <c r="BA115" i="13"/>
  <c r="BB75" i="14" l="1"/>
  <c r="BB81" i="14"/>
  <c r="BB55" i="14"/>
  <c r="BB41" i="14"/>
  <c r="AJ7" i="11" l="1"/>
  <c r="AJ11" i="11" s="1"/>
  <c r="CF124" i="48" l="1"/>
  <c r="CG125" i="48" s="1"/>
  <c r="AZ202" i="31" l="1"/>
  <c r="AZ67" i="31"/>
  <c r="AZ66" i="31"/>
  <c r="AZ82" i="17"/>
  <c r="AZ58" i="17"/>
  <c r="AZ62" i="17" s="1"/>
  <c r="AZ46" i="17"/>
  <c r="AZ37" i="17"/>
  <c r="AZ25" i="17"/>
  <c r="AZ6" i="17"/>
  <c r="AZ14" i="17" s="1"/>
  <c r="AZ89" i="14"/>
  <c r="BA89" i="14" s="1"/>
  <c r="BB89" i="14" s="1"/>
  <c r="AZ88" i="14"/>
  <c r="AZ13" i="14"/>
  <c r="BA13" i="14" s="1"/>
  <c r="BB13" i="14" s="1"/>
  <c r="AZ85" i="14"/>
  <c r="AZ93" i="13" s="1"/>
  <c r="AZ81" i="14"/>
  <c r="AZ55" i="14"/>
  <c r="AZ41" i="14"/>
  <c r="AZ28" i="14"/>
  <c r="AZ100" i="13"/>
  <c r="AZ83" i="13"/>
  <c r="AZ120" i="13"/>
  <c r="AZ119" i="13"/>
  <c r="AZ111" i="13"/>
  <c r="AZ110" i="13"/>
  <c r="AZ109" i="13"/>
  <c r="AZ96" i="13"/>
  <c r="AZ92" i="13"/>
  <c r="AZ90" i="13"/>
  <c r="AZ80" i="13"/>
  <c r="AZ77" i="13"/>
  <c r="AZ59" i="13"/>
  <c r="AZ24" i="13"/>
  <c r="AZ5" i="13"/>
  <c r="AZ4" i="13"/>
  <c r="AZ3" i="13"/>
  <c r="AZ19" i="1"/>
  <c r="AZ13" i="13" s="1"/>
  <c r="AZ15" i="1"/>
  <c r="AZ14" i="1"/>
  <c r="AZ10" i="1"/>
  <c r="AZ8" i="1"/>
  <c r="AZ7" i="1"/>
  <c r="AZ4" i="1"/>
  <c r="AZ42" i="2"/>
  <c r="AZ43" i="2" s="1"/>
  <c r="AZ44" i="2" s="1"/>
  <c r="AZ19" i="2"/>
  <c r="AZ14" i="13" s="1"/>
  <c r="AZ15" i="2"/>
  <c r="AZ14" i="2"/>
  <c r="AZ10" i="2"/>
  <c r="AZ8" i="2"/>
  <c r="AZ7" i="2"/>
  <c r="AZ4" i="2"/>
  <c r="AZ27" i="41"/>
  <c r="AZ2" i="41"/>
  <c r="AZ19" i="4"/>
  <c r="AZ15" i="4"/>
  <c r="AZ14" i="4"/>
  <c r="AZ10" i="4"/>
  <c r="BE11" i="4" s="1"/>
  <c r="AZ8" i="4"/>
  <c r="AZ7" i="4"/>
  <c r="AZ4" i="4"/>
  <c r="AZ22" i="4" l="1"/>
  <c r="BE23" i="4" s="1"/>
  <c r="BE20" i="4"/>
  <c r="AZ31" i="13"/>
  <c r="AZ71" i="17"/>
  <c r="AZ68" i="31"/>
  <c r="AZ102" i="13"/>
  <c r="AZ22" i="2"/>
  <c r="BE23" i="2" s="1"/>
  <c r="AZ10" i="13"/>
  <c r="AZ70" i="17"/>
  <c r="AZ15" i="13"/>
  <c r="AZ48" i="17"/>
  <c r="AZ64" i="17" s="1"/>
  <c r="AZ115" i="13"/>
  <c r="AZ130" i="13"/>
  <c r="AZ62" i="13" s="1"/>
  <c r="AZ22" i="1"/>
  <c r="BE23" i="1" s="1"/>
  <c r="AZ76" i="17" l="1"/>
  <c r="AZ20" i="13"/>
  <c r="AZ105" i="13"/>
  <c r="AZ77" i="17"/>
  <c r="AZ78" i="17"/>
  <c r="AZ74" i="17"/>
  <c r="AZ79" i="17"/>
  <c r="AZ74" i="14"/>
  <c r="AZ69" i="17"/>
  <c r="AZ75" i="17"/>
  <c r="AZ68" i="17"/>
  <c r="AZ34" i="13" l="1"/>
  <c r="AZ106" i="13"/>
  <c r="AZ97" i="13" l="1"/>
  <c r="AZ35" i="13"/>
  <c r="AZ40" i="13"/>
  <c r="AZ118" i="13"/>
  <c r="AZ121" i="13" s="1"/>
  <c r="AZ123" i="13" s="1"/>
  <c r="AZ44" i="13" l="1"/>
  <c r="AZ46" i="13"/>
  <c r="AZ98" i="13"/>
  <c r="AZ50" i="13" l="1"/>
  <c r="AZ4" i="14"/>
  <c r="AZ29" i="14" s="1"/>
  <c r="AZ59" i="14" l="1"/>
  <c r="AZ77" i="14"/>
  <c r="AZ73" i="13"/>
  <c r="AZ63" i="13"/>
  <c r="AZ70" i="13"/>
  <c r="AZ74" i="13"/>
  <c r="AZ71" i="13"/>
  <c r="AZ60" i="13"/>
  <c r="AZ69" i="13" l="1"/>
  <c r="AZ79" i="14"/>
  <c r="AZ82" i="14"/>
  <c r="AZ78" i="14"/>
  <c r="AU89" i="14" l="1"/>
  <c r="AV89" i="14" s="1"/>
  <c r="AW89" i="14" l="1"/>
  <c r="AX89" i="14" s="1"/>
  <c r="AM75" i="18"/>
  <c r="AM80" i="18"/>
  <c r="BK32" i="17" l="1"/>
  <c r="AM35" i="4" l="1"/>
  <c r="P18" i="48" l="1"/>
  <c r="P17" i="48"/>
  <c r="CE124" i="48"/>
  <c r="AX100" i="13"/>
  <c r="AS100" i="13"/>
  <c r="AY8" i="4"/>
  <c r="AY7" i="4"/>
  <c r="AX6" i="4"/>
  <c r="AX6" i="2"/>
  <c r="AX6" i="1"/>
  <c r="AX67" i="31"/>
  <c r="AY67" i="31" s="1"/>
  <c r="AX66" i="31"/>
  <c r="AX202" i="31"/>
  <c r="AX82" i="17"/>
  <c r="AY60" i="17"/>
  <c r="AX58" i="17"/>
  <c r="AX62" i="17" s="1"/>
  <c r="AY57" i="17"/>
  <c r="AY56" i="17"/>
  <c r="AY55" i="17"/>
  <c r="AY54" i="17"/>
  <c r="AY53" i="17"/>
  <c r="AY52" i="17"/>
  <c r="AX46" i="17"/>
  <c r="AY45" i="17"/>
  <c r="AY44" i="17"/>
  <c r="AY43" i="17"/>
  <c r="AY42" i="17"/>
  <c r="AY41" i="17"/>
  <c r="AY40" i="17"/>
  <c r="AX37" i="17"/>
  <c r="AY36" i="17"/>
  <c r="AY35" i="17"/>
  <c r="AY34" i="17"/>
  <c r="AY82" i="17" s="1"/>
  <c r="AY33" i="17"/>
  <c r="AY32" i="17"/>
  <c r="AY31" i="17"/>
  <c r="AX25" i="17"/>
  <c r="AY24" i="17"/>
  <c r="AY23" i="17"/>
  <c r="AY22" i="17"/>
  <c r="AY21" i="17"/>
  <c r="AY20" i="17"/>
  <c r="AY19" i="17"/>
  <c r="AY18" i="17"/>
  <c r="AY13" i="17"/>
  <c r="AY12" i="17"/>
  <c r="AY11" i="17"/>
  <c r="AY10" i="17"/>
  <c r="AY9" i="17"/>
  <c r="AY8" i="17"/>
  <c r="AY7" i="17"/>
  <c r="AX6" i="17"/>
  <c r="AX14" i="17" s="1"/>
  <c r="AX53" i="14"/>
  <c r="AY40" i="14"/>
  <c r="AY41" i="14" s="1"/>
  <c r="AY13" i="14"/>
  <c r="AY88" i="14"/>
  <c r="AX85" i="14"/>
  <c r="AY84" i="14"/>
  <c r="AY63" i="14"/>
  <c r="AX58" i="14"/>
  <c r="AY55" i="14"/>
  <c r="AX32" i="14"/>
  <c r="AY28" i="14"/>
  <c r="AX10" i="14"/>
  <c r="AX7" i="14"/>
  <c r="AX70" i="17" l="1"/>
  <c r="AX68" i="31"/>
  <c r="AX71" i="17"/>
  <c r="AZ75" i="14"/>
  <c r="AY6" i="17"/>
  <c r="AY58" i="17"/>
  <c r="AY62" i="17" s="1"/>
  <c r="AY46" i="17"/>
  <c r="AX48" i="17"/>
  <c r="AX64" i="17" s="1"/>
  <c r="AY25" i="17"/>
  <c r="AY14" i="17"/>
  <c r="AY37" i="17"/>
  <c r="AY49" i="13"/>
  <c r="AY138" i="13"/>
  <c r="AX134" i="13"/>
  <c r="AX133" i="13"/>
  <c r="AX130" i="13"/>
  <c r="AX62" i="13" s="1"/>
  <c r="AY129" i="13"/>
  <c r="AY128" i="13"/>
  <c r="AY127" i="13"/>
  <c r="AY126" i="13"/>
  <c r="AY122" i="13"/>
  <c r="AY114" i="13"/>
  <c r="AY113" i="13"/>
  <c r="AY112" i="13"/>
  <c r="AY111" i="13"/>
  <c r="AY110" i="13"/>
  <c r="AY109" i="13"/>
  <c r="AY101" i="13"/>
  <c r="AX93" i="13"/>
  <c r="AY92" i="13"/>
  <c r="AX92" i="13"/>
  <c r="AX85" i="13"/>
  <c r="AX83" i="13"/>
  <c r="AY82" i="13"/>
  <c r="AZ85" i="13" s="1"/>
  <c r="BE86" i="13" s="1"/>
  <c r="AX80" i="13"/>
  <c r="AX77" i="13"/>
  <c r="AY67" i="13"/>
  <c r="AY66" i="13"/>
  <c r="AX59" i="13"/>
  <c r="AY55" i="13"/>
  <c r="AY54" i="13"/>
  <c r="AY53" i="13"/>
  <c r="AY48" i="13"/>
  <c r="AY59" i="13" s="1"/>
  <c r="AY43" i="13"/>
  <c r="AY44" i="13" s="1"/>
  <c r="AY39" i="13"/>
  <c r="AY38" i="13"/>
  <c r="AY37" i="13"/>
  <c r="AY32" i="13"/>
  <c r="AY30" i="13"/>
  <c r="AY29" i="13"/>
  <c r="AY28" i="13"/>
  <c r="AY27" i="13"/>
  <c r="AY26" i="13"/>
  <c r="AY25" i="13"/>
  <c r="AY23" i="13"/>
  <c r="AY22" i="13"/>
  <c r="AX19" i="13"/>
  <c r="AY18" i="13"/>
  <c r="AY17" i="13"/>
  <c r="AX9" i="13"/>
  <c r="AY8" i="13"/>
  <c r="AY7" i="13"/>
  <c r="AY5" i="13"/>
  <c r="AY4" i="13"/>
  <c r="AY3" i="13"/>
  <c r="AY17" i="1"/>
  <c r="AY19" i="1" s="1"/>
  <c r="AY15" i="1"/>
  <c r="AY14" i="1"/>
  <c r="AY10" i="1"/>
  <c r="AY8" i="1"/>
  <c r="AY7" i="1"/>
  <c r="AY4" i="1"/>
  <c r="Z26" i="40"/>
  <c r="Z25" i="40"/>
  <c r="Z24" i="40"/>
  <c r="Z23" i="40"/>
  <c r="Z21" i="40"/>
  <c r="Z19" i="47" s="1"/>
  <c r="Z20" i="40"/>
  <c r="Z18" i="47" s="1"/>
  <c r="Z19" i="40"/>
  <c r="Z17" i="47" s="1"/>
  <c r="Z18" i="40"/>
  <c r="Z16" i="47" s="1"/>
  <c r="Z17" i="40"/>
  <c r="Z15" i="47" s="1"/>
  <c r="Z16" i="40"/>
  <c r="Z14" i="47" s="1"/>
  <c r="Z15" i="40"/>
  <c r="Z13" i="47" s="1"/>
  <c r="Z14" i="40"/>
  <c r="Z12" i="47" s="1"/>
  <c r="Z13" i="40"/>
  <c r="Z11" i="47" s="1"/>
  <c r="Z12" i="40"/>
  <c r="Z10" i="47" s="1"/>
  <c r="Z11" i="40"/>
  <c r="Z9" i="47" s="1"/>
  <c r="Z10" i="40"/>
  <c r="Z8" i="47" s="1"/>
  <c r="Z9" i="40"/>
  <c r="Z7" i="47" s="1"/>
  <c r="Z8" i="40"/>
  <c r="Z6" i="47" s="1"/>
  <c r="Z7" i="40"/>
  <c r="Z5" i="47" s="1"/>
  <c r="Z6" i="40"/>
  <c r="Z4" i="47" s="1"/>
  <c r="AY27" i="41"/>
  <c r="Z27" i="40" s="1"/>
  <c r="AX26" i="41"/>
  <c r="AX25" i="41"/>
  <c r="AX24" i="41"/>
  <c r="AX23" i="41"/>
  <c r="AX21" i="41"/>
  <c r="AX20" i="41"/>
  <c r="AX19" i="41"/>
  <c r="AX18" i="41"/>
  <c r="AX17" i="41"/>
  <c r="AX16" i="41"/>
  <c r="AX15" i="41"/>
  <c r="AX14" i="41"/>
  <c r="AX13" i="41"/>
  <c r="AX12" i="41"/>
  <c r="AX11" i="41"/>
  <c r="AX10" i="41"/>
  <c r="AX9" i="41"/>
  <c r="AX8" i="41"/>
  <c r="AX7" i="41"/>
  <c r="AX6" i="41"/>
  <c r="AY2" i="41"/>
  <c r="AX2" i="41"/>
  <c r="AY19" i="2"/>
  <c r="AY15" i="2"/>
  <c r="AY14" i="2"/>
  <c r="AY10" i="2"/>
  <c r="AY8" i="2"/>
  <c r="AY7" i="2"/>
  <c r="AY4" i="2"/>
  <c r="AY19" i="4"/>
  <c r="AY22" i="4" s="1"/>
  <c r="AY15" i="4"/>
  <c r="AY14" i="4"/>
  <c r="AY10" i="4"/>
  <c r="AY4" i="4"/>
  <c r="AY22" i="2" l="1"/>
  <c r="AY14" i="13"/>
  <c r="AY10" i="13"/>
  <c r="AY74" i="14" s="1"/>
  <c r="AY24" i="13"/>
  <c r="AY31" i="13" s="1"/>
  <c r="AY115" i="13"/>
  <c r="AY22" i="1"/>
  <c r="AY13" i="13"/>
  <c r="AY15" i="13"/>
  <c r="AY48" i="17"/>
  <c r="AY64" i="17" s="1"/>
  <c r="AX90" i="13"/>
  <c r="AX27" i="41"/>
  <c r="AY75" i="17" l="1"/>
  <c r="AY20" i="13"/>
  <c r="AY34" i="13" s="1"/>
  <c r="AY118" i="13" s="1"/>
  <c r="AY76" i="17"/>
  <c r="AY79" i="17"/>
  <c r="AY69" i="17"/>
  <c r="AY68" i="17"/>
  <c r="AY78" i="17"/>
  <c r="AY74" i="17"/>
  <c r="AY77" i="17"/>
  <c r="AY40" i="13" l="1"/>
  <c r="AY46" i="13" s="1"/>
  <c r="AY35" i="13"/>
  <c r="AY4" i="14" l="1"/>
  <c r="AY50" i="13"/>
  <c r="AY56" i="13"/>
  <c r="AY29" i="14" l="1"/>
  <c r="AY74" i="13"/>
  <c r="AY60" i="13"/>
  <c r="AY71" i="13"/>
  <c r="AY73" i="13"/>
  <c r="AY70" i="13"/>
  <c r="AY77" i="14" l="1"/>
  <c r="AY59" i="14"/>
  <c r="AY82" i="14" l="1"/>
  <c r="AY79" i="14"/>
  <c r="AY78" i="14"/>
  <c r="Z13" i="8" l="1"/>
  <c r="Z12" i="46" s="1"/>
  <c r="Z12" i="8"/>
  <c r="Z11" i="46" s="1"/>
  <c r="Z11" i="8"/>
  <c r="Z10" i="46" s="1"/>
  <c r="Z10" i="8"/>
  <c r="Z9" i="46" s="1"/>
  <c r="Z9" i="8"/>
  <c r="Z8" i="46" s="1"/>
  <c r="Z8" i="8"/>
  <c r="Z7" i="46" s="1"/>
  <c r="Z7" i="8"/>
  <c r="Z6" i="46" s="1"/>
  <c r="Z5" i="8"/>
  <c r="Z4" i="46" s="1"/>
  <c r="CG112" i="48" l="1"/>
  <c r="CH112" i="48"/>
  <c r="CI112" i="48"/>
  <c r="CF112" i="48"/>
  <c r="Q98" i="48"/>
  <c r="Q50" i="48"/>
  <c r="Q27" i="48"/>
  <c r="CG49" i="48"/>
  <c r="CH49" i="48"/>
  <c r="CI49" i="48"/>
  <c r="CF49" i="48"/>
  <c r="Q41" i="48"/>
  <c r="Q104" i="48" l="1"/>
  <c r="Q90" i="48"/>
  <c r="Q49" i="48"/>
  <c r="Q112" i="48"/>
  <c r="BD175" i="13"/>
  <c r="BB175" i="13"/>
  <c r="BA175" i="13"/>
  <c r="AZ175" i="13"/>
  <c r="AE85" i="16"/>
  <c r="AE93" i="15" s="1"/>
  <c r="AE92" i="15"/>
  <c r="AE86" i="15"/>
  <c r="AE59" i="15"/>
  <c r="AE2" i="16"/>
  <c r="AM67" i="18" s="1"/>
  <c r="AE2" i="18"/>
  <c r="U2" i="48" s="1"/>
  <c r="AE67" i="32"/>
  <c r="AE34" i="18" s="1"/>
  <c r="AE2" i="32"/>
  <c r="U162" i="48"/>
  <c r="U108" i="48"/>
  <c r="U104" i="48"/>
  <c r="U94" i="48"/>
  <c r="U91" i="48"/>
  <c r="U90" i="48" s="1"/>
  <c r="U92" i="48" s="1"/>
  <c r="U80" i="48"/>
  <c r="U77" i="48"/>
  <c r="U76" i="48" s="1"/>
  <c r="U78" i="48" s="1"/>
  <c r="U45" i="48"/>
  <c r="U41" i="48"/>
  <c r="U40" i="48" s="1"/>
  <c r="U9" i="48"/>
  <c r="U5" i="48"/>
  <c r="U4" i="48" s="1"/>
  <c r="U10" i="52"/>
  <c r="U9" i="52"/>
  <c r="U8" i="52"/>
  <c r="U7" i="52"/>
  <c r="U6" i="52"/>
  <c r="AE38" i="7" l="1"/>
  <c r="AE31" i="7"/>
  <c r="AE32" i="7" s="1"/>
  <c r="AE2" i="7"/>
  <c r="AE13" i="8"/>
  <c r="AE12" i="8"/>
  <c r="AE11" i="8"/>
  <c r="AE10" i="8"/>
  <c r="AE7" i="8"/>
  <c r="AE6" i="8"/>
  <c r="AE2" i="8"/>
  <c r="AE86" i="46"/>
  <c r="AE59" i="46"/>
  <c r="AE58" i="46"/>
  <c r="AE57" i="46"/>
  <c r="AE56" i="46"/>
  <c r="AE53" i="46"/>
  <c r="AE68" i="46" s="1"/>
  <c r="AE52" i="46"/>
  <c r="AE67" i="46" s="1"/>
  <c r="AE48" i="46"/>
  <c r="AE8" i="46"/>
  <c r="U6" i="48" s="1"/>
  <c r="U7" i="48" s="1"/>
  <c r="AE7" i="46"/>
  <c r="AE4" i="46"/>
  <c r="AE5" i="8" s="1"/>
  <c r="AE2" i="46"/>
  <c r="AE36" i="10"/>
  <c r="AE2" i="10"/>
  <c r="AE21" i="40"/>
  <c r="AE20" i="40"/>
  <c r="AE19" i="40"/>
  <c r="AE18" i="40"/>
  <c r="AE17" i="40"/>
  <c r="AE16" i="40"/>
  <c r="AE15" i="40"/>
  <c r="AE14" i="40"/>
  <c r="AE13" i="40"/>
  <c r="AE12" i="40"/>
  <c r="AE11" i="40"/>
  <c r="AE10" i="40"/>
  <c r="AE9" i="40"/>
  <c r="AE8" i="40"/>
  <c r="AE7" i="40"/>
  <c r="AE6" i="40"/>
  <c r="AE66" i="47"/>
  <c r="AE20" i="47"/>
  <c r="AE2" i="47"/>
  <c r="AE2" i="40"/>
  <c r="AE23" i="11"/>
  <c r="AE2" i="11"/>
  <c r="AE173" i="15"/>
  <c r="AE17" i="8" l="1"/>
  <c r="AE40" i="7"/>
  <c r="AE3" i="46"/>
  <c r="AE51" i="46"/>
  <c r="AE66" i="46" s="1"/>
  <c r="AE54" i="46"/>
  <c r="AE69" i="46" s="1"/>
  <c r="AE76" i="46" s="1"/>
  <c r="U105" i="48"/>
  <c r="U106" i="48" s="1"/>
  <c r="AE8" i="8"/>
  <c r="AE27" i="40"/>
  <c r="AE33" i="46"/>
  <c r="AE9" i="8"/>
  <c r="AE30" i="46"/>
  <c r="AE32" i="46" s="1"/>
  <c r="AE3" i="7" s="1"/>
  <c r="U42" i="48"/>
  <c r="U43" i="48" s="1"/>
  <c r="AE55" i="46"/>
  <c r="AE70" i="46" s="1"/>
  <c r="AE77" i="46" s="1"/>
  <c r="AE83" i="46"/>
  <c r="AE74" i="46"/>
  <c r="AE75" i="46"/>
  <c r="AE84" i="46"/>
  <c r="AE13" i="46"/>
  <c r="AE14" i="8" s="1"/>
  <c r="AA89" i="16"/>
  <c r="AA88" i="16"/>
  <c r="AA84" i="16"/>
  <c r="AA74" i="16"/>
  <c r="AA71" i="16"/>
  <c r="AA70" i="16"/>
  <c r="AA69" i="16"/>
  <c r="AA63" i="16"/>
  <c r="AA58" i="16"/>
  <c r="AA57" i="16"/>
  <c r="AA53" i="16"/>
  <c r="AA51" i="16"/>
  <c r="AA50" i="16"/>
  <c r="AA49" i="16"/>
  <c r="AA48" i="16"/>
  <c r="AA47" i="16"/>
  <c r="AA46" i="16"/>
  <c r="AA40" i="16"/>
  <c r="AA39" i="16"/>
  <c r="AA36" i="16"/>
  <c r="AA35" i="16"/>
  <c r="AA34" i="16"/>
  <c r="AA22" i="16"/>
  <c r="AA13" i="16"/>
  <c r="AA12" i="16"/>
  <c r="AA10" i="16"/>
  <c r="AA9" i="16"/>
  <c r="AA7" i="16"/>
  <c r="AA6" i="16"/>
  <c r="AA123" i="18"/>
  <c r="AA117" i="18"/>
  <c r="AA115" i="18"/>
  <c r="AA113" i="18"/>
  <c r="AA104" i="18"/>
  <c r="AA100" i="18"/>
  <c r="AA97" i="18"/>
  <c r="AA95" i="18"/>
  <c r="AA92" i="18"/>
  <c r="AA75" i="18"/>
  <c r="AA70" i="18"/>
  <c r="AA69" i="18"/>
  <c r="AA68" i="18"/>
  <c r="AA127" i="15"/>
  <c r="AA126" i="15"/>
  <c r="AA114" i="15"/>
  <c r="AA113" i="15"/>
  <c r="AA112" i="15"/>
  <c r="AA101" i="15"/>
  <c r="AA67" i="15"/>
  <c r="AA66" i="15"/>
  <c r="AA55" i="15"/>
  <c r="AA54" i="15"/>
  <c r="AA53" i="15"/>
  <c r="AA44" i="15"/>
  <c r="AA30" i="15"/>
  <c r="AA29" i="15"/>
  <c r="AA28" i="15"/>
  <c r="AA27" i="15"/>
  <c r="AA26" i="15"/>
  <c r="AA25" i="15"/>
  <c r="AA23" i="15"/>
  <c r="AA22" i="15"/>
  <c r="AA19" i="15"/>
  <c r="AA9" i="15"/>
  <c r="AA31" i="7"/>
  <c r="AA22" i="11"/>
  <c r="AA4" i="11"/>
  <c r="U32" i="52" l="1"/>
  <c r="U52" i="52"/>
  <c r="AF4" i="7"/>
  <c r="AE21" i="8"/>
  <c r="AE85" i="46"/>
  <c r="AE60" i="46"/>
  <c r="AE62" i="46" s="1"/>
  <c r="AE63" i="46" s="1"/>
  <c r="AE93" i="46"/>
  <c r="AE3" i="15"/>
  <c r="AE44" i="46"/>
  <c r="AE45" i="7" s="1"/>
  <c r="AE44" i="7" s="1"/>
  <c r="AA24" i="15"/>
  <c r="AA31" i="15" s="1"/>
  <c r="AE73" i="46"/>
  <c r="AE82" i="46"/>
  <c r="V33" i="52" l="1"/>
  <c r="U41" i="52"/>
  <c r="U37" i="52" s="1"/>
  <c r="AE19" i="7"/>
  <c r="U53" i="52"/>
  <c r="U54" i="52" s="1"/>
  <c r="BB123" i="17"/>
  <c r="AZ123" i="17"/>
  <c r="BB117" i="17"/>
  <c r="AZ117" i="17"/>
  <c r="BB115" i="17"/>
  <c r="AZ115" i="17"/>
  <c r="BB113" i="17"/>
  <c r="AZ113" i="17"/>
  <c r="BB104" i="17"/>
  <c r="AZ104" i="17"/>
  <c r="BB100" i="17"/>
  <c r="AZ100" i="17"/>
  <c r="BB97" i="17"/>
  <c r="AZ97" i="17"/>
  <c r="BB95" i="17"/>
  <c r="AZ95" i="17"/>
  <c r="BB92" i="17"/>
  <c r="AZ92" i="17"/>
  <c r="BC92" i="17"/>
  <c r="BC95" i="17"/>
  <c r="BC97" i="17"/>
  <c r="BC100" i="17"/>
  <c r="BC104" i="17"/>
  <c r="BC123" i="17"/>
  <c r="BC117" i="17"/>
  <c r="BC115" i="17"/>
  <c r="BC113" i="17"/>
  <c r="AE13" i="15" l="1"/>
  <c r="AF20" i="7"/>
  <c r="AE13" i="7"/>
  <c r="AF14" i="7" s="1"/>
  <c r="AE22" i="7"/>
  <c r="AF23" i="7" s="1"/>
  <c r="AE15" i="7"/>
  <c r="AE10" i="7" l="1"/>
  <c r="AE41" i="7"/>
  <c r="AE47" i="7" s="1"/>
  <c r="AE42" i="7"/>
  <c r="BC89" i="14"/>
  <c r="BD85" i="14"/>
  <c r="AA85" i="16" s="1"/>
  <c r="BC63" i="14"/>
  <c r="BC6" i="17" s="1"/>
  <c r="AA6" i="18" s="1"/>
  <c r="AA54" i="16"/>
  <c r="BC59" i="13"/>
  <c r="BA134" i="13"/>
  <c r="AZ134" i="13"/>
  <c r="BB133" i="13"/>
  <c r="BA119" i="13"/>
  <c r="AZ133" i="13"/>
  <c r="BD27" i="5"/>
  <c r="BD24" i="5"/>
  <c r="BD23" i="5"/>
  <c r="BD22" i="5"/>
  <c r="BD21" i="5"/>
  <c r="BD20" i="5"/>
  <c r="BD19" i="5"/>
  <c r="BD18" i="5"/>
  <c r="BD17" i="5"/>
  <c r="U48" i="52" l="1"/>
  <c r="AF11" i="7"/>
  <c r="BA20" i="5"/>
  <c r="BB24" i="5"/>
  <c r="BA17" i="5"/>
  <c r="BA21" i="5"/>
  <c r="BA27" i="5"/>
  <c r="BH27" i="5"/>
  <c r="BH11" i="5"/>
  <c r="BA18" i="5"/>
  <c r="BA22" i="5"/>
  <c r="BA19" i="5"/>
  <c r="BA23" i="5"/>
  <c r="AZ20" i="5"/>
  <c r="BB27" i="5"/>
  <c r="BB21" i="5"/>
  <c r="BA120" i="13"/>
  <c r="BB17" i="5"/>
  <c r="BC175" i="13"/>
  <c r="BA133" i="13"/>
  <c r="AZ18" i="5"/>
  <c r="BB20" i="5"/>
  <c r="BC22" i="5"/>
  <c r="AZ5" i="5"/>
  <c r="BC5" i="5" s="1"/>
  <c r="BB134" i="13"/>
  <c r="BC24" i="5"/>
  <c r="BB22" i="5"/>
  <c r="BB18" i="5"/>
  <c r="BC18" i="5"/>
  <c r="AZ22" i="5"/>
  <c r="BA24" i="5"/>
  <c r="BB23" i="5"/>
  <c r="BC17" i="5"/>
  <c r="BC19" i="5"/>
  <c r="BC20" i="5"/>
  <c r="BC21" i="5"/>
  <c r="BC23" i="5"/>
  <c r="AZ24" i="5"/>
  <c r="BB19" i="5"/>
  <c r="AZ17" i="5"/>
  <c r="AZ19" i="5"/>
  <c r="AZ21" i="5"/>
  <c r="AZ23" i="5"/>
  <c r="AZ27" i="5"/>
  <c r="BC81" i="14"/>
  <c r="V49" i="52" l="1"/>
  <c r="BH9" i="5"/>
  <c r="BH12" i="5"/>
  <c r="BH5" i="5"/>
  <c r="BH10" i="5"/>
  <c r="BB5" i="13"/>
  <c r="BA5" i="13"/>
  <c r="BB85" i="14"/>
  <c r="BB93" i="13" s="1"/>
  <c r="CH77" i="48"/>
  <c r="CG77" i="48"/>
  <c r="CG76" i="48" s="1"/>
  <c r="CG78" i="48" s="1"/>
  <c r="CF77" i="48"/>
  <c r="CF76" i="48" s="1"/>
  <c r="CF78" i="48" s="1"/>
  <c r="CI2" i="48"/>
  <c r="CH2" i="48"/>
  <c r="CG2" i="48"/>
  <c r="CF2" i="48"/>
  <c r="BB42" i="1"/>
  <c r="BA42" i="1"/>
  <c r="AZ42" i="1"/>
  <c r="BB36" i="1"/>
  <c r="BA36" i="1"/>
  <c r="AZ36" i="1"/>
  <c r="CI77" i="48"/>
  <c r="CI76" i="48" s="1"/>
  <c r="CI78" i="48" s="1"/>
  <c r="BC27" i="5"/>
  <c r="BD2" i="5"/>
  <c r="BC2" i="5"/>
  <c r="BB2" i="5"/>
  <c r="BA2" i="5"/>
  <c r="AZ2" i="5"/>
  <c r="BB42" i="2"/>
  <c r="BA42" i="2"/>
  <c r="BA15" i="13"/>
  <c r="Q5" i="48" l="1"/>
  <c r="BB44" i="1"/>
  <c r="BA44" i="1"/>
  <c r="BC84" i="14"/>
  <c r="BH85" i="14" s="1"/>
  <c r="AZ135" i="13"/>
  <c r="AZ136" i="13" s="1"/>
  <c r="AZ44" i="1"/>
  <c r="CH76" i="48"/>
  <c r="CH78" i="48" s="1"/>
  <c r="BB15" i="13"/>
  <c r="BA135" i="13"/>
  <c r="BA136" i="13" s="1"/>
  <c r="BA130" i="13" l="1"/>
  <c r="BB135" i="13"/>
  <c r="BB136" i="13" s="1"/>
  <c r="BA62" i="13" l="1"/>
  <c r="BD81" i="14"/>
  <c r="AA81" i="16" s="1"/>
  <c r="AA52" i="16"/>
  <c r="BD2" i="14" l="1"/>
  <c r="BC2" i="14"/>
  <c r="BB2" i="14"/>
  <c r="BA2" i="14"/>
  <c r="AZ2" i="14"/>
  <c r="BD2" i="17"/>
  <c r="BC2" i="17"/>
  <c r="BB2" i="17"/>
  <c r="BA2" i="17"/>
  <c r="AZ2" i="17"/>
  <c r="BD138" i="13"/>
  <c r="BD122" i="13"/>
  <c r="AA122" i="15" s="1"/>
  <c r="BC113" i="13"/>
  <c r="BC112" i="13"/>
  <c r="BD93" i="13"/>
  <c r="AA93" i="15" s="1"/>
  <c r="BC93" i="13"/>
  <c r="BD92" i="13"/>
  <c r="AA92" i="15" s="1"/>
  <c r="BC92" i="13"/>
  <c r="BD38" i="13"/>
  <c r="AA38" i="15" s="1"/>
  <c r="BD32" i="13"/>
  <c r="AA32" i="15" s="1"/>
  <c r="BC19" i="13"/>
  <c r="BD18" i="13"/>
  <c r="AA18" i="15" s="1"/>
  <c r="BD17" i="13"/>
  <c r="AA17" i="15" s="1"/>
  <c r="BD16" i="13"/>
  <c r="AA16" i="15" s="1"/>
  <c r="BC9" i="13"/>
  <c r="BD8" i="13"/>
  <c r="AA8" i="15" s="1"/>
  <c r="BD7" i="13"/>
  <c r="AA7" i="15" s="1"/>
  <c r="BD6" i="13"/>
  <c r="AA6" i="15" s="1"/>
  <c r="BD2" i="31"/>
  <c r="BC2" i="31"/>
  <c r="BB2" i="31"/>
  <c r="BA2" i="31"/>
  <c r="AZ2" i="31"/>
  <c r="BC42" i="1"/>
  <c r="BD41" i="1"/>
  <c r="AA37" i="7" s="1"/>
  <c r="BD40" i="1"/>
  <c r="AA36" i="7" s="1"/>
  <c r="BD39" i="1"/>
  <c r="AA35" i="7" s="1"/>
  <c r="BC36" i="1"/>
  <c r="BC44" i="1" s="1"/>
  <c r="BD34" i="1"/>
  <c r="AA30" i="7" s="1"/>
  <c r="BD33" i="1"/>
  <c r="AA29" i="7" s="1"/>
  <c r="BD32" i="1"/>
  <c r="AA28" i="7" s="1"/>
  <c r="BD31" i="1"/>
  <c r="AA27" i="7" s="1"/>
  <c r="AA17" i="7"/>
  <c r="BD2" i="1"/>
  <c r="BC2" i="1"/>
  <c r="BB2" i="1"/>
  <c r="BA2" i="1"/>
  <c r="AZ2" i="1"/>
  <c r="BC42" i="2"/>
  <c r="BD39" i="2"/>
  <c r="AA35" i="10" s="1"/>
  <c r="BD38" i="2"/>
  <c r="AA34" i="10" s="1"/>
  <c r="AA33" i="10"/>
  <c r="BD36" i="2"/>
  <c r="AA32" i="10" s="1"/>
  <c r="BD35" i="2"/>
  <c r="AA31" i="10" s="1"/>
  <c r="AA17" i="10"/>
  <c r="BD2" i="2"/>
  <c r="BC2" i="2"/>
  <c r="BB2" i="2"/>
  <c r="BA2" i="2"/>
  <c r="AZ2" i="2"/>
  <c r="AA23" i="11"/>
  <c r="AA17" i="11"/>
  <c r="BD2" i="4"/>
  <c r="BC2" i="4"/>
  <c r="BB2" i="4"/>
  <c r="BA2" i="4"/>
  <c r="AZ2" i="4"/>
  <c r="AH47" i="18"/>
  <c r="AA49" i="15" l="1"/>
  <c r="AA38" i="7"/>
  <c r="AA39" i="15"/>
  <c r="AA32" i="7"/>
  <c r="BD59" i="13"/>
  <c r="AA48" i="15"/>
  <c r="AA59" i="15" s="1"/>
  <c r="BC133" i="13"/>
  <c r="BD133" i="13" s="1"/>
  <c r="AA133" i="15" s="1"/>
  <c r="BC119" i="13"/>
  <c r="BC134" i="13"/>
  <c r="BD134" i="13" s="1"/>
  <c r="AA134" i="15" s="1"/>
  <c r="BC120" i="13"/>
  <c r="BD120" i="13" s="1"/>
  <c r="AA120" i="15" s="1"/>
  <c r="BD42" i="1"/>
  <c r="BD36" i="1"/>
  <c r="BD42" i="2"/>
  <c r="BD40" i="2"/>
  <c r="AA36" i="10" s="1"/>
  <c r="AB6" i="46"/>
  <c r="BI6" i="5" s="1"/>
  <c r="BE6" i="5" l="1"/>
  <c r="BF6" i="5"/>
  <c r="BG6" i="5"/>
  <c r="BE52" i="14"/>
  <c r="BD44" i="1"/>
  <c r="BC135" i="13"/>
  <c r="BC136" i="13" s="1"/>
  <c r="AA128" i="15"/>
  <c r="AA135" i="15"/>
  <c r="AA136" i="15" s="1"/>
  <c r="CF91" i="48"/>
  <c r="CF92" i="48" s="1"/>
  <c r="CH91" i="48"/>
  <c r="CH92" i="48" s="1"/>
  <c r="CG91" i="48"/>
  <c r="CG92" i="48" s="1"/>
  <c r="BD135" i="13"/>
  <c r="BD136" i="13" s="1"/>
  <c r="BD119" i="13"/>
  <c r="AA119" i="15" s="1"/>
  <c r="AC85" i="15"/>
  <c r="BH6" i="5" l="1"/>
  <c r="BF52" i="14"/>
  <c r="BF81" i="14" s="1"/>
  <c r="BE81" i="14"/>
  <c r="CI91" i="48"/>
  <c r="CI92" i="48" s="1"/>
  <c r="BG52" i="14" l="1"/>
  <c r="A49" i="15"/>
  <c r="Z53" i="16"/>
  <c r="A53" i="16"/>
  <c r="BI49" i="13" l="1"/>
  <c r="AB49" i="15" s="1"/>
  <c r="AC49" i="15" s="1"/>
  <c r="AC52" i="16" s="1"/>
  <c r="BH52" i="14"/>
  <c r="BH81" i="14" s="1"/>
  <c r="BG81" i="14"/>
  <c r="Z49" i="15"/>
  <c r="CD124" i="48"/>
  <c r="BI52" i="14" l="1"/>
  <c r="AW58" i="17"/>
  <c r="AW62" i="17" s="1"/>
  <c r="AW46" i="17"/>
  <c r="AW37" i="17"/>
  <c r="AW25" i="17"/>
  <c r="AW70" i="14"/>
  <c r="AX70" i="14" s="1"/>
  <c r="AW51" i="14"/>
  <c r="AW49" i="14"/>
  <c r="AX49" i="14" s="1"/>
  <c r="AW12" i="14"/>
  <c r="AX12" i="14" s="1"/>
  <c r="AW100" i="13"/>
  <c r="BI81" i="14" l="1"/>
  <c r="AB81" i="16" s="1"/>
  <c r="AB52" i="16"/>
  <c r="AW71" i="17"/>
  <c r="AX51" i="14"/>
  <c r="AW70" i="17"/>
  <c r="AW48" i="17"/>
  <c r="AW64" i="17" s="1"/>
  <c r="AW19" i="1" l="1"/>
  <c r="AW15" i="1"/>
  <c r="AW14" i="1"/>
  <c r="AW10" i="1"/>
  <c r="BB11" i="1" s="1"/>
  <c r="AW8" i="1"/>
  <c r="AW7" i="1"/>
  <c r="AW4" i="1"/>
  <c r="AW19" i="2"/>
  <c r="BB20" i="2" s="1"/>
  <c r="AW15" i="2"/>
  <c r="AW14" i="2"/>
  <c r="AW10" i="2"/>
  <c r="BB11" i="2" s="1"/>
  <c r="AW8" i="2"/>
  <c r="AW7" i="2"/>
  <c r="AW4" i="2"/>
  <c r="AW19" i="4"/>
  <c r="BB20" i="4" s="1"/>
  <c r="AW15" i="4"/>
  <c r="AW14" i="4"/>
  <c r="AW10" i="4"/>
  <c r="BB11" i="4" s="1"/>
  <c r="AW8" i="4"/>
  <c r="AW7" i="4"/>
  <c r="AW4" i="4"/>
  <c r="AW202" i="31"/>
  <c r="AW111" i="13"/>
  <c r="AW110" i="13"/>
  <c r="AW109" i="13"/>
  <c r="AW102" i="13"/>
  <c r="BB103" i="13" s="1"/>
  <c r="AW92" i="13"/>
  <c r="AW90" i="13"/>
  <c r="AW85" i="13"/>
  <c r="BB86" i="13" s="1"/>
  <c r="AW83" i="13"/>
  <c r="AW80" i="13"/>
  <c r="AW77" i="13"/>
  <c r="AW59" i="13"/>
  <c r="AW22" i="1" l="1"/>
  <c r="BB23" i="1" s="1"/>
  <c r="BB20" i="1"/>
  <c r="AW22" i="4"/>
  <c r="BB23" i="4" s="1"/>
  <c r="AW22" i="2"/>
  <c r="BB23" i="2" s="1"/>
  <c r="AW115" i="13"/>
  <c r="T98" i="16" l="1"/>
  <c r="T41" i="48" l="1"/>
  <c r="AD4" i="46"/>
  <c r="AW27" i="41" l="1"/>
  <c r="AW2" i="41"/>
  <c r="AB7" i="46" l="1"/>
  <c r="BI7" i="5" s="1"/>
  <c r="BF7" i="5" l="1"/>
  <c r="BF13" i="5" s="1"/>
  <c r="BG7" i="5"/>
  <c r="BG13" i="5" s="1"/>
  <c r="BE7" i="5"/>
  <c r="BE13" i="5" s="1"/>
  <c r="BI13" i="5"/>
  <c r="CG105" i="48"/>
  <c r="CG106" i="48" s="1"/>
  <c r="CF105" i="48"/>
  <c r="CF106" i="48" s="1"/>
  <c r="CH105" i="48"/>
  <c r="CH106" i="48" s="1"/>
  <c r="BH7" i="5" l="1"/>
  <c r="BH13" i="5"/>
  <c r="CI105" i="48"/>
  <c r="CI106" i="48" s="1"/>
  <c r="AU68" i="14" l="1"/>
  <c r="CC124" i="48"/>
  <c r="AV6" i="17"/>
  <c r="AV14" i="17" s="1"/>
  <c r="AV57" i="14"/>
  <c r="AV54" i="14"/>
  <c r="AV50" i="14"/>
  <c r="AV48" i="14"/>
  <c r="AV45" i="14"/>
  <c r="AV44" i="14"/>
  <c r="AV40" i="14"/>
  <c r="AV38" i="14"/>
  <c r="AV37" i="14"/>
  <c r="AV35" i="14"/>
  <c r="AV34" i="14"/>
  <c r="AV33" i="14"/>
  <c r="AV27" i="14"/>
  <c r="AV26" i="14"/>
  <c r="AV25" i="14"/>
  <c r="AV24" i="14"/>
  <c r="AV23" i="14"/>
  <c r="AV21" i="14"/>
  <c r="AV20" i="14"/>
  <c r="AV19" i="14"/>
  <c r="AV18" i="14"/>
  <c r="AV17" i="14"/>
  <c r="AV16" i="14"/>
  <c r="AV15" i="14"/>
  <c r="AV9" i="14"/>
  <c r="AV11" i="14"/>
  <c r="AV8" i="14"/>
  <c r="AV6" i="14"/>
  <c r="AV5" i="14"/>
  <c r="AV85" i="14"/>
  <c r="AV93" i="13" s="1"/>
  <c r="AV52" i="14"/>
  <c r="AV47" i="14"/>
  <c r="AV46" i="14"/>
  <c r="AV39" i="14"/>
  <c r="AV36" i="14"/>
  <c r="AV22" i="14"/>
  <c r="AV82" i="17"/>
  <c r="AV58" i="17"/>
  <c r="AV62" i="17" s="1"/>
  <c r="AV46" i="17"/>
  <c r="AV37" i="17"/>
  <c r="AV25" i="17"/>
  <c r="AV100" i="13"/>
  <c r="AV120" i="13"/>
  <c r="AV119" i="13"/>
  <c r="AV111" i="13"/>
  <c r="AV110" i="13"/>
  <c r="AV109" i="13"/>
  <c r="AV92" i="13"/>
  <c r="AV85" i="13"/>
  <c r="BA86" i="13" s="1"/>
  <c r="AV83" i="13"/>
  <c r="AV80" i="13"/>
  <c r="AV77" i="13"/>
  <c r="AV59" i="13"/>
  <c r="AV24" i="13"/>
  <c r="AV19" i="1"/>
  <c r="AV15" i="1"/>
  <c r="AV14" i="1"/>
  <c r="AV10" i="1"/>
  <c r="BA11" i="1" s="1"/>
  <c r="AV8" i="1"/>
  <c r="AV7" i="1"/>
  <c r="AV4" i="1"/>
  <c r="AV19" i="2"/>
  <c r="BA20" i="2" s="1"/>
  <c r="AV15" i="2"/>
  <c r="AV14" i="2"/>
  <c r="AV10" i="2"/>
  <c r="BA11" i="2" s="1"/>
  <c r="AV8" i="2"/>
  <c r="AV7" i="2"/>
  <c r="AV4" i="2"/>
  <c r="AV27" i="41"/>
  <c r="AV2" i="41"/>
  <c r="AV19" i="4"/>
  <c r="BA20" i="4" s="1"/>
  <c r="AV15" i="4"/>
  <c r="AV14" i="4"/>
  <c r="AV10" i="4"/>
  <c r="BA11" i="4" s="1"/>
  <c r="AV8" i="4"/>
  <c r="AV7" i="4"/>
  <c r="AV4" i="4"/>
  <c r="AV22" i="1" l="1"/>
  <c r="BA23" i="1" s="1"/>
  <c r="BA20" i="1"/>
  <c r="AW22" i="14"/>
  <c r="AX22" i="14" s="1"/>
  <c r="AW47" i="14"/>
  <c r="AX47" i="14" s="1"/>
  <c r="AW6" i="14"/>
  <c r="AX6" i="14" s="1"/>
  <c r="AW15" i="14"/>
  <c r="AX15" i="14" s="1"/>
  <c r="AW19" i="14"/>
  <c r="AX19" i="14" s="1"/>
  <c r="AW24" i="14"/>
  <c r="AX24" i="14" s="1"/>
  <c r="AW38" i="14"/>
  <c r="AX38" i="14" s="1"/>
  <c r="AW48" i="14"/>
  <c r="AX48" i="14" s="1"/>
  <c r="AW36" i="14"/>
  <c r="AX36" i="14" s="1"/>
  <c r="AW8" i="14"/>
  <c r="AX8" i="14" s="1"/>
  <c r="AW16" i="14"/>
  <c r="AX16" i="14" s="1"/>
  <c r="AW20" i="14"/>
  <c r="AX20" i="14" s="1"/>
  <c r="AW25" i="14"/>
  <c r="AX25" i="14" s="1"/>
  <c r="AX88" i="14" s="1"/>
  <c r="AW34" i="14"/>
  <c r="AX34" i="14" s="1"/>
  <c r="AW40" i="14"/>
  <c r="AX40" i="14" s="1"/>
  <c r="AW50" i="14"/>
  <c r="AX50" i="14" s="1"/>
  <c r="AW39" i="14"/>
  <c r="AX39" i="14" s="1"/>
  <c r="AW11" i="14"/>
  <c r="AX11" i="14" s="1"/>
  <c r="AW17" i="14"/>
  <c r="AX17" i="14" s="1"/>
  <c r="AW21" i="14"/>
  <c r="AX21" i="14" s="1"/>
  <c r="AW26" i="14"/>
  <c r="AX26" i="14" s="1"/>
  <c r="AW35" i="14"/>
  <c r="AX35" i="14" s="1"/>
  <c r="AW44" i="14"/>
  <c r="AX44" i="14" s="1"/>
  <c r="AW54" i="14"/>
  <c r="AX54" i="14" s="1"/>
  <c r="AW46" i="14"/>
  <c r="AX46" i="14" s="1"/>
  <c r="AW9" i="14"/>
  <c r="AX9" i="14" s="1"/>
  <c r="AW18" i="14"/>
  <c r="AX18" i="14" s="1"/>
  <c r="AW23" i="14"/>
  <c r="AX23" i="14" s="1"/>
  <c r="AW27" i="14"/>
  <c r="AX27" i="14" s="1"/>
  <c r="AW37" i="14"/>
  <c r="AX37" i="14" s="1"/>
  <c r="AW45" i="14"/>
  <c r="AX45" i="14" s="1"/>
  <c r="AW57" i="14"/>
  <c r="AX57" i="14" s="1"/>
  <c r="AV88" i="14"/>
  <c r="AV102" i="13"/>
  <c r="BA103" i="13" s="1"/>
  <c r="AV71" i="17"/>
  <c r="AV115" i="13"/>
  <c r="AV70" i="17"/>
  <c r="AW52" i="14"/>
  <c r="AW5" i="14"/>
  <c r="AW96" i="13" s="1"/>
  <c r="AV96" i="13"/>
  <c r="AV81" i="14"/>
  <c r="AW33" i="14"/>
  <c r="AV68" i="14"/>
  <c r="AV69" i="14" s="1"/>
  <c r="AV75" i="14"/>
  <c r="AV31" i="13"/>
  <c r="AV55" i="14"/>
  <c r="AV28" i="14"/>
  <c r="AV41" i="14"/>
  <c r="AV48" i="17"/>
  <c r="AV64" i="17" s="1"/>
  <c r="AV130" i="13"/>
  <c r="AV62" i="13" s="1"/>
  <c r="AV22" i="2"/>
  <c r="BA23" i="2" s="1"/>
  <c r="AV22" i="4"/>
  <c r="BA23" i="4" s="1"/>
  <c r="AW28" i="14" l="1"/>
  <c r="AX28" i="14"/>
  <c r="AX52" i="14"/>
  <c r="AX5" i="14"/>
  <c r="AX33" i="14"/>
  <c r="AW81" i="14"/>
  <c r="AW55" i="14"/>
  <c r="AW75" i="14"/>
  <c r="AW41" i="14"/>
  <c r="AX75" i="14" l="1"/>
  <c r="AX41" i="14"/>
  <c r="AX55" i="14"/>
  <c r="CB124" i="48" l="1"/>
  <c r="AU13" i="14"/>
  <c r="AU202" i="31"/>
  <c r="AU67" i="31"/>
  <c r="AU66" i="31"/>
  <c r="AU88" i="14"/>
  <c r="AU85" i="14"/>
  <c r="AU81" i="14"/>
  <c r="AU55" i="14"/>
  <c r="AU41" i="14"/>
  <c r="AU28" i="14"/>
  <c r="AU82" i="17"/>
  <c r="AU58" i="17"/>
  <c r="AU62" i="17" s="1"/>
  <c r="AU46" i="17"/>
  <c r="AU37" i="17"/>
  <c r="AU25" i="17"/>
  <c r="AU6" i="17"/>
  <c r="AU19" i="1"/>
  <c r="AU15" i="1"/>
  <c r="AU14" i="1"/>
  <c r="AU10" i="1"/>
  <c r="AZ11" i="1" s="1"/>
  <c r="AU8" i="1"/>
  <c r="AU7" i="1"/>
  <c r="AU4" i="1"/>
  <c r="AU19" i="2"/>
  <c r="AU15" i="2"/>
  <c r="AU14" i="2"/>
  <c r="AU10" i="2"/>
  <c r="AZ11" i="2" s="1"/>
  <c r="AU8" i="2"/>
  <c r="AU7" i="2"/>
  <c r="AU4" i="2"/>
  <c r="AU19" i="4"/>
  <c r="AZ20" i="4" s="1"/>
  <c r="AU15" i="4"/>
  <c r="AU14" i="4"/>
  <c r="AU10" i="4"/>
  <c r="AZ11" i="4" s="1"/>
  <c r="AU8" i="4"/>
  <c r="AU7" i="4"/>
  <c r="AU4" i="4"/>
  <c r="AU27" i="41"/>
  <c r="AU2" i="41"/>
  <c r="AU100" i="13"/>
  <c r="AU22" i="1" l="1"/>
  <c r="AZ23" i="1" s="1"/>
  <c r="AZ20" i="1"/>
  <c r="AU22" i="2"/>
  <c r="AZ23" i="2" s="1"/>
  <c r="AZ20" i="2"/>
  <c r="AU71" i="17"/>
  <c r="AY100" i="13"/>
  <c r="AV13" i="14"/>
  <c r="AW13" i="14" s="1"/>
  <c r="AU22" i="4"/>
  <c r="AZ23" i="4" s="1"/>
  <c r="AU70" i="17"/>
  <c r="AU14" i="17"/>
  <c r="AU68" i="31"/>
  <c r="AU48" i="17"/>
  <c r="AU64" i="17" s="1"/>
  <c r="AX13" i="14" l="1"/>
  <c r="AY102" i="13"/>
  <c r="AY70" i="17"/>
  <c r="AY71" i="17"/>
  <c r="AY105" i="13"/>
  <c r="AY106" i="13" s="1"/>
  <c r="AU120" i="13"/>
  <c r="AU119" i="13"/>
  <c r="AU111" i="13"/>
  <c r="AU110" i="13"/>
  <c r="AU109" i="13"/>
  <c r="AU102" i="13"/>
  <c r="AZ103" i="13" s="1"/>
  <c r="AU96" i="13"/>
  <c r="AU93" i="13"/>
  <c r="AU92" i="13"/>
  <c r="AU83" i="13"/>
  <c r="AU80" i="13"/>
  <c r="AU77" i="13"/>
  <c r="AU59" i="13"/>
  <c r="AU24" i="13"/>
  <c r="AU15" i="13"/>
  <c r="AU5" i="13"/>
  <c r="AY88" i="13" l="1"/>
  <c r="AV90" i="13"/>
  <c r="AY89" i="13"/>
  <c r="AX102" i="13"/>
  <c r="AU31" i="13"/>
  <c r="AU130" i="13"/>
  <c r="AU62" i="13" s="1"/>
  <c r="AU115" i="13"/>
  <c r="AL75" i="18" l="1"/>
  <c r="AL80" i="18"/>
  <c r="Z16" i="46" l="1"/>
  <c r="O18" i="48"/>
  <c r="O17" i="48"/>
  <c r="AV21" i="31"/>
  <c r="AV19" i="31"/>
  <c r="AO88" i="14"/>
  <c r="AT88" i="14"/>
  <c r="CA124" i="48"/>
  <c r="CB125" i="48" s="1"/>
  <c r="AS33" i="1"/>
  <c r="BD16" i="5" l="1"/>
  <c r="AS202" i="31"/>
  <c r="AS67" i="31"/>
  <c r="AT67" i="31" s="1"/>
  <c r="AS66" i="31"/>
  <c r="AS6" i="17"/>
  <c r="AT13" i="14"/>
  <c r="BG30" i="5" l="1"/>
  <c r="BF30" i="5"/>
  <c r="BE30" i="5"/>
  <c r="BH30" i="5"/>
  <c r="BA16" i="5"/>
  <c r="AZ16" i="5"/>
  <c r="BB16" i="5"/>
  <c r="BC16" i="5"/>
  <c r="AS68" i="31"/>
  <c r="AS85" i="14"/>
  <c r="AS93" i="13" s="1"/>
  <c r="AT84" i="14"/>
  <c r="AT81" i="14"/>
  <c r="AS68" i="14"/>
  <c r="AT63" i="14"/>
  <c r="AS58" i="14"/>
  <c r="AT55" i="14"/>
  <c r="AT41" i="14"/>
  <c r="AS32" i="14"/>
  <c r="AT28" i="14"/>
  <c r="AS10" i="14"/>
  <c r="AS7" i="14"/>
  <c r="AS14" i="17"/>
  <c r="AS82" i="17"/>
  <c r="AT60" i="17"/>
  <c r="AS58" i="17"/>
  <c r="AS62" i="17" s="1"/>
  <c r="AT57" i="17"/>
  <c r="AT56" i="17"/>
  <c r="AT55" i="17"/>
  <c r="AT54" i="17"/>
  <c r="AT53" i="17"/>
  <c r="AT52" i="17"/>
  <c r="AS46" i="17"/>
  <c r="AT45" i="17"/>
  <c r="AT44" i="17"/>
  <c r="AT43" i="17"/>
  <c r="AT42" i="17"/>
  <c r="AT41" i="17"/>
  <c r="AT40" i="17"/>
  <c r="AS37" i="17"/>
  <c r="AT36" i="17"/>
  <c r="AT35" i="17"/>
  <c r="AT34" i="17"/>
  <c r="AT33" i="17"/>
  <c r="AT32" i="17"/>
  <c r="AT31" i="17"/>
  <c r="AS25" i="17"/>
  <c r="AT24" i="17"/>
  <c r="AT23" i="17"/>
  <c r="AT22" i="17"/>
  <c r="AT21" i="17"/>
  <c r="AT20" i="17"/>
  <c r="AT19" i="17"/>
  <c r="AT18" i="17"/>
  <c r="AT13" i="17"/>
  <c r="AT12" i="17"/>
  <c r="AT11" i="17"/>
  <c r="AT10" i="17"/>
  <c r="AT9" i="17"/>
  <c r="AT8" i="17"/>
  <c r="AT7" i="17"/>
  <c r="AN6" i="17"/>
  <c r="AS134" i="13"/>
  <c r="AS130" i="13"/>
  <c r="AS62" i="13" s="1"/>
  <c r="AT129" i="13"/>
  <c r="AT128" i="13"/>
  <c r="AT127" i="13"/>
  <c r="AT126" i="13"/>
  <c r="AT122" i="13"/>
  <c r="AT114" i="13"/>
  <c r="AT113" i="13"/>
  <c r="AT112" i="13"/>
  <c r="AT111" i="13"/>
  <c r="AT110" i="13"/>
  <c r="AT109" i="13"/>
  <c r="AT101" i="13"/>
  <c r="AS92" i="13"/>
  <c r="AU90" i="13"/>
  <c r="AS80" i="13"/>
  <c r="AT79" i="13"/>
  <c r="AY80" i="13" s="1"/>
  <c r="AS77" i="13"/>
  <c r="AT76" i="13"/>
  <c r="AY77" i="13" s="1"/>
  <c r="AT67" i="13"/>
  <c r="AT66" i="13"/>
  <c r="AS59" i="13"/>
  <c r="AT55" i="13"/>
  <c r="AT48" i="13"/>
  <c r="AT59" i="13" s="1"/>
  <c r="AT43" i="13"/>
  <c r="AT39" i="13"/>
  <c r="AS133" i="13"/>
  <c r="AT37" i="13"/>
  <c r="AT32" i="13"/>
  <c r="AT30" i="13"/>
  <c r="AT29" i="13"/>
  <c r="AT28" i="13"/>
  <c r="AT27" i="13"/>
  <c r="AT26" i="13"/>
  <c r="AT25" i="13"/>
  <c r="AT23" i="13"/>
  <c r="AT22" i="13"/>
  <c r="AS19" i="13"/>
  <c r="AT18" i="13"/>
  <c r="AT17" i="13"/>
  <c r="AS9" i="13"/>
  <c r="AT8" i="13"/>
  <c r="AT7" i="13"/>
  <c r="AT5" i="13"/>
  <c r="AT4" i="13"/>
  <c r="AT3" i="13"/>
  <c r="AT17" i="1"/>
  <c r="AT19" i="1" s="1"/>
  <c r="AT15" i="1"/>
  <c r="AT14" i="1"/>
  <c r="AS13" i="1"/>
  <c r="AT10" i="1"/>
  <c r="AY11" i="1" s="1"/>
  <c r="AT8" i="1"/>
  <c r="AT7" i="1"/>
  <c r="AS6" i="1"/>
  <c r="AS109" i="13" s="1"/>
  <c r="AT4" i="1"/>
  <c r="AS3" i="1"/>
  <c r="AT55" i="1"/>
  <c r="AS54" i="1"/>
  <c r="AS53" i="1"/>
  <c r="AS42" i="1"/>
  <c r="AT41" i="1"/>
  <c r="AT40" i="1"/>
  <c r="AT39" i="1"/>
  <c r="AT39" i="2"/>
  <c r="AT38" i="2"/>
  <c r="AT36" i="2"/>
  <c r="AT35" i="2"/>
  <c r="AS42" i="2"/>
  <c r="AT32" i="2"/>
  <c r="AT31" i="2"/>
  <c r="AT19" i="2"/>
  <c r="AT15" i="2"/>
  <c r="AT14" i="2"/>
  <c r="AS13" i="2"/>
  <c r="AT10" i="2"/>
  <c r="AY11" i="2" s="1"/>
  <c r="AT8" i="2"/>
  <c r="AT7" i="2"/>
  <c r="AS6" i="2"/>
  <c r="AS110" i="13" s="1"/>
  <c r="AT4" i="2"/>
  <c r="AS3" i="2"/>
  <c r="AS26" i="2" s="1"/>
  <c r="Y26" i="40"/>
  <c r="Y25" i="40"/>
  <c r="Y24" i="40"/>
  <c r="Y23" i="40"/>
  <c r="Y21" i="40"/>
  <c r="Y19" i="47" s="1"/>
  <c r="Y20" i="40"/>
  <c r="Y18" i="47" s="1"/>
  <c r="Y19" i="40"/>
  <c r="Y17" i="47" s="1"/>
  <c r="Y18" i="40"/>
  <c r="Y16" i="47" s="1"/>
  <c r="Y17" i="40"/>
  <c r="Y15" i="47" s="1"/>
  <c r="Y16" i="40"/>
  <c r="Y14" i="47" s="1"/>
  <c r="Y15" i="40"/>
  <c r="Y13" i="47" s="1"/>
  <c r="Y14" i="40"/>
  <c r="Y12" i="47" s="1"/>
  <c r="Y13" i="40"/>
  <c r="Y11" i="47" s="1"/>
  <c r="Y12" i="40"/>
  <c r="Y10" i="47" s="1"/>
  <c r="Y11" i="40"/>
  <c r="Y9" i="47" s="1"/>
  <c r="Y10" i="40"/>
  <c r="Y8" i="47" s="1"/>
  <c r="Y9" i="40"/>
  <c r="Y7" i="47" s="1"/>
  <c r="Y8" i="40"/>
  <c r="Y6" i="47" s="1"/>
  <c r="Y7" i="40"/>
  <c r="Y5" i="47" s="1"/>
  <c r="Y6" i="40"/>
  <c r="Y4" i="47" s="1"/>
  <c r="AT27" i="41"/>
  <c r="Y27" i="40" s="1"/>
  <c r="AS26" i="41"/>
  <c r="AS25" i="41"/>
  <c r="AS24" i="41"/>
  <c r="AS23" i="41"/>
  <c r="AS21" i="41"/>
  <c r="AS20" i="41"/>
  <c r="AS19" i="41"/>
  <c r="AS18" i="41"/>
  <c r="AS17" i="41"/>
  <c r="AS16" i="41"/>
  <c r="AS15" i="41"/>
  <c r="AS14" i="41"/>
  <c r="AS13" i="41"/>
  <c r="AS12" i="41"/>
  <c r="AS11" i="41"/>
  <c r="AS10" i="41"/>
  <c r="AS9" i="41"/>
  <c r="AS8" i="41"/>
  <c r="AS7" i="41"/>
  <c r="AS6" i="41"/>
  <c r="AT2" i="41"/>
  <c r="AS2" i="41"/>
  <c r="AT30" i="4"/>
  <c r="AT19" i="4"/>
  <c r="AY20" i="4" s="1"/>
  <c r="AS17" i="4"/>
  <c r="AT15" i="4"/>
  <c r="AT14" i="4"/>
  <c r="AS13" i="4"/>
  <c r="AT10" i="4"/>
  <c r="AY11" i="4" s="1"/>
  <c r="AT8" i="4"/>
  <c r="AT7" i="4"/>
  <c r="AS6" i="4"/>
  <c r="AT4" i="4"/>
  <c r="AS3" i="4"/>
  <c r="AS5" i="13" s="1"/>
  <c r="AT82" i="17" l="1"/>
  <c r="BE3" i="1"/>
  <c r="BF3" i="1"/>
  <c r="BG3" i="1"/>
  <c r="AS111" i="13"/>
  <c r="AS115" i="13" s="1"/>
  <c r="AX7" i="4"/>
  <c r="AT22" i="2"/>
  <c r="AY23" i="2" s="1"/>
  <c r="AY20" i="2"/>
  <c r="AT13" i="13"/>
  <c r="AY20" i="1"/>
  <c r="AT92" i="13"/>
  <c r="AY85" i="14"/>
  <c r="AY93" i="13" s="1"/>
  <c r="AU69" i="14"/>
  <c r="AY75" i="14"/>
  <c r="AU75" i="14"/>
  <c r="AT42" i="1"/>
  <c r="AS26" i="4"/>
  <c r="AT15" i="13"/>
  <c r="AT14" i="13"/>
  <c r="AS71" i="17"/>
  <c r="AS70" i="17"/>
  <c r="AS3" i="13"/>
  <c r="AT58" i="17"/>
  <c r="AT62" i="17" s="1"/>
  <c r="AT46" i="17"/>
  <c r="AS48" i="17"/>
  <c r="AS64" i="17" s="1"/>
  <c r="AT25" i="17"/>
  <c r="AT14" i="17"/>
  <c r="AT37" i="17"/>
  <c r="AT6" i="17"/>
  <c r="AT24" i="13"/>
  <c r="AT31" i="13" s="1"/>
  <c r="AS4" i="13"/>
  <c r="AT10" i="13"/>
  <c r="AY11" i="13" s="1"/>
  <c r="AT115" i="13"/>
  <c r="AT38" i="13"/>
  <c r="AS85" i="13"/>
  <c r="AX86" i="13" s="1"/>
  <c r="AT82" i="13"/>
  <c r="AS8" i="1"/>
  <c r="AT22" i="1"/>
  <c r="AY23" i="1" s="1"/>
  <c r="AS15" i="1"/>
  <c r="AS10" i="1"/>
  <c r="AS55" i="1"/>
  <c r="AS8" i="2"/>
  <c r="AS15" i="2"/>
  <c r="AS10" i="2"/>
  <c r="AS43" i="2"/>
  <c r="AS44" i="2" s="1"/>
  <c r="AS27" i="41"/>
  <c r="AS8" i="4"/>
  <c r="AS15" i="4"/>
  <c r="AT22" i="4"/>
  <c r="AY23" i="4" s="1"/>
  <c r="AS10" i="4"/>
  <c r="BE31" i="5" l="1"/>
  <c r="BE32" i="5" s="1"/>
  <c r="BE4" i="1"/>
  <c r="BE3" i="13"/>
  <c r="BE8" i="1"/>
  <c r="BE19" i="1"/>
  <c r="BF31" i="5"/>
  <c r="BF32" i="5" s="1"/>
  <c r="BF8" i="1"/>
  <c r="BF3" i="13"/>
  <c r="BF19" i="1"/>
  <c r="BF4" i="1"/>
  <c r="BG31" i="5"/>
  <c r="BG32" i="5" s="1"/>
  <c r="BG19" i="1"/>
  <c r="BG4" i="1"/>
  <c r="BG3" i="13"/>
  <c r="BG8" i="1"/>
  <c r="AU85" i="13"/>
  <c r="AZ86" i="13" s="1"/>
  <c r="AY83" i="13"/>
  <c r="AY85" i="13"/>
  <c r="AT74" i="17"/>
  <c r="AS10" i="13"/>
  <c r="AT75" i="17"/>
  <c r="AT20" i="13"/>
  <c r="AT34" i="13" s="1"/>
  <c r="AT77" i="17"/>
  <c r="AT76" i="17"/>
  <c r="AT74" i="14"/>
  <c r="AT79" i="17"/>
  <c r="AT69" i="17"/>
  <c r="AT68" i="17"/>
  <c r="AT78" i="17"/>
  <c r="AT48" i="17"/>
  <c r="AT64" i="17" s="1"/>
  <c r="BE13" i="13" l="1"/>
  <c r="BE20" i="1"/>
  <c r="BE13" i="1"/>
  <c r="BG13" i="13"/>
  <c r="BG20" i="1"/>
  <c r="BG13" i="1"/>
  <c r="BF13" i="13"/>
  <c r="BF20" i="1"/>
  <c r="BF13" i="1"/>
  <c r="AY90" i="13"/>
  <c r="AS75" i="17"/>
  <c r="AS105" i="13"/>
  <c r="AS76" i="17"/>
  <c r="AS74" i="17"/>
  <c r="AS78" i="17"/>
  <c r="AS77" i="17"/>
  <c r="AS69" i="17"/>
  <c r="AS79" i="17"/>
  <c r="AS68" i="17"/>
  <c r="AT118" i="13"/>
  <c r="AT40" i="13"/>
  <c r="AY41" i="13" s="1"/>
  <c r="AT35" i="13"/>
  <c r="BF15" i="1" l="1"/>
  <c r="BF45" i="1"/>
  <c r="BF14" i="1"/>
  <c r="BF10" i="1"/>
  <c r="BF11" i="1" s="1"/>
  <c r="BE15" i="1"/>
  <c r="BE14" i="1"/>
  <c r="BE45" i="1"/>
  <c r="BE10" i="1"/>
  <c r="BE11" i="1" s="1"/>
  <c r="BG15" i="1"/>
  <c r="BG45" i="1"/>
  <c r="BG14" i="1"/>
  <c r="BG10" i="1"/>
  <c r="BG11" i="1" s="1"/>
  <c r="AS106" i="13"/>
  <c r="AT46" i="13"/>
  <c r="AT4" i="14" s="1"/>
  <c r="AT44" i="13"/>
  <c r="BG46" i="1" l="1"/>
  <c r="BE46" i="1"/>
  <c r="BF46" i="1"/>
  <c r="AT29" i="14"/>
  <c r="AT50" i="13"/>
  <c r="AY51" i="13" s="1"/>
  <c r="AT77" i="14" l="1"/>
  <c r="AT59" i="14"/>
  <c r="AT73" i="13"/>
  <c r="AT70" i="13"/>
  <c r="AT82" i="14" l="1"/>
  <c r="AT79" i="14"/>
  <c r="AT78" i="14"/>
  <c r="BL90" i="17" l="1"/>
  <c r="AS5" i="5"/>
  <c r="Y7" i="8"/>
  <c r="Y6" i="46" s="1"/>
  <c r="Y8" i="8"/>
  <c r="Y7" i="46" s="1"/>
  <c r="Y9" i="8"/>
  <c r="Y8" i="46" s="1"/>
  <c r="Y5" i="8"/>
  <c r="AK75" i="18"/>
  <c r="AK80" i="18"/>
  <c r="P112" i="48"/>
  <c r="P98" i="48"/>
  <c r="O98" i="48"/>
  <c r="P49" i="48"/>
  <c r="P27" i="48"/>
  <c r="P90" i="48" l="1"/>
  <c r="P104" i="48"/>
  <c r="P5" i="48"/>
  <c r="P41" i="48"/>
  <c r="AY175" i="13"/>
  <c r="AW175" i="13"/>
  <c r="AV175" i="13"/>
  <c r="AU175" i="13"/>
  <c r="AT175" i="13"/>
  <c r="AP175" i="13"/>
  <c r="AD173" i="15"/>
  <c r="T108" i="48" l="1"/>
  <c r="T104" i="48"/>
  <c r="T94" i="48"/>
  <c r="T80" i="48"/>
  <c r="T77" i="48"/>
  <c r="T76" i="48" s="1"/>
  <c r="T78" i="48" s="1"/>
  <c r="T45" i="48"/>
  <c r="T40" i="48"/>
  <c r="T9" i="48"/>
  <c r="T5" i="48"/>
  <c r="T4" i="48" s="1"/>
  <c r="AD92" i="15"/>
  <c r="AD86" i="15"/>
  <c r="AD59" i="15"/>
  <c r="AD85" i="16"/>
  <c r="AD93" i="15" s="1"/>
  <c r="AD2" i="18"/>
  <c r="AD2" i="16"/>
  <c r="AL67" i="18" s="1"/>
  <c r="AD67" i="32"/>
  <c r="AD34" i="18" s="1"/>
  <c r="AD2" i="32"/>
  <c r="T10" i="52"/>
  <c r="T9" i="52"/>
  <c r="T8" i="52"/>
  <c r="T7" i="52"/>
  <c r="T6" i="52"/>
  <c r="AD38" i="7"/>
  <c r="AD31" i="7"/>
  <c r="AD32" i="7" s="1"/>
  <c r="AD2" i="7"/>
  <c r="AD13" i="8"/>
  <c r="AD12" i="8"/>
  <c r="AD11" i="8"/>
  <c r="AD10" i="8"/>
  <c r="AD6" i="8"/>
  <c r="AD2" i="8"/>
  <c r="AD86" i="46"/>
  <c r="AD59" i="46"/>
  <c r="AD58" i="46"/>
  <c r="AD57" i="46"/>
  <c r="AD56" i="46"/>
  <c r="AD52" i="46"/>
  <c r="AD67" i="46" s="1"/>
  <c r="AD48" i="46"/>
  <c r="AD8" i="46"/>
  <c r="AD7" i="46"/>
  <c r="AD2" i="46"/>
  <c r="AD36" i="10"/>
  <c r="AD66" i="47" s="1"/>
  <c r="AD2" i="10"/>
  <c r="AD21" i="40"/>
  <c r="AD20" i="40"/>
  <c r="AD19" i="40"/>
  <c r="AD18" i="40"/>
  <c r="AD17" i="40"/>
  <c r="AD16" i="40"/>
  <c r="AD15" i="40"/>
  <c r="AD14" i="40"/>
  <c r="AD13" i="40"/>
  <c r="AD12" i="40"/>
  <c r="AD11" i="40"/>
  <c r="AD10" i="40"/>
  <c r="AD9" i="40"/>
  <c r="AD8" i="40"/>
  <c r="AD7" i="40"/>
  <c r="AD6" i="40"/>
  <c r="AD20" i="47"/>
  <c r="AD2" i="47"/>
  <c r="AD2" i="40"/>
  <c r="AD23" i="11"/>
  <c r="AD2" i="11"/>
  <c r="Z129" i="15"/>
  <c r="Z127" i="15"/>
  <c r="Z126" i="15"/>
  <c r="Z114" i="15"/>
  <c r="Z113" i="15"/>
  <c r="Z112" i="15"/>
  <c r="Z101" i="15"/>
  <c r="Z67" i="15"/>
  <c r="Z66" i="15"/>
  <c r="Z55" i="15"/>
  <c r="Z54" i="15"/>
  <c r="Z53" i="15"/>
  <c r="Z44" i="15"/>
  <c r="Z30" i="15"/>
  <c r="Z29" i="15"/>
  <c r="Z28" i="15"/>
  <c r="Z27" i="15"/>
  <c r="Z26" i="15"/>
  <c r="Z25" i="15"/>
  <c r="Z23" i="15"/>
  <c r="Z22" i="15"/>
  <c r="Z19" i="15"/>
  <c r="Z9" i="15"/>
  <c r="Z123" i="18"/>
  <c r="Z117" i="18"/>
  <c r="Z115" i="18"/>
  <c r="Z113" i="18"/>
  <c r="Z104" i="18"/>
  <c r="Z100" i="18"/>
  <c r="Z97" i="18"/>
  <c r="Z95" i="18"/>
  <c r="Z92" i="18"/>
  <c r="Z75" i="18"/>
  <c r="Z70" i="18"/>
  <c r="Z69" i="18"/>
  <c r="Z68" i="18"/>
  <c r="Z89" i="16"/>
  <c r="Z84" i="16"/>
  <c r="Z74" i="16"/>
  <c r="Z70" i="16"/>
  <c r="Z63" i="16"/>
  <c r="Z58" i="16"/>
  <c r="Z57" i="16"/>
  <c r="Z51" i="16"/>
  <c r="Z50" i="16"/>
  <c r="Z49" i="16"/>
  <c r="Z48" i="16"/>
  <c r="Z47" i="16"/>
  <c r="Z46" i="16"/>
  <c r="Z40" i="16"/>
  <c r="Z39" i="16"/>
  <c r="Z36" i="16"/>
  <c r="Z35" i="16"/>
  <c r="Z34" i="16"/>
  <c r="Z27" i="16"/>
  <c r="Z22" i="16"/>
  <c r="Z13" i="16"/>
  <c r="Z12" i="16"/>
  <c r="Z11" i="16"/>
  <c r="Z10" i="16"/>
  <c r="Z9" i="16"/>
  <c r="Z8" i="16"/>
  <c r="Z7" i="16"/>
  <c r="Z6" i="16"/>
  <c r="Z22" i="11"/>
  <c r="Z4" i="11"/>
  <c r="T91" i="48" l="1"/>
  <c r="T90" i="48" s="1"/>
  <c r="T92" i="48" s="1"/>
  <c r="AD8" i="8"/>
  <c r="T42" i="48"/>
  <c r="T43" i="48" s="1"/>
  <c r="AD40" i="7"/>
  <c r="Z24" i="15"/>
  <c r="Z31" i="15" s="1"/>
  <c r="AD51" i="46"/>
  <c r="AD66" i="46" s="1"/>
  <c r="AD5" i="8"/>
  <c r="T2" i="52"/>
  <c r="T2" i="48"/>
  <c r="AD54" i="46"/>
  <c r="AD69" i="46" s="1"/>
  <c r="AD76" i="46" s="1"/>
  <c r="T105" i="48"/>
  <c r="T106" i="48" s="1"/>
  <c r="AD33" i="46"/>
  <c r="T6" i="48"/>
  <c r="T7" i="48" s="1"/>
  <c r="AD53" i="46"/>
  <c r="AD68" i="46" s="1"/>
  <c r="AD84" i="46" s="1"/>
  <c r="AD9" i="8"/>
  <c r="AD27" i="40"/>
  <c r="AD30" i="46"/>
  <c r="AD32" i="46" s="1"/>
  <c r="AD55" i="46"/>
  <c r="AD70" i="46" s="1"/>
  <c r="AD77" i="46" s="1"/>
  <c r="AD7" i="8"/>
  <c r="AD83" i="46"/>
  <c r="AD74" i="46"/>
  <c r="AD3" i="46"/>
  <c r="AD13" i="46"/>
  <c r="AD14" i="8" s="1"/>
  <c r="AD21" i="8" l="1"/>
  <c r="AD17" i="8"/>
  <c r="AD85" i="46"/>
  <c r="AD75" i="46"/>
  <c r="AD44" i="46"/>
  <c r="AD45" i="7" s="1"/>
  <c r="AD93" i="46"/>
  <c r="AD3" i="7"/>
  <c r="AE4" i="7" s="1"/>
  <c r="AD60" i="46"/>
  <c r="AD62" i="46" s="1"/>
  <c r="AD19" i="7" s="1"/>
  <c r="AE20" i="7" s="1"/>
  <c r="AD82" i="46"/>
  <c r="AD73" i="46"/>
  <c r="AD63" i="46" l="1"/>
  <c r="AD3" i="15"/>
  <c r="T32" i="52"/>
  <c r="U33" i="52" s="1"/>
  <c r="T52" i="52"/>
  <c r="T53" i="52" s="1"/>
  <c r="T54" i="52" s="1"/>
  <c r="AD13" i="7"/>
  <c r="AD13" i="15"/>
  <c r="AD22" i="7"/>
  <c r="AE23" i="7" s="1"/>
  <c r="AD44" i="7"/>
  <c r="AW85" i="14"/>
  <c r="AW93" i="13" s="1"/>
  <c r="AX117" i="17"/>
  <c r="AW117" i="17"/>
  <c r="AX115" i="17"/>
  <c r="AW115" i="17"/>
  <c r="AX104" i="17"/>
  <c r="AW104" i="17"/>
  <c r="AX100" i="17"/>
  <c r="AW100" i="17"/>
  <c r="AX97" i="17"/>
  <c r="AW97" i="17"/>
  <c r="AX123" i="17"/>
  <c r="AW123" i="17"/>
  <c r="AX113" i="17"/>
  <c r="AW113" i="17"/>
  <c r="AX95" i="17"/>
  <c r="AW95" i="17"/>
  <c r="AW92" i="17"/>
  <c r="AX92" i="17"/>
  <c r="Z85" i="16"/>
  <c r="Z6" i="18"/>
  <c r="Z54" i="16"/>
  <c r="AV134" i="13"/>
  <c r="AW119" i="13"/>
  <c r="AY119" i="13" s="1"/>
  <c r="Z122" i="15"/>
  <c r="AD10" i="7" l="1"/>
  <c r="AE14" i="7"/>
  <c r="AW134" i="13"/>
  <c r="AW120" i="13"/>
  <c r="BC85" i="14"/>
  <c r="AU133" i="13"/>
  <c r="AX175" i="13"/>
  <c r="AD15" i="7"/>
  <c r="AD41" i="7"/>
  <c r="T19" i="52"/>
  <c r="T28" i="52" s="1"/>
  <c r="AU134" i="13"/>
  <c r="AW6" i="17"/>
  <c r="AW14" i="17" s="1"/>
  <c r="AV133" i="13"/>
  <c r="AV135" i="13" s="1"/>
  <c r="AW133" i="13"/>
  <c r="AW135" i="13" l="1"/>
  <c r="AY134" i="13"/>
  <c r="AW130" i="13"/>
  <c r="AW62" i="13" s="1"/>
  <c r="AY120" i="13"/>
  <c r="AY133" i="13"/>
  <c r="T48" i="52"/>
  <c r="U49" i="52" s="1"/>
  <c r="AE11" i="7"/>
  <c r="AU135" i="13"/>
  <c r="AD42" i="7"/>
  <c r="AD47" i="7"/>
  <c r="AY135" i="13" l="1"/>
  <c r="AX135" i="13" s="1"/>
  <c r="AY136" i="13"/>
  <c r="AY130" i="13"/>
  <c r="AY62" i="13" s="1"/>
  <c r="AY63" i="13" s="1"/>
  <c r="AY121" i="13"/>
  <c r="AY123" i="13" s="1"/>
  <c r="Z93" i="15"/>
  <c r="Z92" i="15"/>
  <c r="Z6" i="15"/>
  <c r="Z38" i="15"/>
  <c r="Z32" i="15"/>
  <c r="AW24" i="13"/>
  <c r="Z18" i="15"/>
  <c r="Z17" i="15"/>
  <c r="Z16" i="15"/>
  <c r="Z8" i="15"/>
  <c r="Z7" i="15"/>
  <c r="AU75" i="31"/>
  <c r="AV75" i="31" s="1"/>
  <c r="AW75" i="31" s="1"/>
  <c r="AX75" i="31" s="1"/>
  <c r="AY75" i="31" s="1"/>
  <c r="CB118" i="48"/>
  <c r="CC118" i="48" s="1"/>
  <c r="CD118" i="48" s="1"/>
  <c r="CE118" i="48" s="1"/>
  <c r="CE2" i="48"/>
  <c r="CD2" i="48"/>
  <c r="CC2" i="48"/>
  <c r="CB2" i="48"/>
  <c r="AW42" i="1"/>
  <c r="AV42" i="1"/>
  <c r="AU42" i="1"/>
  <c r="AV36" i="1"/>
  <c r="AU36" i="1"/>
  <c r="AX42" i="1"/>
  <c r="AY41" i="1"/>
  <c r="Z37" i="7" s="1"/>
  <c r="AY40" i="1"/>
  <c r="Z36" i="7" s="1"/>
  <c r="AY39" i="1"/>
  <c r="Z35" i="7" s="1"/>
  <c r="AY34" i="1"/>
  <c r="Z30" i="7" s="1"/>
  <c r="AY33" i="1"/>
  <c r="Z29" i="7" s="1"/>
  <c r="AY32" i="1"/>
  <c r="Z28" i="7" s="1"/>
  <c r="AY31" i="1"/>
  <c r="Z27" i="7" s="1"/>
  <c r="Z17" i="7"/>
  <c r="AY27" i="5"/>
  <c r="AV27" i="5" s="1"/>
  <c r="AY24" i="5"/>
  <c r="AU24" i="5" s="1"/>
  <c r="AY23" i="5"/>
  <c r="AW23" i="5" s="1"/>
  <c r="AY22" i="5"/>
  <c r="AW22" i="5" s="1"/>
  <c r="AY21" i="5"/>
  <c r="AV21" i="5" s="1"/>
  <c r="AY20" i="5"/>
  <c r="AU20" i="5" s="1"/>
  <c r="AY19" i="5"/>
  <c r="AX19" i="5" s="1"/>
  <c r="AY18" i="5"/>
  <c r="AW18" i="5" s="1"/>
  <c r="AY17" i="5"/>
  <c r="AV17" i="5" s="1"/>
  <c r="AY16" i="5"/>
  <c r="AU16" i="5" s="1"/>
  <c r="AW11" i="5"/>
  <c r="AW9" i="5"/>
  <c r="AW42" i="2"/>
  <c r="AV42" i="2"/>
  <c r="AU42" i="2"/>
  <c r="AX42" i="2"/>
  <c r="AY39" i="2"/>
  <c r="Z35" i="10" s="1"/>
  <c r="AY38" i="2"/>
  <c r="Z34" i="10" s="1"/>
  <c r="AY37" i="2"/>
  <c r="Z33" i="10" s="1"/>
  <c r="AY36" i="2"/>
  <c r="Z32" i="10" s="1"/>
  <c r="AY35" i="2"/>
  <c r="Z31" i="10" s="1"/>
  <c r="Z17" i="10"/>
  <c r="AY69" i="13" l="1"/>
  <c r="AW31" i="13"/>
  <c r="AX24" i="13"/>
  <c r="Z75" i="32"/>
  <c r="AZ75" i="31"/>
  <c r="CF118" i="48"/>
  <c r="CG118" i="48" s="1"/>
  <c r="CH118" i="48" s="1"/>
  <c r="CI118" i="48" s="1"/>
  <c r="AX23" i="5"/>
  <c r="AV44" i="1"/>
  <c r="AX21" i="5"/>
  <c r="AU44" i="1"/>
  <c r="AX22" i="5"/>
  <c r="AX18" i="5"/>
  <c r="Z38" i="7"/>
  <c r="Z48" i="15"/>
  <c r="Z59" i="15" s="1"/>
  <c r="AX17" i="5"/>
  <c r="AU19" i="5"/>
  <c r="AW17" i="5"/>
  <c r="AU10" i="5"/>
  <c r="AW21" i="5"/>
  <c r="AX16" i="5"/>
  <c r="AU23" i="5"/>
  <c r="Z39" i="15"/>
  <c r="AV136" i="13"/>
  <c r="Z134" i="15"/>
  <c r="Z120" i="15"/>
  <c r="AW136" i="13"/>
  <c r="AU136" i="13"/>
  <c r="AV20" i="5"/>
  <c r="AV24" i="5"/>
  <c r="AW36" i="1"/>
  <c r="AW44" i="1" s="1"/>
  <c r="AX24" i="5"/>
  <c r="AX20" i="5"/>
  <c r="AW16" i="5"/>
  <c r="AU18" i="5"/>
  <c r="AV19" i="5"/>
  <c r="AW20" i="5"/>
  <c r="AU22" i="5"/>
  <c r="AV23" i="5"/>
  <c r="AW24" i="5"/>
  <c r="AU9" i="5"/>
  <c r="AW12" i="5"/>
  <c r="AW10" i="5"/>
  <c r="AV16" i="5"/>
  <c r="AU17" i="5"/>
  <c r="AV18" i="5"/>
  <c r="AW19" i="5"/>
  <c r="AU21" i="5"/>
  <c r="AV22" i="5"/>
  <c r="AU12" i="5"/>
  <c r="AU11" i="5"/>
  <c r="AX11" i="5" s="1"/>
  <c r="AU27" i="5"/>
  <c r="AY42" i="1"/>
  <c r="AY42" i="2"/>
  <c r="AY40" i="2"/>
  <c r="Z36" i="10" s="1"/>
  <c r="AX31" i="13" l="1"/>
  <c r="AX136" i="13"/>
  <c r="BA75" i="31"/>
  <c r="AX10" i="5"/>
  <c r="AX9" i="5"/>
  <c r="AX27" i="5"/>
  <c r="Z119" i="15"/>
  <c r="AX12" i="5"/>
  <c r="BB75" i="31" l="1"/>
  <c r="Z133" i="15"/>
  <c r="Z135" i="15" s="1"/>
  <c r="Z136" i="15" s="1"/>
  <c r="BC75" i="31" l="1"/>
  <c r="Z62" i="15"/>
  <c r="Z128" i="15"/>
  <c r="Z130" i="15" s="1"/>
  <c r="Z23" i="11"/>
  <c r="Z17" i="11"/>
  <c r="BD75" i="31" l="1"/>
  <c r="AW5" i="13"/>
  <c r="AV5" i="13"/>
  <c r="AY2" i="17"/>
  <c r="AX2" i="17"/>
  <c r="AW2" i="17"/>
  <c r="AV2" i="17"/>
  <c r="AU2" i="17"/>
  <c r="AY2" i="14"/>
  <c r="AX2" i="14"/>
  <c r="AW2" i="14"/>
  <c r="AV2" i="14"/>
  <c r="AU2" i="14"/>
  <c r="AY2" i="31"/>
  <c r="AX2" i="31"/>
  <c r="AW2" i="31"/>
  <c r="AV2" i="31"/>
  <c r="AU2" i="31"/>
  <c r="AY2" i="1"/>
  <c r="AX2" i="1"/>
  <c r="AW2" i="1"/>
  <c r="AV2" i="1"/>
  <c r="AU2" i="1"/>
  <c r="AY2" i="5"/>
  <c r="AX2" i="5"/>
  <c r="AW2" i="5"/>
  <c r="AV2" i="5"/>
  <c r="AU2" i="5"/>
  <c r="AY2" i="2"/>
  <c r="AX2" i="2"/>
  <c r="AW2" i="2"/>
  <c r="AV2" i="2"/>
  <c r="AU2" i="2"/>
  <c r="AY2" i="4"/>
  <c r="AX2" i="4"/>
  <c r="AW2" i="4"/>
  <c r="AV2" i="4"/>
  <c r="AU2" i="4"/>
  <c r="S104" i="48"/>
  <c r="AC7" i="46"/>
  <c r="AA75" i="32" l="1"/>
  <c r="BE75" i="31"/>
  <c r="CD42" i="48"/>
  <c r="CB6" i="48"/>
  <c r="CC105" i="48"/>
  <c r="CC106" i="48" s="1"/>
  <c r="CB105" i="48"/>
  <c r="CB106" i="48" s="1"/>
  <c r="CD105" i="48"/>
  <c r="CD106" i="48" s="1"/>
  <c r="CB42" i="48"/>
  <c r="CC42" i="48"/>
  <c r="BF75" i="31" l="1"/>
  <c r="CD6" i="48"/>
  <c r="CC6" i="48"/>
  <c r="AX7" i="5"/>
  <c r="CE105" i="48" s="1"/>
  <c r="CE106" i="48" s="1"/>
  <c r="AX8" i="5"/>
  <c r="CE6" i="48" s="1"/>
  <c r="AX4" i="5"/>
  <c r="P4" i="48"/>
  <c r="AR37" i="2"/>
  <c r="AR42" i="2" s="1"/>
  <c r="AR43" i="2" s="1"/>
  <c r="AR44" i="2" s="1"/>
  <c r="CR30" i="48"/>
  <c r="AR55" i="1"/>
  <c r="AQ55" i="1"/>
  <c r="AP55" i="1"/>
  <c r="AO55" i="1"/>
  <c r="AM55" i="1"/>
  <c r="AL55" i="1"/>
  <c r="AK55" i="1"/>
  <c r="AJ55" i="1"/>
  <c r="AH55" i="1"/>
  <c r="AG55" i="1"/>
  <c r="AF55" i="1"/>
  <c r="AE55" i="1"/>
  <c r="AC55" i="1"/>
  <c r="AB55" i="1"/>
  <c r="AA55" i="1"/>
  <c r="AN54" i="1"/>
  <c r="AN53" i="1"/>
  <c r="AI54" i="1"/>
  <c r="AI53" i="1"/>
  <c r="AD54" i="1"/>
  <c r="AD53" i="1"/>
  <c r="AR35" i="1"/>
  <c r="AR36" i="1" s="1"/>
  <c r="BZ124" i="48"/>
  <c r="AR202" i="31"/>
  <c r="AR66" i="31"/>
  <c r="AR67" i="31"/>
  <c r="AR82" i="17"/>
  <c r="AR58" i="17"/>
  <c r="AR62" i="17" s="1"/>
  <c r="AR46" i="17"/>
  <c r="AR37" i="17"/>
  <c r="AR25" i="17"/>
  <c r="AR6" i="17"/>
  <c r="AR14" i="17" s="1"/>
  <c r="AR85" i="14"/>
  <c r="AR93" i="13" s="1"/>
  <c r="AR68" i="14"/>
  <c r="AR51" i="14"/>
  <c r="AR49" i="14"/>
  <c r="AS49" i="14" s="1"/>
  <c r="AR12" i="14"/>
  <c r="AS12" i="14" s="1"/>
  <c r="AR100" i="13"/>
  <c r="AR134" i="13"/>
  <c r="AR133" i="13"/>
  <c r="AR120" i="13"/>
  <c r="AR119" i="13"/>
  <c r="AR111" i="13"/>
  <c r="AR110" i="13"/>
  <c r="AR109" i="13"/>
  <c r="AR92" i="13"/>
  <c r="AS90" i="13"/>
  <c r="AR80" i="13"/>
  <c r="AR77" i="13"/>
  <c r="AR59" i="13"/>
  <c r="AR54" i="13"/>
  <c r="AR53" i="13"/>
  <c r="AR24" i="13"/>
  <c r="AR5" i="13"/>
  <c r="AR4" i="13"/>
  <c r="AR3" i="13"/>
  <c r="AR19" i="4"/>
  <c r="AR15" i="4"/>
  <c r="AR14" i="4"/>
  <c r="AR10" i="4"/>
  <c r="AW11" i="4" s="1"/>
  <c r="AR8" i="4"/>
  <c r="AR7" i="4"/>
  <c r="AR4" i="4"/>
  <c r="AR27" i="41"/>
  <c r="AR2" i="41"/>
  <c r="AR19" i="2"/>
  <c r="AW20" i="2" s="1"/>
  <c r="AR15" i="2"/>
  <c r="AR14" i="2"/>
  <c r="AR10" i="2"/>
  <c r="AW11" i="2" s="1"/>
  <c r="AR8" i="2"/>
  <c r="AR7" i="2"/>
  <c r="AR4" i="2"/>
  <c r="AR42" i="1"/>
  <c r="AR19" i="1"/>
  <c r="AR15" i="1"/>
  <c r="AR14" i="1"/>
  <c r="AR10" i="1"/>
  <c r="AW11" i="1" s="1"/>
  <c r="AR8" i="1"/>
  <c r="AR7" i="1"/>
  <c r="AR4" i="1"/>
  <c r="BG75" i="31" l="1"/>
  <c r="AR22" i="1"/>
  <c r="AW23" i="1" s="1"/>
  <c r="AW20" i="1"/>
  <c r="AR15" i="13"/>
  <c r="AW20" i="4"/>
  <c r="AR102" i="13"/>
  <c r="AW103" i="13" s="1"/>
  <c r="AS51" i="14"/>
  <c r="AR68" i="31"/>
  <c r="AR85" i="13"/>
  <c r="AW86" i="13" s="1"/>
  <c r="AR70" i="17"/>
  <c r="CE42" i="48"/>
  <c r="CB43" i="48"/>
  <c r="AR14" i="13"/>
  <c r="AR44" i="1"/>
  <c r="AR45" i="1" s="1"/>
  <c r="AR46" i="1" s="1"/>
  <c r="AI55" i="1"/>
  <c r="AN55" i="1"/>
  <c r="AR71" i="17"/>
  <c r="AR10" i="13"/>
  <c r="AR13" i="13"/>
  <c r="AR135" i="13"/>
  <c r="AR136" i="13" s="1"/>
  <c r="AD55" i="1"/>
  <c r="AR31" i="13"/>
  <c r="AR22" i="2"/>
  <c r="AW23" i="2" s="1"/>
  <c r="AR130" i="13"/>
  <c r="AR62" i="13" s="1"/>
  <c r="AR48" i="17"/>
  <c r="AR64" i="17" s="1"/>
  <c r="AR115" i="13"/>
  <c r="AR22" i="4"/>
  <c r="AW23" i="4" s="1"/>
  <c r="BH75" i="31" l="1"/>
  <c r="AR77" i="17"/>
  <c r="CC43" i="48"/>
  <c r="AR74" i="17"/>
  <c r="AR20" i="13"/>
  <c r="AR105" i="13"/>
  <c r="AR78" i="17"/>
  <c r="AR76" i="17"/>
  <c r="AR69" i="17"/>
  <c r="AR79" i="17"/>
  <c r="AR75" i="17"/>
  <c r="AR68" i="17"/>
  <c r="BI75" i="31" l="1"/>
  <c r="AB75" i="32" s="1"/>
  <c r="AR34" i="13"/>
  <c r="AR106" i="13"/>
  <c r="CD43" i="48"/>
  <c r="CE43" i="48"/>
  <c r="AR118" i="13" l="1"/>
  <c r="AR121" i="13" s="1"/>
  <c r="AR123" i="13" s="1"/>
  <c r="AR35" i="13"/>
  <c r="AR40" i="13"/>
  <c r="CH42" i="48" l="1"/>
  <c r="CH43" i="48" s="1"/>
  <c r="CF42" i="48"/>
  <c r="CF43" i="48" s="1"/>
  <c r="CG42" i="48"/>
  <c r="CG43" i="48" s="1"/>
  <c r="AR46" i="13"/>
  <c r="AR4" i="14" s="1"/>
  <c r="AR44" i="13"/>
  <c r="AR50" i="13" l="1"/>
  <c r="AR73" i="13" s="1"/>
  <c r="AR56" i="13"/>
  <c r="AR74" i="13" s="1"/>
  <c r="AR71" i="13" l="1"/>
  <c r="AR60" i="13"/>
  <c r="AR63" i="13"/>
  <c r="AR69" i="13" s="1"/>
  <c r="AR70" i="13"/>
  <c r="AR4" i="5" l="1"/>
  <c r="AQ202" i="31"/>
  <c r="BY124" i="48" l="1"/>
  <c r="AQ67" i="31"/>
  <c r="AQ66" i="31"/>
  <c r="AQ82" i="17"/>
  <c r="AQ58" i="17"/>
  <c r="AQ62" i="17" s="1"/>
  <c r="AQ46" i="17"/>
  <c r="AQ37" i="17"/>
  <c r="AQ25" i="17"/>
  <c r="AQ6" i="17"/>
  <c r="AQ14" i="17" s="1"/>
  <c r="AQ57" i="14"/>
  <c r="AQ54" i="14"/>
  <c r="AQ50" i="14"/>
  <c r="AQ48" i="14"/>
  <c r="AQ45" i="14"/>
  <c r="AQ44" i="14"/>
  <c r="AQ40" i="14"/>
  <c r="AQ38" i="14"/>
  <c r="AQ37" i="14"/>
  <c r="AQ34" i="14"/>
  <c r="AQ33" i="14"/>
  <c r="AQ17" i="14"/>
  <c r="AQ27" i="14"/>
  <c r="AQ26" i="14"/>
  <c r="AQ25" i="14"/>
  <c r="AQ24" i="14"/>
  <c r="AQ23" i="14"/>
  <c r="AQ21" i="14"/>
  <c r="AQ20" i="14"/>
  <c r="AQ19" i="14"/>
  <c r="AQ18" i="14"/>
  <c r="AQ16" i="14"/>
  <c r="AQ15" i="14"/>
  <c r="AQ11" i="14"/>
  <c r="AQ9" i="14"/>
  <c r="AQ8" i="14"/>
  <c r="AQ6" i="14"/>
  <c r="AQ5" i="14"/>
  <c r="AQ85" i="14"/>
  <c r="AQ93" i="13" s="1"/>
  <c r="AQ68" i="14"/>
  <c r="AQ52" i="14"/>
  <c r="AQ47" i="14"/>
  <c r="AQ46" i="14"/>
  <c r="AQ39" i="14"/>
  <c r="AQ36" i="14"/>
  <c r="AQ35" i="14"/>
  <c r="AQ22" i="14"/>
  <c r="AP89" i="14"/>
  <c r="AP88" i="14"/>
  <c r="AQ100" i="13"/>
  <c r="AQ111" i="13"/>
  <c r="AQ110" i="13"/>
  <c r="AQ109" i="13"/>
  <c r="AQ92" i="13"/>
  <c r="AR90" i="13"/>
  <c r="AQ80" i="13"/>
  <c r="AQ77" i="13"/>
  <c r="AQ59" i="13"/>
  <c r="AQ24" i="13"/>
  <c r="AQ5" i="13"/>
  <c r="AQ4" i="13"/>
  <c r="AQ3" i="13"/>
  <c r="AQ19" i="4"/>
  <c r="AQ15" i="4"/>
  <c r="AQ14" i="4"/>
  <c r="AQ10" i="4"/>
  <c r="AV11" i="4" s="1"/>
  <c r="AQ8" i="4"/>
  <c r="AQ7" i="4"/>
  <c r="AQ4" i="4"/>
  <c r="AQ37" i="2"/>
  <c r="AT37" i="2" s="1"/>
  <c r="AT42" i="2" s="1"/>
  <c r="AT43" i="2" s="1"/>
  <c r="AT44" i="2" s="1"/>
  <c r="AQ19" i="2"/>
  <c r="AV20" i="2" s="1"/>
  <c r="AQ15" i="2"/>
  <c r="AQ14" i="2"/>
  <c r="AQ10" i="2"/>
  <c r="AV11" i="2" s="1"/>
  <c r="AQ8" i="2"/>
  <c r="AQ7" i="2"/>
  <c r="AQ4" i="2"/>
  <c r="AQ27" i="41"/>
  <c r="AQ2" i="41"/>
  <c r="AQ19" i="1"/>
  <c r="AQ15" i="1"/>
  <c r="AQ14" i="1"/>
  <c r="AQ10" i="1"/>
  <c r="AV11" i="1" s="1"/>
  <c r="AQ8" i="1"/>
  <c r="AQ7" i="1"/>
  <c r="AQ4" i="1"/>
  <c r="AQ22" i="1" l="1"/>
  <c r="AV23" i="1" s="1"/>
  <c r="AV20" i="1"/>
  <c r="AQ22" i="4"/>
  <c r="AV23" i="4" s="1"/>
  <c r="AV20" i="4"/>
  <c r="AR22" i="14"/>
  <c r="AS22" i="14" s="1"/>
  <c r="AR18" i="14"/>
  <c r="AS18" i="14" s="1"/>
  <c r="AR37" i="14"/>
  <c r="AS37" i="14" s="1"/>
  <c r="AR36" i="14"/>
  <c r="AS36" i="14" s="1"/>
  <c r="AQ81" i="14"/>
  <c r="AR6" i="14"/>
  <c r="AS6" i="14" s="1"/>
  <c r="AR15" i="14"/>
  <c r="AS15" i="14" s="1"/>
  <c r="AR20" i="14"/>
  <c r="AS20" i="14" s="1"/>
  <c r="AR25" i="14"/>
  <c r="AR88" i="14" s="1"/>
  <c r="AQ88" i="14"/>
  <c r="AR40" i="14"/>
  <c r="AS40" i="14" s="1"/>
  <c r="AR50" i="14"/>
  <c r="AS50" i="14" s="1"/>
  <c r="AR9" i="14"/>
  <c r="AS9" i="14" s="1"/>
  <c r="AR27" i="14"/>
  <c r="AS27" i="14" s="1"/>
  <c r="AR39" i="14"/>
  <c r="AS39" i="14" s="1"/>
  <c r="AR8" i="14"/>
  <c r="AS8" i="14" s="1"/>
  <c r="AR16" i="14"/>
  <c r="AS16" i="14" s="1"/>
  <c r="AR21" i="14"/>
  <c r="AS21" i="14" s="1"/>
  <c r="AR26" i="14"/>
  <c r="AS26" i="14" s="1"/>
  <c r="AR34" i="14"/>
  <c r="AS34" i="14" s="1"/>
  <c r="AR44" i="14"/>
  <c r="AS44" i="14" s="1"/>
  <c r="AR54" i="14"/>
  <c r="AS54" i="14" s="1"/>
  <c r="AR46" i="14"/>
  <c r="AS46" i="14" s="1"/>
  <c r="AR23" i="14"/>
  <c r="AS23" i="14" s="1"/>
  <c r="AR45" i="14"/>
  <c r="AS45" i="14" s="1"/>
  <c r="AR57" i="14"/>
  <c r="AS57" i="14" s="1"/>
  <c r="AR35" i="14"/>
  <c r="AS35" i="14" s="1"/>
  <c r="AR47" i="14"/>
  <c r="AS47" i="14" s="1"/>
  <c r="AR11" i="14"/>
  <c r="AS11" i="14" s="1"/>
  <c r="AR19" i="14"/>
  <c r="AS19" i="14" s="1"/>
  <c r="AR24" i="14"/>
  <c r="AS24" i="14" s="1"/>
  <c r="AR17" i="14"/>
  <c r="AS17" i="14" s="1"/>
  <c r="AR38" i="14"/>
  <c r="AS38" i="14" s="1"/>
  <c r="AQ89" i="14"/>
  <c r="AR89" i="14" s="1"/>
  <c r="AR48" i="14"/>
  <c r="AR175" i="13" s="1"/>
  <c r="AQ175" i="13"/>
  <c r="AQ14" i="13"/>
  <c r="AQ70" i="17"/>
  <c r="AR52" i="14"/>
  <c r="AR5" i="14"/>
  <c r="AQ31" i="13"/>
  <c r="AQ85" i="13"/>
  <c r="AV86" i="13" s="1"/>
  <c r="AQ75" i="14"/>
  <c r="AR33" i="14"/>
  <c r="AQ15" i="13"/>
  <c r="AQ102" i="13"/>
  <c r="AV103" i="13" s="1"/>
  <c r="AQ28" i="14"/>
  <c r="AQ55" i="14"/>
  <c r="AQ71" i="17"/>
  <c r="AQ13" i="13"/>
  <c r="AQ10" i="13"/>
  <c r="AQ96" i="13"/>
  <c r="AQ115" i="13"/>
  <c r="AQ48" i="17"/>
  <c r="AQ64" i="17" s="1"/>
  <c r="AQ41" i="14"/>
  <c r="AQ22" i="2"/>
  <c r="AV23" i="2" s="1"/>
  <c r="AS89" i="14" l="1"/>
  <c r="AS52" i="14"/>
  <c r="AR96" i="13"/>
  <c r="AS48" i="14"/>
  <c r="AS25" i="14"/>
  <c r="AS88" i="14" s="1"/>
  <c r="AR28" i="14"/>
  <c r="AS33" i="14"/>
  <c r="AS5" i="14"/>
  <c r="AR81" i="14"/>
  <c r="AR55" i="14"/>
  <c r="AR75" i="14"/>
  <c r="AR74" i="14"/>
  <c r="AR41" i="14"/>
  <c r="AQ105" i="13"/>
  <c r="AQ20" i="13"/>
  <c r="AQ76" i="17"/>
  <c r="AQ69" i="17"/>
  <c r="AQ77" i="17"/>
  <c r="AQ79" i="17"/>
  <c r="AQ74" i="17"/>
  <c r="AQ68" i="17"/>
  <c r="AQ78" i="17"/>
  <c r="AQ74" i="14"/>
  <c r="AQ75" i="17"/>
  <c r="AQ44" i="13"/>
  <c r="AS81" i="14" l="1"/>
  <c r="AS55" i="14"/>
  <c r="AR97" i="13"/>
  <c r="AS28" i="14"/>
  <c r="AS75" i="14"/>
  <c r="AS74" i="14"/>
  <c r="AS41" i="14"/>
  <c r="AQ34" i="13"/>
  <c r="AQ106" i="13"/>
  <c r="AR98" i="13" l="1"/>
  <c r="AQ40" i="13"/>
  <c r="AQ97" i="13"/>
  <c r="AQ35" i="13"/>
  <c r="AQ98" i="13" l="1"/>
  <c r="AQ46" i="13"/>
  <c r="AQ4" i="14" l="1"/>
  <c r="AQ50" i="13"/>
  <c r="AQ56" i="13"/>
  <c r="AQ70" i="13" l="1"/>
  <c r="AQ73" i="13"/>
  <c r="AQ71" i="13"/>
  <c r="AQ74" i="13"/>
  <c r="AQ60" i="13"/>
  <c r="BX124" i="48"/>
  <c r="BY125" i="48" s="1"/>
  <c r="AP27" i="41"/>
  <c r="AQ90" i="13"/>
  <c r="AP2" i="41"/>
  <c r="BY49" i="48"/>
  <c r="BZ49" i="48"/>
  <c r="CA49" i="48"/>
  <c r="Y48" i="46"/>
  <c r="Z48" i="46"/>
  <c r="AA48" i="46"/>
  <c r="AB48" i="46"/>
  <c r="AC48" i="46"/>
  <c r="AT27" i="5"/>
  <c r="AP42" i="2"/>
  <c r="AP43" i="2" s="1"/>
  <c r="AP44" i="2" s="1"/>
  <c r="AQ42" i="2"/>
  <c r="AQ37" i="46"/>
  <c r="AP37" i="46"/>
  <c r="AT88" i="13" l="1"/>
  <c r="AN35" i="2"/>
  <c r="AN39" i="2"/>
  <c r="AP19" i="2"/>
  <c r="AP202" i="31"/>
  <c r="AP67" i="31"/>
  <c r="AP66" i="31"/>
  <c r="AP82" i="17"/>
  <c r="AP58" i="17"/>
  <c r="AP62" i="17" s="1"/>
  <c r="AP46" i="17"/>
  <c r="AP37" i="17"/>
  <c r="AP25" i="17"/>
  <c r="AP6" i="17"/>
  <c r="AP14" i="17" s="1"/>
  <c r="AP13" i="14"/>
  <c r="AP85" i="14"/>
  <c r="AP93" i="13" s="1"/>
  <c r="AP81" i="14"/>
  <c r="AP70" i="14"/>
  <c r="AP55" i="14"/>
  <c r="AP41" i="14"/>
  <c r="AP28" i="14"/>
  <c r="AP100" i="13"/>
  <c r="AP134" i="13"/>
  <c r="AP133" i="13"/>
  <c r="AP120" i="13"/>
  <c r="AP119" i="13"/>
  <c r="AP111" i="13"/>
  <c r="AP110" i="13"/>
  <c r="AP109" i="13"/>
  <c r="AP96" i="13"/>
  <c r="AP92" i="13"/>
  <c r="AP80" i="13"/>
  <c r="AP77" i="13"/>
  <c r="AP59" i="13"/>
  <c r="AP44" i="13"/>
  <c r="AP24" i="13"/>
  <c r="AP19" i="4"/>
  <c r="AP15" i="4"/>
  <c r="AP14" i="4"/>
  <c r="AP10" i="4"/>
  <c r="AU11" i="4" s="1"/>
  <c r="AP8" i="4"/>
  <c r="AP7" i="4"/>
  <c r="AP4" i="4"/>
  <c r="AP15" i="2"/>
  <c r="AP14" i="2"/>
  <c r="AP10" i="2"/>
  <c r="AU11" i="2" s="1"/>
  <c r="AP8" i="2"/>
  <c r="AP7" i="2"/>
  <c r="AP4" i="2"/>
  <c r="AP42" i="1"/>
  <c r="AP36" i="1"/>
  <c r="AP19" i="1"/>
  <c r="AP15" i="1"/>
  <c r="AP14" i="1"/>
  <c r="AP10" i="1"/>
  <c r="AU11" i="1" s="1"/>
  <c r="AP8" i="1"/>
  <c r="AP7" i="1"/>
  <c r="AP4" i="1"/>
  <c r="AS19" i="4" l="1"/>
  <c r="AS15" i="13" s="1"/>
  <c r="AU20" i="4"/>
  <c r="AS19" i="1"/>
  <c r="AS13" i="13" s="1"/>
  <c r="AU20" i="1"/>
  <c r="AS19" i="2"/>
  <c r="AS22" i="2" s="1"/>
  <c r="AU20" i="2"/>
  <c r="AT100" i="13"/>
  <c r="AT102" i="13" s="1"/>
  <c r="AY103" i="13" s="1"/>
  <c r="AS24" i="13"/>
  <c r="AQ13" i="14"/>
  <c r="AR13" i="14" s="1"/>
  <c r="AR29" i="14" s="1"/>
  <c r="AQ70" i="14"/>
  <c r="AR70" i="14" s="1"/>
  <c r="CB7" i="48"/>
  <c r="AP44" i="1"/>
  <c r="AP45" i="1" s="1"/>
  <c r="AP46" i="1" s="1"/>
  <c r="AP70" i="17"/>
  <c r="AP31" i="13"/>
  <c r="AP71" i="17"/>
  <c r="AP115" i="13"/>
  <c r="AN42" i="2"/>
  <c r="AP68" i="31"/>
  <c r="AP48" i="17"/>
  <c r="AP64" i="17" s="1"/>
  <c r="AP102" i="13"/>
  <c r="AU103" i="13" s="1"/>
  <c r="AP130" i="13"/>
  <c r="AP62" i="13" s="1"/>
  <c r="AP135" i="13"/>
  <c r="AP136" i="13" s="1"/>
  <c r="AP22" i="4"/>
  <c r="AU23" i="4" s="1"/>
  <c r="AP22" i="2"/>
  <c r="AU23" i="2" s="1"/>
  <c r="AP22" i="1"/>
  <c r="AU23" i="1" s="1"/>
  <c r="X6" i="8"/>
  <c r="X7" i="8"/>
  <c r="X8" i="8"/>
  <c r="X9" i="8"/>
  <c r="X10" i="8"/>
  <c r="X11" i="8"/>
  <c r="X12" i="8"/>
  <c r="X13" i="8"/>
  <c r="X5" i="8"/>
  <c r="S5" i="48"/>
  <c r="S4" i="48" s="1"/>
  <c r="BN53" i="13"/>
  <c r="AS22" i="4" l="1"/>
  <c r="AS27" i="2"/>
  <c r="AS27" i="4"/>
  <c r="AS14" i="13"/>
  <c r="AS22" i="1"/>
  <c r="AT71" i="17"/>
  <c r="AT105" i="13"/>
  <c r="AT106" i="13" s="1"/>
  <c r="AT70" i="17"/>
  <c r="AS31" i="13"/>
  <c r="AQ29" i="14"/>
  <c r="AQ71" i="14"/>
  <c r="AS70" i="14"/>
  <c r="AS13" i="14"/>
  <c r="AS102" i="13"/>
  <c r="AX103" i="13" s="1"/>
  <c r="CC7" i="48"/>
  <c r="AR77" i="14"/>
  <c r="AR59" i="14"/>
  <c r="AC8" i="46"/>
  <c r="AS35" i="1"/>
  <c r="BW124" i="48"/>
  <c r="AN202" i="31"/>
  <c r="AN67" i="31"/>
  <c r="AO67" i="31" s="1"/>
  <c r="AN66" i="31"/>
  <c r="AN82" i="17"/>
  <c r="AO60" i="17"/>
  <c r="AN58" i="17"/>
  <c r="AN62" i="17" s="1"/>
  <c r="AO57" i="17"/>
  <c r="AO56" i="17"/>
  <c r="AO55" i="17"/>
  <c r="AO54" i="17"/>
  <c r="AO53" i="17"/>
  <c r="AO52" i="17"/>
  <c r="AN46" i="17"/>
  <c r="AO45" i="17"/>
  <c r="AO44" i="17"/>
  <c r="AO43" i="17"/>
  <c r="AO42" i="17"/>
  <c r="AO41" i="17"/>
  <c r="AO40" i="17"/>
  <c r="AN37" i="17"/>
  <c r="AO36" i="17"/>
  <c r="AO35" i="17"/>
  <c r="AO34" i="17"/>
  <c r="AO33" i="17"/>
  <c r="AO32" i="17"/>
  <c r="AO31" i="17"/>
  <c r="AN25" i="17"/>
  <c r="AO24" i="17"/>
  <c r="AO23" i="17"/>
  <c r="AO22" i="17"/>
  <c r="AO21" i="17"/>
  <c r="AO20" i="17"/>
  <c r="AO19" i="17"/>
  <c r="AT75" i="14" s="1"/>
  <c r="AO18" i="17"/>
  <c r="AO13" i="17"/>
  <c r="AO12" i="17"/>
  <c r="AO11" i="17"/>
  <c r="AO10" i="17"/>
  <c r="AO9" i="17"/>
  <c r="AO8" i="17"/>
  <c r="AN14" i="17"/>
  <c r="AO14" i="17" s="1"/>
  <c r="AO13" i="14"/>
  <c r="AN85" i="14"/>
  <c r="AN93" i="13" s="1"/>
  <c r="AO84" i="14"/>
  <c r="AO81" i="14"/>
  <c r="AO63" i="14"/>
  <c r="AN58" i="14"/>
  <c r="AO55" i="14"/>
  <c r="AO41" i="14"/>
  <c r="AN32" i="14"/>
  <c r="AO28" i="14"/>
  <c r="AN10" i="14"/>
  <c r="AN7" i="14"/>
  <c r="AS83" i="13"/>
  <c r="AN100" i="13"/>
  <c r="AO138" i="13"/>
  <c r="AN134" i="13"/>
  <c r="AN130" i="13"/>
  <c r="AN62" i="13" s="1"/>
  <c r="AO129" i="13"/>
  <c r="AO128" i="13"/>
  <c r="AO127" i="13"/>
  <c r="AO126" i="13"/>
  <c r="AO122" i="13"/>
  <c r="AO114" i="13"/>
  <c r="AO113" i="13"/>
  <c r="AO112" i="13"/>
  <c r="AO111" i="13"/>
  <c r="AO110" i="13"/>
  <c r="AO109" i="13"/>
  <c r="AO101" i="13"/>
  <c r="AO96" i="13"/>
  <c r="AN92" i="13"/>
  <c r="AT90" i="13"/>
  <c r="AN80" i="13"/>
  <c r="AO79" i="13"/>
  <c r="AT80" i="13" s="1"/>
  <c r="AO76" i="13"/>
  <c r="AT77" i="13" s="1"/>
  <c r="AN67" i="13"/>
  <c r="AO67" i="13" s="1"/>
  <c r="AN66" i="13"/>
  <c r="AO66" i="13" s="1"/>
  <c r="AN59" i="13"/>
  <c r="AN55" i="13"/>
  <c r="AO55" i="13" s="1"/>
  <c r="AO48" i="13"/>
  <c r="AO59" i="13" s="1"/>
  <c r="AO43" i="13"/>
  <c r="AO39" i="13"/>
  <c r="AN38" i="13"/>
  <c r="AO37" i="13"/>
  <c r="AO32" i="13"/>
  <c r="AO30" i="13"/>
  <c r="AO29" i="13"/>
  <c r="AO28" i="13"/>
  <c r="AO27" i="13"/>
  <c r="AO26" i="13"/>
  <c r="AO25" i="13"/>
  <c r="AO23" i="13"/>
  <c r="AO22" i="13"/>
  <c r="X26" i="40"/>
  <c r="X25" i="40"/>
  <c r="X24" i="40"/>
  <c r="X23" i="40"/>
  <c r="X21" i="40"/>
  <c r="X19" i="47" s="1"/>
  <c r="X20" i="40"/>
  <c r="X18" i="47" s="1"/>
  <c r="X19" i="40"/>
  <c r="X17" i="47" s="1"/>
  <c r="X18" i="40"/>
  <c r="X16" i="47" s="1"/>
  <c r="X17" i="40"/>
  <c r="X15" i="47" s="1"/>
  <c r="X16" i="40"/>
  <c r="X14" i="47" s="1"/>
  <c r="X15" i="40"/>
  <c r="X13" i="47" s="1"/>
  <c r="X14" i="40"/>
  <c r="X12" i="47" s="1"/>
  <c r="X13" i="40"/>
  <c r="X11" i="47" s="1"/>
  <c r="X12" i="40"/>
  <c r="X10" i="47" s="1"/>
  <c r="X11" i="40"/>
  <c r="X9" i="47" s="1"/>
  <c r="X10" i="40"/>
  <c r="X8" i="47" s="1"/>
  <c r="X9" i="40"/>
  <c r="X7" i="47" s="1"/>
  <c r="X8" i="40"/>
  <c r="X6" i="47" s="1"/>
  <c r="X7" i="40"/>
  <c r="X5" i="47" s="1"/>
  <c r="X6" i="40"/>
  <c r="X4" i="47" s="1"/>
  <c r="X2" i="40"/>
  <c r="AO30" i="4"/>
  <c r="AO19" i="4"/>
  <c r="AT20" i="4" s="1"/>
  <c r="AN17" i="4"/>
  <c r="AO15" i="4"/>
  <c r="AO14" i="4"/>
  <c r="AN13" i="4"/>
  <c r="AS14" i="4" s="1"/>
  <c r="AO10" i="4"/>
  <c r="AT11" i="4" s="1"/>
  <c r="AO8" i="4"/>
  <c r="AO7" i="4"/>
  <c r="AN6" i="4"/>
  <c r="AO4" i="4"/>
  <c r="AN3" i="4"/>
  <c r="AO2" i="4"/>
  <c r="AN2" i="4"/>
  <c r="AO27" i="41"/>
  <c r="X27" i="40" s="1"/>
  <c r="AN26" i="41"/>
  <c r="AN25" i="41"/>
  <c r="AN24" i="41"/>
  <c r="AN23" i="41"/>
  <c r="AN21" i="41"/>
  <c r="AN20" i="41"/>
  <c r="AN19" i="41"/>
  <c r="AN18" i="41"/>
  <c r="AN17" i="41"/>
  <c r="AN16" i="41"/>
  <c r="AN15" i="41"/>
  <c r="AN14" i="41"/>
  <c r="AN13" i="41"/>
  <c r="AN12" i="41"/>
  <c r="AN11" i="41"/>
  <c r="AN10" i="41"/>
  <c r="AN9" i="41"/>
  <c r="AN8" i="41"/>
  <c r="AN7" i="41"/>
  <c r="AN6" i="41"/>
  <c r="AO2" i="41"/>
  <c r="AN2" i="41"/>
  <c r="AO39" i="2"/>
  <c r="AO38" i="2"/>
  <c r="AO36" i="2"/>
  <c r="AO35" i="2"/>
  <c r="AO32" i="2"/>
  <c r="AO31" i="2"/>
  <c r="AO19" i="2"/>
  <c r="AO15" i="2"/>
  <c r="AO14" i="2"/>
  <c r="AN13" i="2"/>
  <c r="AO10" i="2"/>
  <c r="AT11" i="2" s="1"/>
  <c r="AO8" i="2"/>
  <c r="AO7" i="2"/>
  <c r="AN6" i="2"/>
  <c r="AS7" i="2" s="1"/>
  <c r="AO4" i="2"/>
  <c r="AN3" i="2"/>
  <c r="AO2" i="2"/>
  <c r="AN2" i="2"/>
  <c r="AN42" i="1"/>
  <c r="AO41" i="1"/>
  <c r="AO40" i="1"/>
  <c r="AO39" i="1"/>
  <c r="AN35" i="1"/>
  <c r="AN36" i="1" s="1"/>
  <c r="AO34" i="1"/>
  <c r="AO31" i="1"/>
  <c r="AO17" i="1"/>
  <c r="AO19" i="1" s="1"/>
  <c r="AT20" i="1" s="1"/>
  <c r="AO15" i="1"/>
  <c r="AO14" i="1"/>
  <c r="AN13" i="1"/>
  <c r="AS14" i="1" s="1"/>
  <c r="AO10" i="1"/>
  <c r="AT11" i="1" s="1"/>
  <c r="AO8" i="1"/>
  <c r="AO7" i="1"/>
  <c r="AN6" i="1"/>
  <c r="AO4" i="1"/>
  <c r="AN3" i="1"/>
  <c r="AO2" i="1"/>
  <c r="AN2" i="1"/>
  <c r="AO82" i="17" l="1"/>
  <c r="AS20" i="13"/>
  <c r="AS34" i="13" s="1"/>
  <c r="AQ77" i="14"/>
  <c r="AQ78" i="14" s="1"/>
  <c r="AQ59" i="14"/>
  <c r="AN26" i="4"/>
  <c r="AS4" i="4"/>
  <c r="AN26" i="1"/>
  <c r="AS4" i="1"/>
  <c r="AN109" i="13"/>
  <c r="AS7" i="1"/>
  <c r="AN111" i="13"/>
  <c r="AS7" i="4"/>
  <c r="AO92" i="13"/>
  <c r="AT85" i="14"/>
  <c r="AT93" i="13" s="1"/>
  <c r="AN26" i="2"/>
  <c r="AS4" i="2"/>
  <c r="AO22" i="2"/>
  <c r="AT23" i="2" s="1"/>
  <c r="AT20" i="2"/>
  <c r="AN43" i="2"/>
  <c r="AN44" i="2" s="1"/>
  <c r="AS14" i="2"/>
  <c r="AN71" i="17"/>
  <c r="AN133" i="13"/>
  <c r="CD7" i="48"/>
  <c r="CE7" i="48"/>
  <c r="AN44" i="1"/>
  <c r="AN45" i="1" s="1"/>
  <c r="AR79" i="14"/>
  <c r="AR78" i="14"/>
  <c r="AR82" i="14"/>
  <c r="AO38" i="13"/>
  <c r="AO24" i="13"/>
  <c r="AO31" i="13" s="1"/>
  <c r="AO42" i="1"/>
  <c r="AP90" i="13"/>
  <c r="AO115" i="13"/>
  <c r="AN70" i="17"/>
  <c r="AO35" i="1"/>
  <c r="AN8" i="1"/>
  <c r="AN110" i="13"/>
  <c r="AP75" i="14"/>
  <c r="AP68" i="14"/>
  <c r="AN68" i="31"/>
  <c r="AO58" i="17"/>
  <c r="AO62" i="17" s="1"/>
  <c r="AN48" i="17"/>
  <c r="AN64" i="17" s="1"/>
  <c r="AO46" i="17"/>
  <c r="AO37" i="17"/>
  <c r="AO25" i="17"/>
  <c r="AN83" i="17"/>
  <c r="AO7" i="17"/>
  <c r="AN15" i="17"/>
  <c r="AN27" i="17" s="1"/>
  <c r="AO6" i="17"/>
  <c r="AO82" i="13"/>
  <c r="AN8" i="4"/>
  <c r="AN15" i="4"/>
  <c r="AO22" i="4"/>
  <c r="AT23" i="4" s="1"/>
  <c r="AN10" i="4"/>
  <c r="AS11" i="4" s="1"/>
  <c r="AN27" i="41"/>
  <c r="AN15" i="2"/>
  <c r="AN8" i="2"/>
  <c r="AN10" i="2"/>
  <c r="AS11" i="2" s="1"/>
  <c r="AN15" i="1"/>
  <c r="AO22" i="1"/>
  <c r="AT23" i="1" s="1"/>
  <c r="AN10" i="1"/>
  <c r="AS11" i="1" s="1"/>
  <c r="AQ79" i="14" l="1"/>
  <c r="AQ82" i="14"/>
  <c r="AS35" i="13"/>
  <c r="AS118" i="13"/>
  <c r="AS121" i="13" s="1"/>
  <c r="AS123" i="13" s="1"/>
  <c r="AS40" i="13"/>
  <c r="AN115" i="13"/>
  <c r="AP85" i="13"/>
  <c r="AU86" i="13" s="1"/>
  <c r="AT83" i="13"/>
  <c r="AT85" i="13"/>
  <c r="AY86" i="13" s="1"/>
  <c r="AP71" i="14"/>
  <c r="AT68" i="14"/>
  <c r="AT69" i="14" s="1"/>
  <c r="AO48" i="17"/>
  <c r="AO64" i="17" s="1"/>
  <c r="AN65" i="17"/>
  <c r="AN46" i="1"/>
  <c r="CH6" i="48" l="1"/>
  <c r="CG6" i="48"/>
  <c r="CG7" i="48" s="1"/>
  <c r="CF6" i="48"/>
  <c r="CF7" i="48" s="1"/>
  <c r="AS46" i="13"/>
  <c r="AS56" i="13" s="1"/>
  <c r="AS44" i="13"/>
  <c r="O49" i="48"/>
  <c r="CH7" i="48" l="1"/>
  <c r="AS50" i="13"/>
  <c r="AS60" i="13"/>
  <c r="AS74" i="13"/>
  <c r="AS71" i="13"/>
  <c r="O104" i="48"/>
  <c r="O90" i="48"/>
  <c r="O5" i="48"/>
  <c r="O112" i="48"/>
  <c r="AS70" i="13" l="1"/>
  <c r="AS73" i="13"/>
  <c r="AS63" i="13"/>
  <c r="AS69" i="13" l="1"/>
  <c r="Y75" i="32"/>
  <c r="Y2" i="32"/>
  <c r="BY42" i="48"/>
  <c r="BZ42" i="48"/>
  <c r="AQ23" i="31" l="1"/>
  <c r="AQ64" i="31"/>
  <c r="AR64" i="31" s="1"/>
  <c r="AQ20" i="31"/>
  <c r="AQ8" i="31"/>
  <c r="AQ7" i="31"/>
  <c r="AC2" i="8"/>
  <c r="AC2" i="7"/>
  <c r="AC2" i="10"/>
  <c r="AC2" i="47"/>
  <c r="AB20" i="47"/>
  <c r="AC2" i="40"/>
  <c r="AC2" i="11"/>
  <c r="AT2" i="4"/>
  <c r="AS2" i="4"/>
  <c r="AR2" i="4"/>
  <c r="AQ2" i="4"/>
  <c r="AP2" i="4"/>
  <c r="AT2" i="2"/>
  <c r="AS2" i="2"/>
  <c r="AR2" i="2"/>
  <c r="AQ2" i="2"/>
  <c r="AP2" i="2"/>
  <c r="AT2" i="1"/>
  <c r="AS2" i="1"/>
  <c r="Y123" i="18" l="1"/>
  <c r="Y117" i="18"/>
  <c r="Y115" i="18"/>
  <c r="Y113" i="18"/>
  <c r="Y104" i="18"/>
  <c r="Y100" i="18"/>
  <c r="Y97" i="18"/>
  <c r="Y95" i="18"/>
  <c r="Y92" i="18"/>
  <c r="Y75" i="18"/>
  <c r="Y70" i="18"/>
  <c r="Y69" i="18"/>
  <c r="Y68" i="18"/>
  <c r="Y2" i="18"/>
  <c r="Y89" i="16"/>
  <c r="Y88" i="16"/>
  <c r="Y84" i="16"/>
  <c r="Y74" i="16"/>
  <c r="Y70" i="16"/>
  <c r="Y69" i="16"/>
  <c r="Y63" i="16"/>
  <c r="Y58" i="16"/>
  <c r="Y57" i="16"/>
  <c r="Y51" i="16"/>
  <c r="Y50" i="16"/>
  <c r="Y49" i="16"/>
  <c r="Y48" i="16"/>
  <c r="Y47" i="16"/>
  <c r="Y46" i="16"/>
  <c r="Y40" i="16"/>
  <c r="Y39" i="16"/>
  <c r="Y36" i="16"/>
  <c r="Y35" i="16"/>
  <c r="Y34" i="16"/>
  <c r="Y27" i="16"/>
  <c r="Y22" i="16"/>
  <c r="Y12" i="16"/>
  <c r="Y11" i="16"/>
  <c r="Y10" i="16"/>
  <c r="Y9" i="16"/>
  <c r="Y8" i="16"/>
  <c r="Y7" i="16"/>
  <c r="Y6" i="16"/>
  <c r="Y2" i="16"/>
  <c r="AC92" i="15"/>
  <c r="AC2" i="46"/>
  <c r="S108" i="48"/>
  <c r="S105" i="48"/>
  <c r="S106" i="48" s="1"/>
  <c r="S94" i="48"/>
  <c r="S80" i="48"/>
  <c r="S77" i="48"/>
  <c r="S76" i="48" s="1"/>
  <c r="S78" i="48" s="1"/>
  <c r="S45" i="48"/>
  <c r="S40" i="48"/>
  <c r="S9" i="48"/>
  <c r="S6" i="52"/>
  <c r="S7" i="52"/>
  <c r="S8" i="52"/>
  <c r="S9" i="52"/>
  <c r="S10" i="52"/>
  <c r="AC2" i="32"/>
  <c r="AC67" i="32"/>
  <c r="AC34" i="18" s="1"/>
  <c r="AC2" i="18"/>
  <c r="S2" i="52" s="1"/>
  <c r="AC85" i="16"/>
  <c r="AC93" i="15" s="1"/>
  <c r="AC2" i="16"/>
  <c r="AK67" i="18" s="1"/>
  <c r="AC173" i="15"/>
  <c r="AC59" i="15"/>
  <c r="Y129" i="15"/>
  <c r="Y127" i="15"/>
  <c r="Y126" i="15"/>
  <c r="Y113" i="15"/>
  <c r="Y112" i="15"/>
  <c r="Y101" i="15"/>
  <c r="Y92" i="15"/>
  <c r="Y67" i="15"/>
  <c r="Y66" i="15"/>
  <c r="Y55" i="15"/>
  <c r="Y30" i="15"/>
  <c r="Y29" i="15"/>
  <c r="Y28" i="15"/>
  <c r="Y27" i="15"/>
  <c r="Y26" i="15"/>
  <c r="Y25" i="15"/>
  <c r="Y23" i="15"/>
  <c r="Y22" i="15"/>
  <c r="Y19" i="15"/>
  <c r="Y9" i="15"/>
  <c r="AS75" i="31"/>
  <c r="AR75" i="31" s="1"/>
  <c r="AQ75" i="31" s="1"/>
  <c r="AP75" i="31" s="1"/>
  <c r="AT64" i="31"/>
  <c r="AU64" i="31" s="1"/>
  <c r="AV64" i="31" s="1"/>
  <c r="AT61" i="31"/>
  <c r="AU61" i="31" s="1"/>
  <c r="AV61" i="31" s="1"/>
  <c r="AW61" i="31" s="1"/>
  <c r="AX61" i="31" s="1"/>
  <c r="AR18" i="31"/>
  <c r="AS18" i="31" s="1"/>
  <c r="AT18" i="31" s="1"/>
  <c r="AU18" i="31" s="1"/>
  <c r="AV18" i="31" s="1"/>
  <c r="AW18" i="31" s="1"/>
  <c r="AX18" i="31" s="1"/>
  <c r="AT14" i="31"/>
  <c r="AU14" i="31" s="1"/>
  <c r="AV14" i="31" s="1"/>
  <c r="AW14" i="31" s="1"/>
  <c r="AX14" i="31" s="1"/>
  <c r="AT11" i="31"/>
  <c r="AU11" i="31" s="1"/>
  <c r="AV11" i="31" s="1"/>
  <c r="AW11" i="31" s="1"/>
  <c r="AX11" i="31" s="1"/>
  <c r="AQ9" i="31"/>
  <c r="AR9" i="31" s="1"/>
  <c r="AS9" i="31" s="1"/>
  <c r="AT9" i="31" s="1"/>
  <c r="AU9" i="31" s="1"/>
  <c r="AV9" i="31" s="1"/>
  <c r="AW9" i="31" s="1"/>
  <c r="AX9" i="31" s="1"/>
  <c r="AT2" i="31"/>
  <c r="AS2" i="31"/>
  <c r="AR2" i="31"/>
  <c r="AQ2" i="31"/>
  <c r="AP2" i="31"/>
  <c r="BY91" i="48"/>
  <c r="BY92" i="48" s="1"/>
  <c r="BZ91" i="48"/>
  <c r="BZ92" i="48" s="1"/>
  <c r="BY77" i="48"/>
  <c r="BY76" i="48" s="1"/>
  <c r="BY78" i="48" s="1"/>
  <c r="BZ77" i="48"/>
  <c r="BZ76" i="48" s="1"/>
  <c r="BZ78" i="48" s="1"/>
  <c r="BY105" i="48"/>
  <c r="BY106" i="48" s="1"/>
  <c r="BZ105" i="48"/>
  <c r="BZ106" i="48" s="1"/>
  <c r="BX105" i="48"/>
  <c r="BX91" i="48"/>
  <c r="BX77" i="48"/>
  <c r="BX42" i="48"/>
  <c r="AC6" i="8"/>
  <c r="AC8" i="8"/>
  <c r="AC10" i="8"/>
  <c r="AC11" i="8"/>
  <c r="AC12" i="8"/>
  <c r="AC13" i="8"/>
  <c r="AT24" i="5"/>
  <c r="AP24" i="5" s="1"/>
  <c r="AT23" i="5"/>
  <c r="AS23" i="5" s="1"/>
  <c r="AT22" i="5"/>
  <c r="AP22" i="5" s="1"/>
  <c r="AT21" i="5"/>
  <c r="AS21" i="5" s="1"/>
  <c r="AT20" i="5"/>
  <c r="AP20" i="5" s="1"/>
  <c r="AT19" i="5"/>
  <c r="AS19" i="5" s="1"/>
  <c r="AT18" i="5"/>
  <c r="AP18" i="5" s="1"/>
  <c r="AT17" i="5"/>
  <c r="AS17" i="5" s="1"/>
  <c r="AT16" i="5"/>
  <c r="AP16" i="5" s="1"/>
  <c r="AS7" i="5"/>
  <c r="CA105" i="48" s="1"/>
  <c r="CA106" i="48" s="1"/>
  <c r="BY6" i="48"/>
  <c r="BZ6" i="48"/>
  <c r="BZ7" i="48" s="1"/>
  <c r="BX6" i="48"/>
  <c r="AQ13" i="5"/>
  <c r="AP13" i="5"/>
  <c r="AR13" i="5"/>
  <c r="AT2" i="5"/>
  <c r="AS2" i="5"/>
  <c r="AR2" i="5"/>
  <c r="AQ2" i="5"/>
  <c r="AP2" i="5"/>
  <c r="BY2" i="48"/>
  <c r="BZ2" i="48"/>
  <c r="CA2" i="48"/>
  <c r="BX2" i="48"/>
  <c r="AT2" i="17"/>
  <c r="AS2" i="17"/>
  <c r="AR2" i="17"/>
  <c r="AQ2" i="17"/>
  <c r="AP2" i="17"/>
  <c r="Y93" i="15"/>
  <c r="Y6" i="18"/>
  <c r="AT2" i="14"/>
  <c r="AS2" i="14"/>
  <c r="AR2" i="14"/>
  <c r="AQ2" i="14"/>
  <c r="AP2" i="14"/>
  <c r="AW64" i="31" l="1"/>
  <c r="AX64" i="31" s="1"/>
  <c r="Y9" i="32"/>
  <c r="Y61" i="32"/>
  <c r="Y11" i="32"/>
  <c r="Y64" i="32"/>
  <c r="Y14" i="32"/>
  <c r="Y18" i="32"/>
  <c r="Y173" i="15"/>
  <c r="Y24" i="15"/>
  <c r="Y31" i="15" s="1"/>
  <c r="AP23" i="5"/>
  <c r="AP19" i="5"/>
  <c r="AR19" i="5"/>
  <c r="O41" i="48"/>
  <c r="AP17" i="5"/>
  <c r="AR20" i="5"/>
  <c r="AR23" i="5"/>
  <c r="AR17" i="5"/>
  <c r="AP21" i="5"/>
  <c r="AR24" i="5"/>
  <c r="AR21" i="5"/>
  <c r="AR16" i="5"/>
  <c r="AQ16" i="5"/>
  <c r="AQ17" i="5"/>
  <c r="AQ18" i="5"/>
  <c r="AQ19" i="5"/>
  <c r="AQ20" i="5"/>
  <c r="AQ21" i="5"/>
  <c r="AQ22" i="5"/>
  <c r="AQ23" i="5"/>
  <c r="AQ24" i="5"/>
  <c r="S2" i="48"/>
  <c r="AR18" i="5"/>
  <c r="AR22" i="5"/>
  <c r="AS16" i="5"/>
  <c r="AS18" i="5"/>
  <c r="AS20" i="5"/>
  <c r="AS22" i="5"/>
  <c r="AS24" i="5"/>
  <c r="Y85" i="16"/>
  <c r="AQ200" i="31"/>
  <c r="AR200" i="31"/>
  <c r="BY43" i="48"/>
  <c r="BY7" i="48"/>
  <c r="BZ43" i="48"/>
  <c r="AS175" i="13"/>
  <c r="Y54" i="16"/>
  <c r="AP30" i="5" l="1"/>
  <c r="Y13" i="16"/>
  <c r="CQ30" i="48" s="1"/>
  <c r="AS200" i="31" l="1"/>
  <c r="AT135" i="31"/>
  <c r="Y135" i="32" l="1"/>
  <c r="AU135" i="31"/>
  <c r="AR2" i="1"/>
  <c r="AQ2" i="1"/>
  <c r="AP2" i="1"/>
  <c r="AQ119" i="13"/>
  <c r="AT119" i="13" s="1"/>
  <c r="AT138" i="13"/>
  <c r="Y122" i="15"/>
  <c r="Y38" i="15"/>
  <c r="Y32" i="15"/>
  <c r="Y18" i="15"/>
  <c r="Y17" i="15"/>
  <c r="Y8" i="15"/>
  <c r="Y7" i="15"/>
  <c r="Y6" i="15"/>
  <c r="Y22" i="11"/>
  <c r="Y4" i="11"/>
  <c r="Y2" i="11"/>
  <c r="AC23" i="11"/>
  <c r="AP5" i="13"/>
  <c r="Y23" i="11"/>
  <c r="Y17" i="11"/>
  <c r="AC6" i="40"/>
  <c r="AC7" i="40"/>
  <c r="AC8" i="40"/>
  <c r="AC9" i="40"/>
  <c r="AC10" i="40"/>
  <c r="AC11" i="40"/>
  <c r="AC12" i="40"/>
  <c r="AC13" i="40"/>
  <c r="AC14" i="40"/>
  <c r="AC15" i="40"/>
  <c r="AC16" i="40"/>
  <c r="AC17" i="40"/>
  <c r="AC18" i="40"/>
  <c r="AC19" i="40"/>
  <c r="AC20" i="40"/>
  <c r="AC21" i="40"/>
  <c r="AC36" i="10"/>
  <c r="AC66" i="47" s="1"/>
  <c r="AC86" i="46"/>
  <c r="AC59" i="46"/>
  <c r="AC58" i="46"/>
  <c r="AC57" i="46"/>
  <c r="AC56" i="46"/>
  <c r="AC54" i="46"/>
  <c r="AC69" i="46" s="1"/>
  <c r="AC52" i="46"/>
  <c r="AC67" i="46" s="1"/>
  <c r="AC31" i="7"/>
  <c r="AC32" i="7" s="1"/>
  <c r="AC38" i="7"/>
  <c r="AC20" i="47"/>
  <c r="Y31" i="7"/>
  <c r="AU200" i="31" l="1"/>
  <c r="AY11" i="31"/>
  <c r="AY64" i="31"/>
  <c r="AZ64" i="31" s="1"/>
  <c r="BA64" i="31" s="1"/>
  <c r="BB64" i="31" s="1"/>
  <c r="BC64" i="31" s="1"/>
  <c r="AY14" i="31"/>
  <c r="AY9" i="31"/>
  <c r="AY18" i="31"/>
  <c r="AY61" i="31"/>
  <c r="AQ30" i="5"/>
  <c r="AR30" i="5"/>
  <c r="AC30" i="46"/>
  <c r="AC44" i="46" s="1"/>
  <c r="AC45" i="7" s="1"/>
  <c r="AC33" i="46"/>
  <c r="S6" i="48"/>
  <c r="S7" i="48" s="1"/>
  <c r="AC9" i="8"/>
  <c r="AC55" i="46"/>
  <c r="AC70" i="46" s="1"/>
  <c r="AQ133" i="13"/>
  <c r="AT133" i="13" s="1"/>
  <c r="AC13" i="46"/>
  <c r="AC5" i="8"/>
  <c r="S42" i="48"/>
  <c r="S43" i="48" s="1"/>
  <c r="AC53" i="46"/>
  <c r="AC68" i="46" s="1"/>
  <c r="AC84" i="46" s="1"/>
  <c r="S91" i="48"/>
  <c r="S90" i="48" s="1"/>
  <c r="S92" i="48" s="1"/>
  <c r="AC7" i="8"/>
  <c r="Y16" i="15"/>
  <c r="Y48" i="15"/>
  <c r="AQ134" i="13"/>
  <c r="AT134" i="13" s="1"/>
  <c r="AQ120" i="13"/>
  <c r="AT120" i="13" s="1"/>
  <c r="AT130" i="13" s="1"/>
  <c r="AT62" i="13" s="1"/>
  <c r="AT63" i="13" s="1"/>
  <c r="AY64" i="13" s="1"/>
  <c r="AC40" i="7"/>
  <c r="AP15" i="13"/>
  <c r="AC27" i="40"/>
  <c r="AC85" i="46"/>
  <c r="AC83" i="46"/>
  <c r="AC51" i="46"/>
  <c r="AC3" i="46"/>
  <c r="Y35" i="10"/>
  <c r="Y34" i="10"/>
  <c r="Y33" i="10"/>
  <c r="Y32" i="10"/>
  <c r="Y17" i="10"/>
  <c r="AQ42" i="1"/>
  <c r="AQ36" i="1"/>
  <c r="Y37" i="7"/>
  <c r="Y36" i="7"/>
  <c r="Y35" i="7"/>
  <c r="AT34" i="1"/>
  <c r="Y30" i="7" s="1"/>
  <c r="AT33" i="1"/>
  <c r="Y29" i="7" s="1"/>
  <c r="AT32" i="1"/>
  <c r="Y28" i="7" s="1"/>
  <c r="AT31" i="1"/>
  <c r="Y17" i="7"/>
  <c r="Z61" i="32" l="1"/>
  <c r="AZ61" i="31"/>
  <c r="BA61" i="31" s="1"/>
  <c r="BB61" i="31" s="1"/>
  <c r="BC61" i="31" s="1"/>
  <c r="BD61" i="31" s="1"/>
  <c r="Z64" i="32"/>
  <c r="Z18" i="32"/>
  <c r="AZ18" i="31"/>
  <c r="BA18" i="31" s="1"/>
  <c r="BB18" i="31" s="1"/>
  <c r="BC18" i="31" s="1"/>
  <c r="BD18" i="31" s="1"/>
  <c r="Z11" i="32"/>
  <c r="AZ11" i="31"/>
  <c r="BA11" i="31" s="1"/>
  <c r="BB11" i="31" s="1"/>
  <c r="BC11" i="31" s="1"/>
  <c r="BD11" i="31" s="1"/>
  <c r="Z9" i="32"/>
  <c r="AZ9" i="31"/>
  <c r="BA9" i="31" s="1"/>
  <c r="BB9" i="31" s="1"/>
  <c r="BC9" i="31" s="1"/>
  <c r="BD9" i="31" s="1"/>
  <c r="Z14" i="32"/>
  <c r="AZ14" i="31"/>
  <c r="BA14" i="31" s="1"/>
  <c r="BB14" i="31" s="1"/>
  <c r="BC14" i="31" s="1"/>
  <c r="BD14" i="31" s="1"/>
  <c r="AC17" i="8"/>
  <c r="AC21" i="8"/>
  <c r="AT135" i="13"/>
  <c r="AT69" i="13"/>
  <c r="AT121" i="13"/>
  <c r="AT123" i="13" s="1"/>
  <c r="AW135" i="31"/>
  <c r="AV200" i="31"/>
  <c r="AC14" i="8"/>
  <c r="AC32" i="46"/>
  <c r="AC3" i="7" s="1"/>
  <c r="S52" i="52" s="1"/>
  <c r="S53" i="52" s="1"/>
  <c r="S54" i="52" s="1"/>
  <c r="AC60" i="46"/>
  <c r="AC62" i="46" s="1"/>
  <c r="Y31" i="10"/>
  <c r="AS27" i="5"/>
  <c r="AC93" i="46"/>
  <c r="Y59" i="15"/>
  <c r="Y38" i="7"/>
  <c r="AS36" i="1"/>
  <c r="AS44" i="1" s="1"/>
  <c r="AQ130" i="13"/>
  <c r="AQ62" i="13" s="1"/>
  <c r="AT36" i="1"/>
  <c r="Y27" i="7"/>
  <c r="Y32" i="7" s="1"/>
  <c r="Y133" i="15"/>
  <c r="AQ135" i="13"/>
  <c r="AQ136" i="13" s="1"/>
  <c r="Y119" i="15"/>
  <c r="Y120" i="15"/>
  <c r="AC66" i="46"/>
  <c r="Y36" i="10"/>
  <c r="AQ44" i="1"/>
  <c r="AA14" i="32" l="1"/>
  <c r="BE14" i="31"/>
  <c r="BF14" i="31" s="1"/>
  <c r="BG14" i="31" s="1"/>
  <c r="BH14" i="31" s="1"/>
  <c r="BI14" i="31" s="1"/>
  <c r="AB14" i="32" s="1"/>
  <c r="AA61" i="32"/>
  <c r="BE61" i="31"/>
  <c r="BF61" i="31" s="1"/>
  <c r="BG61" i="31" s="1"/>
  <c r="BH61" i="31" s="1"/>
  <c r="BI61" i="31" s="1"/>
  <c r="AB61" i="32" s="1"/>
  <c r="AA11" i="32"/>
  <c r="BE11" i="31"/>
  <c r="BF11" i="31" s="1"/>
  <c r="BG11" i="31" s="1"/>
  <c r="BH11" i="31" s="1"/>
  <c r="BI11" i="31" s="1"/>
  <c r="AB11" i="32" s="1"/>
  <c r="AA9" i="32"/>
  <c r="BE9" i="31"/>
  <c r="BF9" i="31" s="1"/>
  <c r="BG9" i="31" s="1"/>
  <c r="BH9" i="31" s="1"/>
  <c r="BI9" i="31" s="1"/>
  <c r="AB9" i="32" s="1"/>
  <c r="AA18" i="32"/>
  <c r="BE18" i="31"/>
  <c r="BF18" i="31" s="1"/>
  <c r="BG18" i="31" s="1"/>
  <c r="BH18" i="31" s="1"/>
  <c r="BI18" i="31" s="1"/>
  <c r="AB18" i="32" s="1"/>
  <c r="BD64" i="31"/>
  <c r="AS135" i="13"/>
  <c r="AS136" i="13" s="1"/>
  <c r="Y61" i="46"/>
  <c r="AT44" i="1"/>
  <c r="Y39" i="15"/>
  <c r="S32" i="52"/>
  <c r="T33" i="52" s="1"/>
  <c r="AD4" i="7"/>
  <c r="AC44" i="7"/>
  <c r="AC3" i="15"/>
  <c r="AX135" i="31"/>
  <c r="AW200" i="31"/>
  <c r="AQ63" i="13"/>
  <c r="Y40" i="7"/>
  <c r="AC63" i="46"/>
  <c r="AC19" i="7"/>
  <c r="AC82" i="46"/>
  <c r="AA64" i="32" l="1"/>
  <c r="BE64" i="31"/>
  <c r="BF64" i="31" s="1"/>
  <c r="BG64" i="31" s="1"/>
  <c r="BH64" i="31" s="1"/>
  <c r="BI64" i="31" s="1"/>
  <c r="AB64" i="32" s="1"/>
  <c r="AD20" i="7"/>
  <c r="S35" i="52"/>
  <c r="S19" i="52"/>
  <c r="S28" i="52" s="1"/>
  <c r="AY135" i="31"/>
  <c r="AZ135" i="31" s="1"/>
  <c r="AX200" i="31"/>
  <c r="AY200" i="31" s="1"/>
  <c r="Z200" i="32" s="1"/>
  <c r="AQ69" i="13"/>
  <c r="AC13" i="15"/>
  <c r="AC13" i="7"/>
  <c r="AD14" i="7" s="1"/>
  <c r="AC22" i="7"/>
  <c r="AT136" i="13"/>
  <c r="Y134" i="15"/>
  <c r="Y135" i="15" s="1"/>
  <c r="Y136" i="15" s="1"/>
  <c r="Y62" i="15"/>
  <c r="Y128" i="15"/>
  <c r="Y130" i="15" s="1"/>
  <c r="AC64" i="32" l="1"/>
  <c r="AD64" i="32" s="1"/>
  <c r="AE64" i="32" s="1"/>
  <c r="AF64" i="32" s="1"/>
  <c r="Z135" i="32"/>
  <c r="AD23" i="7"/>
  <c r="AC10" i="7"/>
  <c r="AC15" i="7"/>
  <c r="AC41" i="7"/>
  <c r="BA135" i="31" l="1"/>
  <c r="AZ200" i="31"/>
  <c r="S48" i="52"/>
  <c r="T49" i="52" s="1"/>
  <c r="AD11" i="7"/>
  <c r="AC42" i="7"/>
  <c r="AC47" i="7"/>
  <c r="BB135" i="31" l="1"/>
  <c r="BA200" i="31"/>
  <c r="AM37" i="2"/>
  <c r="AM42" i="2" s="1"/>
  <c r="AM43" i="2" s="1"/>
  <c r="AM44" i="2" s="1"/>
  <c r="Z3" i="46"/>
  <c r="AM33" i="1"/>
  <c r="AO33" i="1" s="1"/>
  <c r="BC135" i="31" l="1"/>
  <c r="BB200" i="31"/>
  <c r="AB3" i="46"/>
  <c r="BU124" i="48"/>
  <c r="BV124" i="48"/>
  <c r="BD135" i="31" l="1"/>
  <c r="BC200" i="31"/>
  <c r="BD200" i="31" s="1"/>
  <c r="AA200" i="32" s="1"/>
  <c r="AM202" i="31"/>
  <c r="AM66" i="31"/>
  <c r="AM67" i="31"/>
  <c r="AM82" i="17"/>
  <c r="AM58" i="17"/>
  <c r="AM62" i="17" s="1"/>
  <c r="AM46" i="17"/>
  <c r="AM37" i="17"/>
  <c r="AM25" i="17"/>
  <c r="AM6" i="17"/>
  <c r="AM14" i="17" s="1"/>
  <c r="AM85" i="14"/>
  <c r="AM93" i="13" s="1"/>
  <c r="AM51" i="14"/>
  <c r="AM12" i="14"/>
  <c r="AN12" i="14" s="1"/>
  <c r="AN90" i="13"/>
  <c r="AM100" i="13"/>
  <c r="AM134" i="13"/>
  <c r="AM133" i="13"/>
  <c r="AM120" i="13"/>
  <c r="AM119" i="13"/>
  <c r="AM111" i="13"/>
  <c r="AM110" i="13"/>
  <c r="AM109" i="13"/>
  <c r="AM92" i="13"/>
  <c r="AM80" i="13"/>
  <c r="AM77" i="13"/>
  <c r="AM59" i="13"/>
  <c r="AM54" i="13"/>
  <c r="AN54" i="13" s="1"/>
  <c r="AM53" i="13"/>
  <c r="AN53" i="13" s="1"/>
  <c r="AM24" i="13"/>
  <c r="AM19" i="4"/>
  <c r="AR20" i="4" s="1"/>
  <c r="AM15" i="4"/>
  <c r="AM14" i="4"/>
  <c r="AM10" i="4"/>
  <c r="AR11" i="4" s="1"/>
  <c r="AM8" i="4"/>
  <c r="AM7" i="4"/>
  <c r="AM4" i="4"/>
  <c r="AM27" i="41"/>
  <c r="AM2" i="41"/>
  <c r="AM19" i="2"/>
  <c r="AR20" i="2" s="1"/>
  <c r="AM15" i="2"/>
  <c r="AM14" i="2"/>
  <c r="AM10" i="2"/>
  <c r="AR11" i="2" s="1"/>
  <c r="AM8" i="2"/>
  <c r="AM7" i="2"/>
  <c r="AM4" i="2"/>
  <c r="AM42" i="1"/>
  <c r="AM19" i="1"/>
  <c r="AR20" i="1" s="1"/>
  <c r="AM15" i="1"/>
  <c r="AM14" i="1"/>
  <c r="AM10" i="1"/>
  <c r="AR11" i="1" s="1"/>
  <c r="AM8" i="1"/>
  <c r="AM7" i="1"/>
  <c r="AM4" i="1"/>
  <c r="AA135" i="32" l="1"/>
  <c r="BE135" i="31"/>
  <c r="AN85" i="13"/>
  <c r="AS86" i="13" s="1"/>
  <c r="AR83" i="13"/>
  <c r="AM102" i="13"/>
  <c r="AR103" i="13" s="1"/>
  <c r="AP53" i="13"/>
  <c r="AT53" i="13" s="1"/>
  <c r="AM48" i="17"/>
  <c r="AM64" i="17" s="1"/>
  <c r="AP54" i="13"/>
  <c r="AT54" i="13" s="1"/>
  <c r="Y54" i="15" s="1"/>
  <c r="AN51" i="14"/>
  <c r="AM135" i="13"/>
  <c r="AM136" i="13" s="1"/>
  <c r="AM22" i="4"/>
  <c r="AR23" i="4" s="1"/>
  <c r="AM22" i="1"/>
  <c r="AR23" i="1" s="1"/>
  <c r="AM13" i="13"/>
  <c r="AM115" i="13"/>
  <c r="AM14" i="13"/>
  <c r="AM70" i="17"/>
  <c r="AM71" i="17"/>
  <c r="AM15" i="13"/>
  <c r="AM130" i="13"/>
  <c r="AM62" i="13" s="1"/>
  <c r="AM31" i="13"/>
  <c r="AM22" i="2"/>
  <c r="AR23" i="2" s="1"/>
  <c r="AM4" i="5"/>
  <c r="BF135" i="31" l="1"/>
  <c r="BE200" i="31"/>
  <c r="AT56" i="13"/>
  <c r="AY57" i="13" s="1"/>
  <c r="Y53" i="15"/>
  <c r="AM20" i="13"/>
  <c r="BG135" i="31" l="1"/>
  <c r="BF200" i="31"/>
  <c r="AT74" i="13"/>
  <c r="AT71" i="13"/>
  <c r="AT60" i="13"/>
  <c r="AM34" i="13"/>
  <c r="BU49" i="48"/>
  <c r="BT49" i="48"/>
  <c r="BM112" i="48"/>
  <c r="BN112" i="48"/>
  <c r="BO112" i="48"/>
  <c r="BL112" i="48"/>
  <c r="BW112" i="48"/>
  <c r="BV112" i="48"/>
  <c r="BU112" i="48"/>
  <c r="BT112" i="48"/>
  <c r="BG200" i="31" l="1"/>
  <c r="BH135" i="31"/>
  <c r="AM40" i="13"/>
  <c r="AM118" i="13"/>
  <c r="AM121" i="13" s="1"/>
  <c r="AM123" i="13" s="1"/>
  <c r="N49" i="48"/>
  <c r="BH200" i="31" l="1"/>
  <c r="BI200" i="31" s="1"/>
  <c r="AB200" i="32" s="1"/>
  <c r="BI135" i="31"/>
  <c r="AB135" i="32" s="1"/>
  <c r="AR41" i="13"/>
  <c r="AM44" i="13"/>
  <c r="AM46" i="13"/>
  <c r="AM4" i="14" l="1"/>
  <c r="AM56" i="13"/>
  <c r="AR57" i="13" s="1"/>
  <c r="AM50" i="13"/>
  <c r="R4" i="48"/>
  <c r="Q4" i="48"/>
  <c r="AR51" i="13" l="1"/>
  <c r="AM70" i="13"/>
  <c r="AM73" i="13"/>
  <c r="AM63" i="13"/>
  <c r="AM74" i="13"/>
  <c r="AM60" i="13"/>
  <c r="AM71" i="13"/>
  <c r="AR64" i="13" l="1"/>
  <c r="AM69" i="13"/>
  <c r="P40" i="48"/>
  <c r="BU41" i="48"/>
  <c r="BT41" i="48"/>
  <c r="AL37" i="2"/>
  <c r="AL42" i="2" s="1"/>
  <c r="AL43" i="2" s="1"/>
  <c r="AL44" i="2" s="1"/>
  <c r="AL32" i="1"/>
  <c r="AM32" i="1" l="1"/>
  <c r="AM36" i="1" s="1"/>
  <c r="AM44" i="1" s="1"/>
  <c r="AM45" i="1" s="1"/>
  <c r="AM46" i="1" s="1"/>
  <c r="AO32" i="1" l="1"/>
  <c r="AO36" i="1" s="1"/>
  <c r="AO44" i="1" s="1"/>
  <c r="AO45" i="1" s="1"/>
  <c r="AO46" i="1" s="1"/>
  <c r="AL202" i="31" l="1"/>
  <c r="AL66" i="31"/>
  <c r="AL67" i="31"/>
  <c r="AL82" i="17"/>
  <c r="AL58" i="17"/>
  <c r="AL62" i="17" s="1"/>
  <c r="AL46" i="17"/>
  <c r="AL37" i="17"/>
  <c r="AL25" i="17"/>
  <c r="AL6" i="17"/>
  <c r="AL14" i="17" s="1"/>
  <c r="AL57" i="14"/>
  <c r="AL50" i="14"/>
  <c r="AL48" i="14"/>
  <c r="AL45" i="14"/>
  <c r="AL44" i="14"/>
  <c r="AL40" i="14"/>
  <c r="AL38" i="14"/>
  <c r="AL37" i="14"/>
  <c r="AL34" i="14"/>
  <c r="AL33" i="14"/>
  <c r="AL21" i="14"/>
  <c r="AL27" i="14"/>
  <c r="AL26" i="14"/>
  <c r="AL25" i="14"/>
  <c r="AL88" i="14" s="1"/>
  <c r="AL24" i="14"/>
  <c r="AL23" i="14"/>
  <c r="AL20" i="14"/>
  <c r="AL19" i="14"/>
  <c r="AL18" i="14"/>
  <c r="AL17" i="14"/>
  <c r="AL16" i="14"/>
  <c r="AL15" i="14"/>
  <c r="AL11" i="14"/>
  <c r="AL9" i="14"/>
  <c r="AL8" i="14"/>
  <c r="AL6" i="14"/>
  <c r="AL5" i="14"/>
  <c r="AL85" i="14"/>
  <c r="AL54" i="14"/>
  <c r="AL52" i="14"/>
  <c r="AL49" i="14"/>
  <c r="AL47" i="14"/>
  <c r="AL46" i="14"/>
  <c r="AL39" i="14"/>
  <c r="AL36" i="14"/>
  <c r="AL35" i="14"/>
  <c r="AL22" i="14"/>
  <c r="AL75" i="14" l="1"/>
  <c r="AM16" i="14"/>
  <c r="AM40" i="14"/>
  <c r="AN40" i="14" s="1"/>
  <c r="AM26" i="14"/>
  <c r="AN26" i="14" s="1"/>
  <c r="AM39" i="14"/>
  <c r="AN39" i="14" s="1"/>
  <c r="AM25" i="14"/>
  <c r="AM88" i="14" s="1"/>
  <c r="AM35" i="14"/>
  <c r="AN35" i="14" s="1"/>
  <c r="AM44" i="14"/>
  <c r="AN44" i="14" s="1"/>
  <c r="AM36" i="14"/>
  <c r="AN36" i="14" s="1"/>
  <c r="AM27" i="14"/>
  <c r="AM54" i="14"/>
  <c r="AN54" i="14" s="1"/>
  <c r="AM17" i="14"/>
  <c r="AM5" i="14"/>
  <c r="AM48" i="14"/>
  <c r="AN48" i="14" s="1"/>
  <c r="AM47" i="14"/>
  <c r="AN47" i="14" s="1"/>
  <c r="AM57" i="14"/>
  <c r="AN57" i="14" s="1"/>
  <c r="AM15" i="14"/>
  <c r="AM21" i="14"/>
  <c r="AM20" i="14"/>
  <c r="AM9" i="14"/>
  <c r="AN9" i="14" s="1"/>
  <c r="AM23" i="14"/>
  <c r="AM37" i="14"/>
  <c r="AN37" i="14" s="1"/>
  <c r="AM45" i="14"/>
  <c r="AN45" i="14" s="1"/>
  <c r="AM18" i="14"/>
  <c r="AM46" i="14"/>
  <c r="AN46" i="14" s="1"/>
  <c r="AM6" i="14"/>
  <c r="AN6" i="14" s="1"/>
  <c r="AM19" i="14"/>
  <c r="AM8" i="14"/>
  <c r="AN8" i="14" s="1"/>
  <c r="AM34" i="14"/>
  <c r="AN34" i="14" s="1"/>
  <c r="AM49" i="14"/>
  <c r="AN49" i="14" s="1"/>
  <c r="AM22" i="14"/>
  <c r="AM11" i="14"/>
  <c r="AN11" i="14" s="1"/>
  <c r="AM24" i="14"/>
  <c r="AM38" i="14"/>
  <c r="AN38" i="14" s="1"/>
  <c r="AM50" i="14"/>
  <c r="AM33" i="14"/>
  <c r="AL81" i="14"/>
  <c r="AM52" i="14"/>
  <c r="AL48" i="17"/>
  <c r="AL64" i="17" s="1"/>
  <c r="AL55" i="14"/>
  <c r="AL28" i="14"/>
  <c r="AL41" i="14"/>
  <c r="AN16" i="14" l="1"/>
  <c r="AN17" i="14"/>
  <c r="AN27" i="14"/>
  <c r="AN20" i="14"/>
  <c r="AM81" i="14"/>
  <c r="AM96" i="13"/>
  <c r="AN15" i="14"/>
  <c r="AN24" i="14"/>
  <c r="AN5" i="14"/>
  <c r="AN96" i="13" s="1"/>
  <c r="AN19" i="14"/>
  <c r="AN25" i="14"/>
  <c r="AN88" i="14" s="1"/>
  <c r="AN23" i="14"/>
  <c r="AN33" i="14"/>
  <c r="AN50" i="14"/>
  <c r="AM28" i="14"/>
  <c r="AN52" i="14"/>
  <c r="AN22" i="14"/>
  <c r="AN18" i="14"/>
  <c r="AN21" i="14"/>
  <c r="AM75" i="14"/>
  <c r="AM41" i="14"/>
  <c r="AM55" i="14"/>
  <c r="AL100" i="13"/>
  <c r="AL102" i="13" s="1"/>
  <c r="AQ103" i="13" s="1"/>
  <c r="AL134" i="13"/>
  <c r="AL133" i="13"/>
  <c r="AL120" i="13"/>
  <c r="AL119" i="13"/>
  <c r="AL111" i="13"/>
  <c r="AL110" i="13"/>
  <c r="AL109" i="13"/>
  <c r="AL96" i="13"/>
  <c r="AL93" i="13"/>
  <c r="AL92" i="13"/>
  <c r="AM90" i="13"/>
  <c r="AQ83" i="13"/>
  <c r="AL80" i="13"/>
  <c r="AL77" i="13"/>
  <c r="AL59" i="13"/>
  <c r="AL24" i="13"/>
  <c r="AL19" i="4"/>
  <c r="AQ20" i="4" s="1"/>
  <c r="AL15" i="4"/>
  <c r="AL14" i="4"/>
  <c r="AL10" i="4"/>
  <c r="AQ11" i="4" s="1"/>
  <c r="AL8" i="4"/>
  <c r="AL7" i="4"/>
  <c r="AL4" i="4"/>
  <c r="AL27" i="41"/>
  <c r="AL2" i="41"/>
  <c r="AL19" i="2"/>
  <c r="AQ20" i="2" s="1"/>
  <c r="AL15" i="2"/>
  <c r="AL14" i="2"/>
  <c r="AL10" i="2"/>
  <c r="AQ11" i="2" s="1"/>
  <c r="AL8" i="2"/>
  <c r="AL7" i="2"/>
  <c r="AL4" i="2"/>
  <c r="AL42" i="1"/>
  <c r="AL36" i="1"/>
  <c r="AL19" i="1"/>
  <c r="AL15" i="1"/>
  <c r="AL14" i="1"/>
  <c r="AL10" i="1"/>
  <c r="AQ11" i="1" s="1"/>
  <c r="AL8" i="1"/>
  <c r="AL7" i="1"/>
  <c r="AL4" i="1"/>
  <c r="AN81" i="14" l="1"/>
  <c r="AM97" i="13"/>
  <c r="AQ20" i="1"/>
  <c r="AN28" i="14"/>
  <c r="AN55" i="14"/>
  <c r="AN75" i="14"/>
  <c r="AN41" i="14"/>
  <c r="AM85" i="13"/>
  <c r="AR86" i="13" s="1"/>
  <c r="AL15" i="13"/>
  <c r="AL22" i="2"/>
  <c r="AQ23" i="2" s="1"/>
  <c r="AL13" i="13"/>
  <c r="AL22" i="1"/>
  <c r="AQ23" i="1" s="1"/>
  <c r="AL44" i="1"/>
  <c r="AL45" i="1" s="1"/>
  <c r="AL46" i="1" s="1"/>
  <c r="AL71" i="17"/>
  <c r="AL70" i="17"/>
  <c r="AL130" i="13"/>
  <c r="AL62" i="13" s="1"/>
  <c r="AL14" i="13"/>
  <c r="AL115" i="13"/>
  <c r="AL135" i="13"/>
  <c r="AL136" i="13" s="1"/>
  <c r="AL31" i="13"/>
  <c r="AL22" i="4"/>
  <c r="AQ23" i="4" s="1"/>
  <c r="AL20" i="13" l="1"/>
  <c r="AL34" i="13" l="1"/>
  <c r="AL97" i="13" s="1"/>
  <c r="AK4" i="4"/>
  <c r="AL40" i="13" l="1"/>
  <c r="AL46" i="13" s="1"/>
  <c r="AL4" i="14" s="1"/>
  <c r="AL118" i="13"/>
  <c r="AL121" i="13" s="1"/>
  <c r="AL123" i="13" s="1"/>
  <c r="Z66" i="47"/>
  <c r="AA66" i="47"/>
  <c r="AB66" i="47"/>
  <c r="Y66" i="47"/>
  <c r="X32" i="10"/>
  <c r="X34" i="10"/>
  <c r="X35" i="10"/>
  <c r="X31" i="10"/>
  <c r="BK69" i="17"/>
  <c r="BK70" i="17"/>
  <c r="BK71" i="17"/>
  <c r="BK72" i="17"/>
  <c r="BK73" i="17"/>
  <c r="BK74" i="17"/>
  <c r="BK75" i="17"/>
  <c r="BK76" i="17"/>
  <c r="BK77" i="17"/>
  <c r="BK78" i="17"/>
  <c r="BK79" i="17"/>
  <c r="BK80" i="17"/>
  <c r="BK68" i="17"/>
  <c r="AK37" i="2"/>
  <c r="AL44" i="13" l="1"/>
  <c r="AQ41" i="13"/>
  <c r="AK42" i="2"/>
  <c r="AK43" i="2" s="1"/>
  <c r="AK44" i="2" s="1"/>
  <c r="AO37" i="2"/>
  <c r="AO42" i="2" s="1"/>
  <c r="AO43" i="2" s="1"/>
  <c r="AO44" i="2" s="1"/>
  <c r="AL56" i="13"/>
  <c r="AL50" i="13"/>
  <c r="AQ51" i="13" s="1"/>
  <c r="BT124" i="48"/>
  <c r="BS124" i="48"/>
  <c r="AL71" i="13" l="1"/>
  <c r="AQ57" i="13"/>
  <c r="AL70" i="13"/>
  <c r="AL60" i="13"/>
  <c r="X33" i="10"/>
  <c r="X36" i="10" s="1"/>
  <c r="AL63" i="13"/>
  <c r="AQ64" i="13" s="1"/>
  <c r="AL74" i="13"/>
  <c r="AL73" i="13"/>
  <c r="X66" i="47"/>
  <c r="AL69" i="13" l="1"/>
  <c r="AK202" i="31" l="1"/>
  <c r="AK67" i="31"/>
  <c r="AK66" i="31"/>
  <c r="AK82" i="17"/>
  <c r="AK58" i="17"/>
  <c r="AK62" i="17" s="1"/>
  <c r="AK46" i="17"/>
  <c r="AK37" i="17"/>
  <c r="AK25" i="17"/>
  <c r="AK6" i="17"/>
  <c r="AK7" i="17" s="1"/>
  <c r="AK13" i="14"/>
  <c r="AK89" i="14"/>
  <c r="AK88" i="14"/>
  <c r="AK85" i="14"/>
  <c r="AK93" i="13" s="1"/>
  <c r="AK81" i="14"/>
  <c r="AK70" i="14"/>
  <c r="AK55" i="14"/>
  <c r="AK41" i="14"/>
  <c r="AK28" i="14"/>
  <c r="AK100" i="13"/>
  <c r="AO100" i="13" s="1"/>
  <c r="AK134" i="13"/>
  <c r="AO134" i="13" s="1"/>
  <c r="AK133" i="13"/>
  <c r="AO133" i="13" s="1"/>
  <c r="AK120" i="13"/>
  <c r="AO120" i="13" s="1"/>
  <c r="AK119" i="13"/>
  <c r="AO119" i="13" s="1"/>
  <c r="AK111" i="13"/>
  <c r="AK110" i="13"/>
  <c r="AK109" i="13"/>
  <c r="AK92" i="13"/>
  <c r="AL90" i="13"/>
  <c r="AO88" i="13"/>
  <c r="AP83" i="13"/>
  <c r="AK80" i="13"/>
  <c r="AK77" i="13"/>
  <c r="AK59" i="13"/>
  <c r="AK44" i="13"/>
  <c r="AK24" i="13"/>
  <c r="AN24" i="13" s="1"/>
  <c r="AK19" i="4"/>
  <c r="AK15" i="4"/>
  <c r="AK14" i="4"/>
  <c r="AK10" i="4"/>
  <c r="AP11" i="4" s="1"/>
  <c r="AK8" i="4"/>
  <c r="AK7" i="4"/>
  <c r="AK19" i="2"/>
  <c r="AK15" i="2"/>
  <c r="AK14" i="2"/>
  <c r="AK10" i="2"/>
  <c r="AP11" i="2" s="1"/>
  <c r="AK8" i="2"/>
  <c r="AK7" i="2"/>
  <c r="AK4" i="2"/>
  <c r="AK27" i="41"/>
  <c r="AK2" i="41"/>
  <c r="AK42" i="1"/>
  <c r="AK36" i="1"/>
  <c r="AK19" i="1"/>
  <c r="AK15" i="1"/>
  <c r="AK14" i="1"/>
  <c r="AK10" i="1"/>
  <c r="AP11" i="1" s="1"/>
  <c r="AK8" i="1"/>
  <c r="AK7" i="1"/>
  <c r="AK4" i="1"/>
  <c r="AO135" i="13" l="1"/>
  <c r="AO130" i="13"/>
  <c r="AO62" i="13" s="1"/>
  <c r="AK44" i="1"/>
  <c r="AK45" i="1" s="1"/>
  <c r="AK46" i="1" s="1"/>
  <c r="AO71" i="17"/>
  <c r="AO102" i="13"/>
  <c r="AT103" i="13" s="1"/>
  <c r="AO70" i="17"/>
  <c r="AP20" i="2"/>
  <c r="AN19" i="2"/>
  <c r="AS20" i="2" s="1"/>
  <c r="AP20" i="1"/>
  <c r="AN19" i="1"/>
  <c r="AS20" i="1" s="1"/>
  <c r="AO136" i="13"/>
  <c r="AP20" i="4"/>
  <c r="AN19" i="4"/>
  <c r="AS20" i="4" s="1"/>
  <c r="AL70" i="14"/>
  <c r="AM70" i="14" s="1"/>
  <c r="AN70" i="14" s="1"/>
  <c r="AL89" i="14"/>
  <c r="AM89" i="14" s="1"/>
  <c r="AL85" i="13"/>
  <c r="AQ86" i="13" s="1"/>
  <c r="AK15" i="13"/>
  <c r="AL13" i="14"/>
  <c r="AK102" i="13"/>
  <c r="AP103" i="13" s="1"/>
  <c r="AK70" i="17"/>
  <c r="AK22" i="2"/>
  <c r="AP23" i="2" s="1"/>
  <c r="AK13" i="13"/>
  <c r="AK14" i="13"/>
  <c r="AK115" i="13"/>
  <c r="AK71" i="17"/>
  <c r="AK130" i="13"/>
  <c r="AK62" i="13" s="1"/>
  <c r="AK48" i="17"/>
  <c r="AK64" i="17" s="1"/>
  <c r="AK96" i="13"/>
  <c r="AK135" i="13"/>
  <c r="AK136" i="13" s="1"/>
  <c r="AK31" i="13"/>
  <c r="AN31" i="13" s="1"/>
  <c r="AK22" i="4"/>
  <c r="AP23" i="4" s="1"/>
  <c r="AK22" i="1"/>
  <c r="AP23" i="1" s="1"/>
  <c r="AN89" i="14" l="1"/>
  <c r="AN27" i="2"/>
  <c r="AN22" i="2"/>
  <c r="AS23" i="2" s="1"/>
  <c r="AN27" i="1"/>
  <c r="AN22" i="1"/>
  <c r="AS23" i="1" s="1"/>
  <c r="AN102" i="13"/>
  <c r="AS103" i="13" s="1"/>
  <c r="AN27" i="4"/>
  <c r="AN22" i="4"/>
  <c r="AS23" i="4" s="1"/>
  <c r="AN135" i="13"/>
  <c r="AN136" i="13" s="1"/>
  <c r="AL29" i="14"/>
  <c r="AM13" i="14"/>
  <c r="AN13" i="14" s="1"/>
  <c r="AK20" i="13"/>
  <c r="AK34" i="13" s="1"/>
  <c r="AM29" i="14" l="1"/>
  <c r="AL59" i="14"/>
  <c r="AL77" i="14"/>
  <c r="AK97" i="13"/>
  <c r="AK40" i="13"/>
  <c r="AK118" i="13"/>
  <c r="AK121" i="13" s="1"/>
  <c r="AK123" i="13" s="1"/>
  <c r="AM77" i="14" l="1"/>
  <c r="AM59" i="14"/>
  <c r="AL78" i="14"/>
  <c r="AL82" i="14"/>
  <c r="AL79" i="14"/>
  <c r="AK46" i="13"/>
  <c r="AM78" i="14" l="1"/>
  <c r="AM79" i="14"/>
  <c r="AM82" i="14"/>
  <c r="AK4" i="14"/>
  <c r="AK29" i="14" s="1"/>
  <c r="AK50" i="13"/>
  <c r="AB2" i="20"/>
  <c r="AB11" i="20"/>
  <c r="AB33" i="20"/>
  <c r="AB38" i="20"/>
  <c r="AB59" i="20"/>
  <c r="AB61" i="20"/>
  <c r="AK63" i="13" l="1"/>
  <c r="AK70" i="13"/>
  <c r="AK73" i="13"/>
  <c r="AK77" i="14"/>
  <c r="AK59" i="14"/>
  <c r="AK79" i="14" l="1"/>
  <c r="AK78" i="14"/>
  <c r="AK82" i="14"/>
  <c r="AK69" i="13"/>
  <c r="AN19" i="13"/>
  <c r="AN9" i="13"/>
  <c r="AJ79" i="13" l="1"/>
  <c r="AO80" i="13" s="1"/>
  <c r="AI114" i="13" l="1"/>
  <c r="AI35" i="1" l="1"/>
  <c r="AJ35" i="1" s="1"/>
  <c r="O40" i="48" l="1"/>
  <c r="R40" i="48"/>
  <c r="Q40" i="48"/>
  <c r="BW5" i="48"/>
  <c r="N5" i="48" s="1"/>
  <c r="Z33" i="46"/>
  <c r="BS41" i="48" l="1"/>
  <c r="BW104" i="48"/>
  <c r="BV104" i="48"/>
  <c r="AJ30" i="4"/>
  <c r="W26" i="11" s="1"/>
  <c r="AI17" i="4"/>
  <c r="M18" i="52"/>
  <c r="AM26" i="4" l="1"/>
  <c r="AK26" i="4"/>
  <c r="AL26" i="4"/>
  <c r="W7" i="40"/>
  <c r="W5" i="47" s="1"/>
  <c r="W8" i="40"/>
  <c r="W6" i="47" s="1"/>
  <c r="W9" i="40"/>
  <c r="W7" i="47" s="1"/>
  <c r="W10" i="40"/>
  <c r="W8" i="47" s="1"/>
  <c r="W11" i="40"/>
  <c r="W9" i="47" s="1"/>
  <c r="W12" i="40"/>
  <c r="W10" i="47" s="1"/>
  <c r="W13" i="40"/>
  <c r="W11" i="47" s="1"/>
  <c r="W14" i="40"/>
  <c r="W12" i="47" s="1"/>
  <c r="W15" i="40"/>
  <c r="W13" i="47" s="1"/>
  <c r="W16" i="40"/>
  <c r="W14" i="47" s="1"/>
  <c r="W17" i="40"/>
  <c r="W15" i="47" s="1"/>
  <c r="W18" i="40"/>
  <c r="W16" i="47" s="1"/>
  <c r="W19" i="40"/>
  <c r="W17" i="47" s="1"/>
  <c r="W20" i="40"/>
  <c r="W18" i="47" s="1"/>
  <c r="W21" i="40"/>
  <c r="W19" i="47" s="1"/>
  <c r="W6" i="40"/>
  <c r="W4" i="47" s="1"/>
  <c r="Z5" i="15" l="1"/>
  <c r="Z3" i="11"/>
  <c r="AV26" i="4"/>
  <c r="AU26" i="4"/>
  <c r="AW26" i="4"/>
  <c r="AX3" i="4"/>
  <c r="AP26" i="4"/>
  <c r="AR26" i="4"/>
  <c r="AO26" i="4"/>
  <c r="Y5" i="15"/>
  <c r="Y3" i="11"/>
  <c r="AQ26" i="4"/>
  <c r="AI202" i="31"/>
  <c r="AI66" i="31"/>
  <c r="AI67" i="31"/>
  <c r="AI82" i="17"/>
  <c r="AJ60" i="17"/>
  <c r="AI58" i="17"/>
  <c r="AI62" i="17" s="1"/>
  <c r="AJ57" i="17"/>
  <c r="AJ56" i="17"/>
  <c r="AJ55" i="17"/>
  <c r="AJ54" i="17"/>
  <c r="AJ53" i="17"/>
  <c r="AJ52" i="17"/>
  <c r="AI46" i="17"/>
  <c r="AJ45" i="17"/>
  <c r="AJ44" i="17"/>
  <c r="AJ43" i="17"/>
  <c r="AJ42" i="17"/>
  <c r="AJ41" i="17"/>
  <c r="AJ40" i="17"/>
  <c r="AI37" i="17"/>
  <c r="AJ36" i="17"/>
  <c r="AJ35" i="17"/>
  <c r="AJ34" i="17"/>
  <c r="AJ33" i="17"/>
  <c r="AJ32" i="17"/>
  <c r="AJ31" i="17"/>
  <c r="AI25" i="17"/>
  <c r="AJ24" i="17"/>
  <c r="AJ23" i="17"/>
  <c r="AJ22" i="17"/>
  <c r="AJ21" i="17"/>
  <c r="AJ20" i="17"/>
  <c r="AJ19" i="17"/>
  <c r="AO75" i="14" s="1"/>
  <c r="AJ18" i="17"/>
  <c r="AJ14" i="17"/>
  <c r="AJ13" i="17"/>
  <c r="AJ12" i="17"/>
  <c r="AJ11" i="17"/>
  <c r="AJ10" i="17"/>
  <c r="AJ9" i="17"/>
  <c r="AJ8" i="17"/>
  <c r="AI6" i="17"/>
  <c r="AJ13" i="14"/>
  <c r="AI85" i="14"/>
  <c r="AI93" i="13" s="1"/>
  <c r="AJ84" i="14"/>
  <c r="AO85" i="14" s="1"/>
  <c r="AO93" i="13" s="1"/>
  <c r="AJ81" i="14"/>
  <c r="AI68" i="14"/>
  <c r="AJ63" i="14"/>
  <c r="AI58" i="14"/>
  <c r="AJ55" i="14"/>
  <c r="AJ41" i="14"/>
  <c r="AI32" i="14"/>
  <c r="AJ28" i="14"/>
  <c r="AI10" i="14"/>
  <c r="AI7" i="14"/>
  <c r="AI100" i="13"/>
  <c r="AD130" i="13"/>
  <c r="AI76" i="13"/>
  <c r="AN77" i="13" s="1"/>
  <c r="AJ138" i="13"/>
  <c r="AI134" i="13"/>
  <c r="AI130" i="13"/>
  <c r="AI62" i="13" s="1"/>
  <c r="AJ129" i="13"/>
  <c r="AJ128" i="13"/>
  <c r="AJ127" i="13"/>
  <c r="AJ126" i="13"/>
  <c r="AJ122" i="13"/>
  <c r="AJ114" i="13"/>
  <c r="Y114" i="15" s="1"/>
  <c r="AJ113" i="13"/>
  <c r="AJ112" i="13"/>
  <c r="AJ111" i="13"/>
  <c r="AJ110" i="13"/>
  <c r="AJ109" i="13"/>
  <c r="AJ101" i="13"/>
  <c r="AJ96" i="13"/>
  <c r="AI92" i="13"/>
  <c r="AI67" i="13"/>
  <c r="AJ67" i="13" s="1"/>
  <c r="AI66" i="13"/>
  <c r="AJ66" i="13" s="1"/>
  <c r="AI59" i="13"/>
  <c r="AI55" i="13"/>
  <c r="AJ55" i="13" s="1"/>
  <c r="AJ48" i="13"/>
  <c r="AJ59" i="13" s="1"/>
  <c r="AJ43" i="13"/>
  <c r="AJ44" i="13" s="1"/>
  <c r="AJ39" i="13"/>
  <c r="AI38" i="13"/>
  <c r="AJ37" i="13"/>
  <c r="AJ32" i="13"/>
  <c r="AJ30" i="13"/>
  <c r="AJ29" i="13"/>
  <c r="AJ28" i="13"/>
  <c r="AJ27" i="13"/>
  <c r="AJ26" i="13"/>
  <c r="AJ25" i="13"/>
  <c r="AJ23" i="13"/>
  <c r="AJ22" i="13"/>
  <c r="AA3" i="11" l="1"/>
  <c r="BI3" i="4"/>
  <c r="AB3" i="11" s="1"/>
  <c r="BC26" i="4"/>
  <c r="AX5" i="13"/>
  <c r="AX8" i="4"/>
  <c r="BD5" i="13"/>
  <c r="AA5" i="15" s="1"/>
  <c r="BA26" i="4"/>
  <c r="AZ26" i="4"/>
  <c r="BB26" i="4"/>
  <c r="AT26" i="4"/>
  <c r="Z15" i="15"/>
  <c r="Z19" i="11"/>
  <c r="AX26" i="4"/>
  <c r="AY26" i="4" s="1"/>
  <c r="AX4" i="4"/>
  <c r="Z20" i="11"/>
  <c r="AJ92" i="13"/>
  <c r="AO90" i="13"/>
  <c r="AP27" i="4"/>
  <c r="AR27" i="4"/>
  <c r="AJ82" i="13"/>
  <c r="AN83" i="13"/>
  <c r="AI71" i="17"/>
  <c r="Y19" i="11"/>
  <c r="AQ27" i="4"/>
  <c r="Y15" i="15"/>
  <c r="AJ24" i="13"/>
  <c r="AJ31" i="13" s="1"/>
  <c r="AJ76" i="13"/>
  <c r="AO77" i="13" s="1"/>
  <c r="AK75" i="14"/>
  <c r="AJ58" i="17"/>
  <c r="AJ62" i="17" s="1"/>
  <c r="AI133" i="13"/>
  <c r="AK90" i="13"/>
  <c r="AI70" i="17"/>
  <c r="AI7" i="17"/>
  <c r="AJ38" i="13"/>
  <c r="AJ6" i="17"/>
  <c r="AJ82" i="17"/>
  <c r="AJ115" i="13"/>
  <c r="AJ46" i="17"/>
  <c r="AJ37" i="17"/>
  <c r="AI48" i="17"/>
  <c r="AI64" i="17" s="1"/>
  <c r="AJ25" i="17"/>
  <c r="Y20" i="11"/>
  <c r="AJ19" i="4"/>
  <c r="AO20" i="4" s="1"/>
  <c r="AJ15" i="4"/>
  <c r="AJ14" i="4"/>
  <c r="AI13" i="4"/>
  <c r="AN14" i="4" s="1"/>
  <c r="AJ10" i="4"/>
  <c r="AO11" i="4" s="1"/>
  <c r="AJ8" i="4"/>
  <c r="AJ7" i="4"/>
  <c r="AI6" i="4"/>
  <c r="AJ4" i="4"/>
  <c r="AI3" i="4"/>
  <c r="AN4" i="4" s="1"/>
  <c r="BG26" i="4" l="1"/>
  <c r="BF26" i="4"/>
  <c r="BE26" i="4"/>
  <c r="AA19" i="11"/>
  <c r="AA13" i="11" s="1"/>
  <c r="BI5" i="13"/>
  <c r="AB5" i="15" s="1"/>
  <c r="BH3" i="4"/>
  <c r="BH26" i="4" s="1"/>
  <c r="BI19" i="4"/>
  <c r="AB19" i="11" s="1"/>
  <c r="AB13" i="11" s="1"/>
  <c r="BC5" i="13"/>
  <c r="AA20" i="11"/>
  <c r="AZ27" i="4"/>
  <c r="BC27" i="4"/>
  <c r="BB27" i="4"/>
  <c r="BA27" i="4"/>
  <c r="BD15" i="13"/>
  <c r="AA15" i="15" s="1"/>
  <c r="BD26" i="4"/>
  <c r="Z13" i="11"/>
  <c r="Y13" i="11"/>
  <c r="AT27" i="4"/>
  <c r="AI111" i="13"/>
  <c r="AN7" i="4"/>
  <c r="AK85" i="13"/>
  <c r="AP86" i="13" s="1"/>
  <c r="AO83" i="13"/>
  <c r="AO85" i="13"/>
  <c r="AT86" i="13" s="1"/>
  <c r="AM27" i="4"/>
  <c r="AK27" i="4"/>
  <c r="AL27" i="4"/>
  <c r="AJ7" i="17"/>
  <c r="AI83" i="17"/>
  <c r="AI15" i="17"/>
  <c r="AI27" i="17" s="1"/>
  <c r="AI65" i="17" s="1"/>
  <c r="AI15" i="4"/>
  <c r="AJ48" i="17"/>
  <c r="AJ64" i="17" s="1"/>
  <c r="AI8" i="4"/>
  <c r="AJ22" i="4"/>
  <c r="AO23" i="4" s="1"/>
  <c r="AI10" i="4"/>
  <c r="AN11" i="4" s="1"/>
  <c r="AI26" i="41"/>
  <c r="AI25" i="41"/>
  <c r="AI24" i="41"/>
  <c r="AI23" i="41"/>
  <c r="AI21" i="41"/>
  <c r="AI20" i="41"/>
  <c r="AI19" i="41"/>
  <c r="AI18" i="41"/>
  <c r="AI17" i="41"/>
  <c r="AI16" i="41"/>
  <c r="AI15" i="41"/>
  <c r="AI14" i="41"/>
  <c r="AI13" i="41"/>
  <c r="AI12" i="41"/>
  <c r="AI11" i="41"/>
  <c r="AI10" i="41"/>
  <c r="AI9" i="41"/>
  <c r="AI8" i="41"/>
  <c r="AI7" i="41"/>
  <c r="AI6" i="41"/>
  <c r="AJ39" i="2"/>
  <c r="W35" i="10" s="1"/>
  <c r="AJ38" i="2"/>
  <c r="W34" i="10" s="1"/>
  <c r="AJ37" i="2"/>
  <c r="W33" i="10" s="1"/>
  <c r="AJ35" i="2"/>
  <c r="W31" i="10" s="1"/>
  <c r="AJ32" i="2"/>
  <c r="AJ31" i="2"/>
  <c r="AJ19" i="2"/>
  <c r="AO20" i="2" s="1"/>
  <c r="AJ15" i="2"/>
  <c r="AJ14" i="2"/>
  <c r="AI13" i="2"/>
  <c r="AN14" i="2" s="1"/>
  <c r="AJ10" i="2"/>
  <c r="AO11" i="2" s="1"/>
  <c r="AJ8" i="2"/>
  <c r="AJ7" i="2"/>
  <c r="AI6" i="2"/>
  <c r="AN7" i="2" s="1"/>
  <c r="AJ4" i="2"/>
  <c r="AI3" i="2"/>
  <c r="AN4" i="2" s="1"/>
  <c r="AJ17" i="1"/>
  <c r="AJ19" i="1" s="1"/>
  <c r="AO20" i="1" s="1"/>
  <c r="AJ15" i="1"/>
  <c r="AJ14" i="1"/>
  <c r="AI13" i="1"/>
  <c r="AN14" i="1" s="1"/>
  <c r="AJ10" i="1"/>
  <c r="AO11" i="1" s="1"/>
  <c r="AJ8" i="1"/>
  <c r="AJ7" i="1"/>
  <c r="AI6" i="1"/>
  <c r="AN7" i="1" s="1"/>
  <c r="AJ4" i="1"/>
  <c r="AI3" i="1"/>
  <c r="AN4" i="1" s="1"/>
  <c r="BE27" i="4" l="1"/>
  <c r="BF27" i="4"/>
  <c r="BG27" i="4"/>
  <c r="BI15" i="13"/>
  <c r="AB15" i="15" s="1"/>
  <c r="BH19" i="4"/>
  <c r="BH27" i="4" s="1"/>
  <c r="BI20" i="4"/>
  <c r="AB20" i="11" s="1"/>
  <c r="BH5" i="13"/>
  <c r="BI26" i="4"/>
  <c r="BH4" i="4"/>
  <c r="BC15" i="13"/>
  <c r="BD27" i="4"/>
  <c r="AO27" i="4"/>
  <c r="AJ22" i="2"/>
  <c r="AO23" i="2" s="1"/>
  <c r="AI110" i="13"/>
  <c r="AI109" i="13"/>
  <c r="AI15" i="2"/>
  <c r="AI8" i="2"/>
  <c r="AI10" i="2"/>
  <c r="AN11" i="2" s="1"/>
  <c r="AI8" i="1"/>
  <c r="AJ22" i="1"/>
  <c r="AO23" i="1" s="1"/>
  <c r="AI15" i="1"/>
  <c r="AI10" i="1"/>
  <c r="AN11" i="1" s="1"/>
  <c r="BH15" i="13" l="1"/>
  <c r="BI27" i="4"/>
  <c r="BH13" i="4"/>
  <c r="BH22" i="4"/>
  <c r="BH23" i="4" s="1"/>
  <c r="BH20" i="4"/>
  <c r="AA15" i="11"/>
  <c r="AA10" i="11"/>
  <c r="Y15" i="11"/>
  <c r="Y10" i="11"/>
  <c r="AI115" i="13"/>
  <c r="BH15" i="4" l="1"/>
  <c r="BI13" i="4"/>
  <c r="BH14" i="4"/>
  <c r="BH10" i="4"/>
  <c r="BH11" i="4" s="1"/>
  <c r="AB173" i="15"/>
  <c r="BI14" i="4" l="1"/>
  <c r="AB14" i="11" s="1"/>
  <c r="BI15" i="4"/>
  <c r="AB15" i="11" s="1"/>
  <c r="BI10" i="4"/>
  <c r="AJ80" i="18"/>
  <c r="AB2" i="32"/>
  <c r="AB2" i="16"/>
  <c r="AJ67" i="18" s="1"/>
  <c r="AB2" i="18"/>
  <c r="R2" i="52" s="1"/>
  <c r="R6" i="52"/>
  <c r="R7" i="52"/>
  <c r="R8" i="52"/>
  <c r="R9" i="52"/>
  <c r="R10" i="52"/>
  <c r="R9" i="48"/>
  <c r="R42" i="48"/>
  <c r="R43" i="48" s="1"/>
  <c r="R45" i="48"/>
  <c r="R77" i="48"/>
  <c r="R80" i="48"/>
  <c r="R94" i="48"/>
  <c r="R105" i="48"/>
  <c r="R108" i="48"/>
  <c r="AB2" i="11"/>
  <c r="AB2" i="40"/>
  <c r="AB7" i="40"/>
  <c r="AB8" i="40"/>
  <c r="AB9" i="40"/>
  <c r="AB10" i="40"/>
  <c r="AB11" i="40"/>
  <c r="AB14" i="40"/>
  <c r="AB15" i="40"/>
  <c r="AB17" i="40"/>
  <c r="AB18" i="40"/>
  <c r="AB19" i="40"/>
  <c r="AB20" i="40"/>
  <c r="AB21" i="40"/>
  <c r="AB2" i="47"/>
  <c r="AB2" i="10"/>
  <c r="AB2" i="7"/>
  <c r="AB2" i="8"/>
  <c r="AB5" i="8"/>
  <c r="AB6" i="8"/>
  <c r="AB8" i="8"/>
  <c r="AB10" i="8"/>
  <c r="AB11" i="8"/>
  <c r="AB12" i="8"/>
  <c r="AB13" i="8"/>
  <c r="AB51" i="46"/>
  <c r="AB52" i="46"/>
  <c r="AB67" i="46" s="1"/>
  <c r="AB83" i="46" s="1"/>
  <c r="AB54" i="46"/>
  <c r="AB69" i="46" s="1"/>
  <c r="AB85" i="46" s="1"/>
  <c r="AB56" i="46"/>
  <c r="AB57" i="46"/>
  <c r="AB58" i="46"/>
  <c r="AB59" i="46"/>
  <c r="AB2" i="46"/>
  <c r="BI11" i="4" l="1"/>
  <c r="AB11" i="11" s="1"/>
  <c r="AB10" i="11"/>
  <c r="CM9" i="48"/>
  <c r="CM26" i="48" s="1"/>
  <c r="CK9" i="48"/>
  <c r="CK26" i="48" s="1"/>
  <c r="CJ9" i="48"/>
  <c r="CL9" i="48"/>
  <c r="CL26" i="48" s="1"/>
  <c r="CM108" i="48"/>
  <c r="CJ108" i="48"/>
  <c r="CL108" i="48"/>
  <c r="CK108" i="48"/>
  <c r="R76" i="48"/>
  <c r="CJ76" i="48" s="1"/>
  <c r="CM77" i="48"/>
  <c r="CL77" i="48"/>
  <c r="CK77" i="48"/>
  <c r="CJ77" i="48"/>
  <c r="CM94" i="48"/>
  <c r="CK94" i="48"/>
  <c r="CJ94" i="48"/>
  <c r="CL94" i="48"/>
  <c r="CM80" i="48"/>
  <c r="CL80" i="48"/>
  <c r="CK80" i="48"/>
  <c r="CJ80" i="48"/>
  <c r="R106" i="48"/>
  <c r="CM105" i="48"/>
  <c r="CM106" i="48" s="1"/>
  <c r="CL105" i="48"/>
  <c r="CL106" i="48" s="1"/>
  <c r="CK105" i="48"/>
  <c r="CK106" i="48" s="1"/>
  <c r="CJ105" i="48"/>
  <c r="CJ106" i="48" s="1"/>
  <c r="CM45" i="48"/>
  <c r="CK45" i="48"/>
  <c r="CL45" i="48"/>
  <c r="CJ45" i="48"/>
  <c r="AB30" i="46"/>
  <c r="AB17" i="8"/>
  <c r="AB66" i="46"/>
  <c r="AB82" i="46" s="1"/>
  <c r="AB33" i="46"/>
  <c r="AB53" i="46"/>
  <c r="AB68" i="46" s="1"/>
  <c r="AB84" i="46" s="1"/>
  <c r="R91" i="48"/>
  <c r="AB13" i="46"/>
  <c r="AB55" i="46"/>
  <c r="AB70" i="46" s="1"/>
  <c r="AB7" i="8"/>
  <c r="AB9" i="8"/>
  <c r="R6" i="48"/>
  <c r="R7" i="48" s="1"/>
  <c r="R2" i="48"/>
  <c r="CT18" i="48" s="1"/>
  <c r="CL76" i="48" l="1"/>
  <c r="CK76" i="48"/>
  <c r="CK78" i="48" s="1"/>
  <c r="CM76" i="48"/>
  <c r="CM78" i="48" s="1"/>
  <c r="R78" i="48"/>
  <c r="CL78" i="48"/>
  <c r="CJ78" i="48"/>
  <c r="AB32" i="46"/>
  <c r="BI30" i="5"/>
  <c r="CM91" i="48"/>
  <c r="CL91" i="48"/>
  <c r="CL92" i="48" s="1"/>
  <c r="CK91" i="48"/>
  <c r="CK92" i="48" s="1"/>
  <c r="CJ91" i="48"/>
  <c r="CJ92" i="48" s="1"/>
  <c r="R92" i="48"/>
  <c r="CM92" i="48"/>
  <c r="AB21" i="8"/>
  <c r="AB14" i="8"/>
  <c r="AB60" i="46"/>
  <c r="AB44" i="46"/>
  <c r="AB45" i="7" l="1"/>
  <c r="BI49" i="1"/>
  <c r="BH49" i="1" s="1"/>
  <c r="BI32" i="5"/>
  <c r="BI3" i="1"/>
  <c r="AB62" i="46"/>
  <c r="AB3" i="7" l="1"/>
  <c r="BI3" i="13"/>
  <c r="AB3" i="15" s="1"/>
  <c r="BF26" i="1"/>
  <c r="BG26" i="1"/>
  <c r="BH3" i="1"/>
  <c r="BH48" i="1" s="1"/>
  <c r="BE26" i="1"/>
  <c r="AB63" i="46"/>
  <c r="BI19" i="1"/>
  <c r="BG49" i="1"/>
  <c r="AB44" i="7"/>
  <c r="X4" i="11"/>
  <c r="X3" i="11"/>
  <c r="BF49" i="1" l="1"/>
  <c r="BG48" i="1"/>
  <c r="BG51" i="1" s="1"/>
  <c r="AB19" i="7"/>
  <c r="AB46" i="20" s="1"/>
  <c r="BI13" i="13"/>
  <c r="AB13" i="15" s="1"/>
  <c r="BI22" i="1"/>
  <c r="BF27" i="1"/>
  <c r="BH19" i="1"/>
  <c r="BE27" i="1"/>
  <c r="BG27" i="1"/>
  <c r="BH26" i="1"/>
  <c r="BH3" i="13"/>
  <c r="BH31" i="5"/>
  <c r="BH32" i="5" s="1"/>
  <c r="R32" i="52"/>
  <c r="R52" i="52"/>
  <c r="R53" i="52" s="1"/>
  <c r="R54" i="52" s="1"/>
  <c r="AC4" i="7"/>
  <c r="AB44" i="20"/>
  <c r="BR124" i="48"/>
  <c r="N98" i="48"/>
  <c r="N84" i="48"/>
  <c r="AB22" i="7" l="1"/>
  <c r="AC23" i="7" s="1"/>
  <c r="AB13" i="7"/>
  <c r="AB41" i="7" s="1"/>
  <c r="BH27" i="1"/>
  <c r="BH13" i="13"/>
  <c r="BH22" i="1"/>
  <c r="BH13" i="1"/>
  <c r="AC20" i="7"/>
  <c r="S33" i="52"/>
  <c r="Q40" i="52"/>
  <c r="R35" i="52"/>
  <c r="P38" i="52" s="1"/>
  <c r="BE49" i="1"/>
  <c r="BE48" i="1" s="1"/>
  <c r="BF48" i="1"/>
  <c r="BF51" i="1" s="1"/>
  <c r="N112" i="48"/>
  <c r="AB47" i="20" l="1"/>
  <c r="AC14" i="7"/>
  <c r="BI13" i="1"/>
  <c r="BH15" i="1"/>
  <c r="BH45" i="1"/>
  <c r="BH10" i="1"/>
  <c r="BE51" i="1"/>
  <c r="BI48" i="1"/>
  <c r="AB47" i="7"/>
  <c r="AB42" i="7"/>
  <c r="AM13" i="5"/>
  <c r="AL13" i="5"/>
  <c r="AK13" i="5"/>
  <c r="BU105" i="48"/>
  <c r="BV105" i="48"/>
  <c r="BV106" i="48" s="1"/>
  <c r="BT105" i="48"/>
  <c r="BU91" i="48"/>
  <c r="BU90" i="48" s="1"/>
  <c r="BU92" i="48" s="1"/>
  <c r="BV91" i="48"/>
  <c r="BV90" i="48" s="1"/>
  <c r="BV92" i="48" s="1"/>
  <c r="BT91" i="48"/>
  <c r="BT90" i="48" s="1"/>
  <c r="BU77" i="48"/>
  <c r="BU76" i="48" s="1"/>
  <c r="BU78" i="48" s="1"/>
  <c r="BV77" i="48"/>
  <c r="BV76" i="48" s="1"/>
  <c r="BV78" i="48" s="1"/>
  <c r="BT77" i="48"/>
  <c r="BU42" i="48"/>
  <c r="BV42" i="48"/>
  <c r="BT42" i="48"/>
  <c r="BU6" i="48"/>
  <c r="BU7" i="48" s="1"/>
  <c r="BV6" i="48"/>
  <c r="BV7" i="48" s="1"/>
  <c r="BT6" i="48"/>
  <c r="BT21" i="48" s="1"/>
  <c r="BT34" i="48" s="1"/>
  <c r="N34" i="48" s="1"/>
  <c r="BU2" i="48"/>
  <c r="BV2" i="48"/>
  <c r="BW2" i="48"/>
  <c r="BT2" i="48"/>
  <c r="AO17" i="5"/>
  <c r="AO18" i="5"/>
  <c r="AO19" i="5"/>
  <c r="AO20" i="5"/>
  <c r="AO21" i="5"/>
  <c r="AO22" i="5"/>
  <c r="AO23" i="5"/>
  <c r="AO24" i="5"/>
  <c r="AO16" i="5"/>
  <c r="AN9" i="5"/>
  <c r="AN10" i="5"/>
  <c r="AN11" i="5"/>
  <c r="AN12" i="5"/>
  <c r="AO2" i="5"/>
  <c r="AN2" i="5"/>
  <c r="AM2" i="5"/>
  <c r="AL2" i="5"/>
  <c r="AK2" i="5"/>
  <c r="BH46" i="1" l="1"/>
  <c r="BH51" i="1"/>
  <c r="BI51" i="1" s="1"/>
  <c r="BI15" i="1"/>
  <c r="AB15" i="7" s="1"/>
  <c r="BI45" i="1"/>
  <c r="BI46" i="1" s="1"/>
  <c r="BI10" i="1"/>
  <c r="AB10" i="7" s="1"/>
  <c r="AN8" i="5"/>
  <c r="BW6" i="48" s="1"/>
  <c r="BW7" i="48" s="1"/>
  <c r="BX7" i="48"/>
  <c r="AN4" i="5"/>
  <c r="BX43" i="48"/>
  <c r="AN7" i="5"/>
  <c r="BW105" i="48" s="1"/>
  <c r="BW106" i="48" s="1"/>
  <c r="BX106" i="48"/>
  <c r="AN5" i="5"/>
  <c r="BW77" i="48" s="1"/>
  <c r="BW76" i="48" s="1"/>
  <c r="BW78" i="48" s="1"/>
  <c r="BX76" i="48"/>
  <c r="BX78" i="48" s="1"/>
  <c r="BV41" i="48"/>
  <c r="N41" i="48" s="1"/>
  <c r="N40" i="48" s="1"/>
  <c r="BU43" i="48"/>
  <c r="BT43" i="48"/>
  <c r="AM18" i="5"/>
  <c r="AL18" i="5"/>
  <c r="AN18" i="5"/>
  <c r="AK18" i="5"/>
  <c r="AK16" i="5"/>
  <c r="AM16" i="5"/>
  <c r="AL16" i="5"/>
  <c r="AN16" i="5"/>
  <c r="AL21" i="5"/>
  <c r="AK21" i="5"/>
  <c r="AM21" i="5"/>
  <c r="AN21" i="5"/>
  <c r="AL17" i="5"/>
  <c r="AK17" i="5"/>
  <c r="AM17" i="5"/>
  <c r="AN17" i="5"/>
  <c r="AN24" i="5"/>
  <c r="AK24" i="5"/>
  <c r="AL24" i="5"/>
  <c r="AM24" i="5"/>
  <c r="AM20" i="5"/>
  <c r="AN20" i="5"/>
  <c r="AL20" i="5"/>
  <c r="AK20" i="5"/>
  <c r="AM22" i="5"/>
  <c r="AK22" i="5"/>
  <c r="AN22" i="5"/>
  <c r="AL22" i="5"/>
  <c r="AN23" i="5"/>
  <c r="AL23" i="5"/>
  <c r="AM23" i="5"/>
  <c r="AK23" i="5"/>
  <c r="AN19" i="5"/>
  <c r="AL19" i="5"/>
  <c r="AK19" i="5"/>
  <c r="AM19" i="5"/>
  <c r="BT92" i="48"/>
  <c r="BT106" i="48"/>
  <c r="N104" i="48"/>
  <c r="BU106" i="48"/>
  <c r="BT76" i="48"/>
  <c r="BT78" i="48" s="1"/>
  <c r="BT7" i="48"/>
  <c r="R48" i="52" l="1"/>
  <c r="S49" i="52" s="1"/>
  <c r="AC11" i="7"/>
  <c r="AS4" i="5"/>
  <c r="AS8" i="5"/>
  <c r="CA6" i="48" s="1"/>
  <c r="CA7" i="48" s="1"/>
  <c r="BW42" i="48"/>
  <c r="BW43" i="48" s="1"/>
  <c r="BV43" i="48"/>
  <c r="AK30" i="5"/>
  <c r="AM30" i="5"/>
  <c r="AL30" i="5"/>
  <c r="CA42" i="48" l="1"/>
  <c r="CA43" i="48" s="1"/>
  <c r="X75" i="32"/>
  <c r="X129" i="15" l="1"/>
  <c r="X127" i="15"/>
  <c r="X126" i="15"/>
  <c r="X113" i="15"/>
  <c r="X112" i="15"/>
  <c r="X101" i="15"/>
  <c r="X30" i="15"/>
  <c r="X29" i="15"/>
  <c r="X27" i="15"/>
  <c r="X26" i="15"/>
  <c r="X25" i="15"/>
  <c r="X23" i="15"/>
  <c r="X22" i="15"/>
  <c r="X19" i="15"/>
  <c r="X123" i="18"/>
  <c r="X117" i="18"/>
  <c r="X115" i="18"/>
  <c r="X113" i="18"/>
  <c r="X104" i="18"/>
  <c r="X100" i="18"/>
  <c r="X97" i="18"/>
  <c r="X95" i="18"/>
  <c r="X92" i="18"/>
  <c r="X89" i="16"/>
  <c r="X88" i="16"/>
  <c r="X84" i="16"/>
  <c r="X70" i="16"/>
  <c r="X58" i="16"/>
  <c r="X57" i="16"/>
  <c r="X51" i="16"/>
  <c r="X50" i="16"/>
  <c r="X49" i="16"/>
  <c r="X48" i="16"/>
  <c r="X47" i="16"/>
  <c r="X46" i="16"/>
  <c r="X40" i="16"/>
  <c r="X39" i="16"/>
  <c r="X36" i="16"/>
  <c r="X35" i="16"/>
  <c r="X34" i="16"/>
  <c r="X27" i="16"/>
  <c r="X22" i="16"/>
  <c r="X13" i="16"/>
  <c r="X12" i="16"/>
  <c r="X11" i="16"/>
  <c r="X10" i="16"/>
  <c r="X9" i="16"/>
  <c r="X8" i="16"/>
  <c r="X7" i="16"/>
  <c r="X6" i="16"/>
  <c r="X173" i="15" l="1"/>
  <c r="X24" i="15"/>
  <c r="AN175" i="13"/>
  <c r="AM175" i="13"/>
  <c r="AL175" i="13"/>
  <c r="AK175" i="13"/>
  <c r="X114" i="15"/>
  <c r="AL64" i="31"/>
  <c r="AM64" i="31" s="1"/>
  <c r="AN64" i="31" s="1"/>
  <c r="AO64" i="31" s="1"/>
  <c r="AP200" i="31" s="1"/>
  <c r="AT200" i="31" s="1"/>
  <c r="AL135" i="31"/>
  <c r="AN75" i="31"/>
  <c r="AO14" i="31"/>
  <c r="X14" i="32" s="1"/>
  <c r="AL9" i="31"/>
  <c r="AM9" i="31" s="1"/>
  <c r="AN9" i="31" s="1"/>
  <c r="AO9" i="31" s="1"/>
  <c r="X9" i="32" s="1"/>
  <c r="X122" i="15"/>
  <c r="X66" i="15"/>
  <c r="X38" i="15"/>
  <c r="X32" i="15"/>
  <c r="AO18" i="13"/>
  <c r="X18" i="15" s="1"/>
  <c r="AO17" i="13"/>
  <c r="X17" i="15" s="1"/>
  <c r="X9" i="15"/>
  <c r="AO8" i="13"/>
  <c r="X8" i="15" s="1"/>
  <c r="AO7" i="13"/>
  <c r="X7" i="15" s="1"/>
  <c r="X6" i="15"/>
  <c r="AO5" i="13"/>
  <c r="AM5" i="13"/>
  <c r="AK5" i="13"/>
  <c r="AH26" i="2"/>
  <c r="X17" i="11"/>
  <c r="AM2" i="4"/>
  <c r="AL2" i="4"/>
  <c r="AK2" i="4"/>
  <c r="X17" i="10"/>
  <c r="AM2" i="2"/>
  <c r="AL2" i="2"/>
  <c r="AK2" i="2"/>
  <c r="X37" i="7"/>
  <c r="X36" i="7"/>
  <c r="X35" i="7"/>
  <c r="X30" i="7"/>
  <c r="X29" i="7"/>
  <c r="X28" i="7"/>
  <c r="X27" i="7"/>
  <c r="AM2" i="1"/>
  <c r="AL2" i="1"/>
  <c r="AK2" i="1"/>
  <c r="AO2" i="31"/>
  <c r="AN2" i="31"/>
  <c r="AM2" i="31"/>
  <c r="AL2" i="31"/>
  <c r="AK2" i="31"/>
  <c r="X54" i="16"/>
  <c r="AO175" i="13"/>
  <c r="AO2" i="14"/>
  <c r="AN2" i="14"/>
  <c r="AM2" i="14"/>
  <c r="AL2" i="14"/>
  <c r="AK2" i="14"/>
  <c r="AO2" i="17"/>
  <c r="AN2" i="17"/>
  <c r="AM2" i="17"/>
  <c r="AL2" i="17"/>
  <c r="AK2" i="17"/>
  <c r="X5" i="15" l="1"/>
  <c r="X24" i="18"/>
  <c r="X23" i="18"/>
  <c r="X45" i="18"/>
  <c r="Y200" i="32"/>
  <c r="X35" i="18"/>
  <c r="X13" i="18"/>
  <c r="X43" i="18"/>
  <c r="X57" i="18"/>
  <c r="X22" i="18"/>
  <c r="X64" i="32"/>
  <c r="X10" i="18"/>
  <c r="X7" i="18"/>
  <c r="X11" i="18"/>
  <c r="X36" i="18"/>
  <c r="X38" i="7"/>
  <c r="AL200" i="31"/>
  <c r="X38" i="16"/>
  <c r="X37" i="16"/>
  <c r="X31" i="7"/>
  <c r="X32" i="7" s="1"/>
  <c r="X93" i="15"/>
  <c r="X48" i="15"/>
  <c r="AL5" i="13"/>
  <c r="X92" i="15"/>
  <c r="AM75" i="31"/>
  <c r="AM135" i="31"/>
  <c r="X61" i="46"/>
  <c r="Y33" i="46"/>
  <c r="BR41" i="48"/>
  <c r="Y35" i="18" l="1"/>
  <c r="Y57" i="18"/>
  <c r="Y13" i="18"/>
  <c r="Y23" i="18"/>
  <c r="Y22" i="18"/>
  <c r="Y43" i="18"/>
  <c r="Y45" i="18"/>
  <c r="Y24" i="18"/>
  <c r="AX111" i="13"/>
  <c r="X18" i="18"/>
  <c r="X40" i="7"/>
  <c r="X24" i="16"/>
  <c r="X85" i="16"/>
  <c r="X59" i="15"/>
  <c r="AN5" i="13"/>
  <c r="X28" i="15"/>
  <c r="X31" i="15" s="1"/>
  <c r="X67" i="15"/>
  <c r="X6" i="11"/>
  <c r="X111" i="15"/>
  <c r="X7" i="10"/>
  <c r="X6" i="10"/>
  <c r="X110" i="15"/>
  <c r="X7" i="7"/>
  <c r="X6" i="7"/>
  <c r="X55" i="15"/>
  <c r="AN135" i="31"/>
  <c r="AM200" i="31"/>
  <c r="AL75" i="31"/>
  <c r="X8" i="11"/>
  <c r="X7" i="11"/>
  <c r="Z24" i="18" l="1"/>
  <c r="Z45" i="18"/>
  <c r="X40" i="18"/>
  <c r="Y6" i="7"/>
  <c r="Y6" i="11"/>
  <c r="Y111" i="15"/>
  <c r="X52" i="18"/>
  <c r="Y6" i="10"/>
  <c r="Y110" i="15"/>
  <c r="X26" i="16"/>
  <c r="Y8" i="11"/>
  <c r="Y7" i="11"/>
  <c r="Y7" i="10"/>
  <c r="Y7" i="7"/>
  <c r="X23" i="16"/>
  <c r="X17" i="7"/>
  <c r="X67" i="32"/>
  <c r="X109" i="15"/>
  <c r="X115" i="15" s="1"/>
  <c r="AN15" i="13"/>
  <c r="X48" i="46"/>
  <c r="X16" i="15"/>
  <c r="X19" i="11"/>
  <c r="AO15" i="13"/>
  <c r="X20" i="11"/>
  <c r="X22" i="11"/>
  <c r="AN200" i="31"/>
  <c r="AO135" i="31"/>
  <c r="X135" i="32" s="1"/>
  <c r="AC135" i="32" s="1"/>
  <c r="AD135" i="32" s="1"/>
  <c r="AE135" i="32" s="1"/>
  <c r="X32" i="16"/>
  <c r="X39" i="15"/>
  <c r="X88" i="15"/>
  <c r="AK75" i="31"/>
  <c r="AH32" i="1"/>
  <c r="AE200" i="32" l="1"/>
  <c r="AF135" i="32"/>
  <c r="AF200" i="32" s="1"/>
  <c r="AA24" i="18"/>
  <c r="BE24" i="17"/>
  <c r="BF24" i="17" s="1"/>
  <c r="BG24" i="17" s="1"/>
  <c r="BH24" i="17" s="1"/>
  <c r="BI24" i="17" s="1"/>
  <c r="AB24" i="18" s="1"/>
  <c r="BC111" i="13"/>
  <c r="BH6" i="4"/>
  <c r="BC43" i="17"/>
  <c r="Z13" i="18"/>
  <c r="BC13" i="17"/>
  <c r="Z23" i="18"/>
  <c r="Z22" i="18"/>
  <c r="Z35" i="18"/>
  <c r="BC35" i="17"/>
  <c r="Z57" i="18"/>
  <c r="BC57" i="17"/>
  <c r="BD57" i="17" s="1"/>
  <c r="Z43" i="18"/>
  <c r="Z6" i="7"/>
  <c r="Z6" i="11"/>
  <c r="Z111" i="15"/>
  <c r="Z6" i="10"/>
  <c r="Z110" i="15"/>
  <c r="Y52" i="18"/>
  <c r="Y40" i="18"/>
  <c r="Z7" i="7"/>
  <c r="Z7" i="10"/>
  <c r="Z8" i="11"/>
  <c r="Z7" i="11"/>
  <c r="Y37" i="16"/>
  <c r="Y109" i="15"/>
  <c r="Y115" i="15" s="1"/>
  <c r="X32" i="18"/>
  <c r="X34" i="18"/>
  <c r="X63" i="16"/>
  <c r="X6" i="18"/>
  <c r="X89" i="15"/>
  <c r="X15" i="15"/>
  <c r="X133" i="15"/>
  <c r="X134" i="15"/>
  <c r="X120" i="15"/>
  <c r="AH202" i="31"/>
  <c r="AH67" i="31"/>
  <c r="AH66" i="31"/>
  <c r="AH6" i="17"/>
  <c r="AH7" i="17" s="1"/>
  <c r="AH85" i="14"/>
  <c r="AH68" i="14"/>
  <c r="AH51" i="14"/>
  <c r="AH12" i="14"/>
  <c r="AI12" i="14" s="1"/>
  <c r="AH82" i="17"/>
  <c r="AH58" i="17"/>
  <c r="AH62" i="17" s="1"/>
  <c r="AH46" i="17"/>
  <c r="AH37" i="17"/>
  <c r="AH25" i="17"/>
  <c r="AH80" i="13"/>
  <c r="AH77" i="13"/>
  <c r="AH119" i="13"/>
  <c r="AH120" i="13"/>
  <c r="AH100" i="13"/>
  <c r="AH44" i="13"/>
  <c r="AH5" i="13"/>
  <c r="AH4" i="13"/>
  <c r="AH3" i="13"/>
  <c r="AH19" i="4"/>
  <c r="AM20" i="4" s="1"/>
  <c r="AH15" i="4"/>
  <c r="AH14" i="4"/>
  <c r="AH10" i="4"/>
  <c r="AM11" i="4" s="1"/>
  <c r="AH8" i="4"/>
  <c r="AH7" i="4"/>
  <c r="AH4" i="4"/>
  <c r="AH19" i="2"/>
  <c r="AH15" i="2"/>
  <c r="AH14" i="2"/>
  <c r="AH10" i="2"/>
  <c r="AM11" i="2" s="1"/>
  <c r="AH8" i="2"/>
  <c r="AH7" i="2"/>
  <c r="AH4" i="2"/>
  <c r="AH42" i="1"/>
  <c r="AH36" i="1"/>
  <c r="AH19" i="1"/>
  <c r="AH15" i="1"/>
  <c r="AH14" i="1"/>
  <c r="AH10" i="1"/>
  <c r="AM11" i="1" s="1"/>
  <c r="AH8" i="1"/>
  <c r="AH7" i="1"/>
  <c r="AH4" i="1"/>
  <c r="AA22" i="18" l="1"/>
  <c r="BE22" i="17"/>
  <c r="BF22" i="17" s="1"/>
  <c r="BG22" i="17" s="1"/>
  <c r="BH22" i="17" s="1"/>
  <c r="BI22" i="17" s="1"/>
  <c r="AB22" i="18" s="1"/>
  <c r="AA13" i="18"/>
  <c r="BE13" i="17"/>
  <c r="BF13" i="17" s="1"/>
  <c r="BG13" i="17" s="1"/>
  <c r="BH13" i="17" s="1"/>
  <c r="BI13" i="17" s="1"/>
  <c r="AB13" i="18" s="1"/>
  <c r="AA35" i="18"/>
  <c r="BE35" i="17"/>
  <c r="BF35" i="17" s="1"/>
  <c r="BG35" i="17" s="1"/>
  <c r="BH35" i="17" s="1"/>
  <c r="BI35" i="17" s="1"/>
  <c r="AB35" i="18" s="1"/>
  <c r="AA23" i="18"/>
  <c r="BE23" i="17"/>
  <c r="BF23" i="17" s="1"/>
  <c r="BG23" i="17" s="1"/>
  <c r="BH23" i="17" s="1"/>
  <c r="BI23" i="17" s="1"/>
  <c r="AB23" i="18" s="1"/>
  <c r="AA57" i="18"/>
  <c r="BE57" i="17"/>
  <c r="BF57" i="17" s="1"/>
  <c r="BG57" i="17" s="1"/>
  <c r="BH57" i="17" s="1"/>
  <c r="BI57" i="17" s="1"/>
  <c r="AB57" i="18" s="1"/>
  <c r="BH111" i="13"/>
  <c r="BH8" i="4"/>
  <c r="BD111" i="13"/>
  <c r="AA111" i="15" s="1"/>
  <c r="AA6" i="11"/>
  <c r="BD43" i="17"/>
  <c r="AA7" i="11"/>
  <c r="AA8" i="11"/>
  <c r="Z109" i="15"/>
  <c r="Z115" i="15" s="1"/>
  <c r="Y36" i="18"/>
  <c r="Y10" i="18"/>
  <c r="Y11" i="18"/>
  <c r="Y7" i="18"/>
  <c r="Y38" i="16"/>
  <c r="Y11" i="11"/>
  <c r="Y14" i="11"/>
  <c r="AH22" i="1"/>
  <c r="AM23" i="1" s="1"/>
  <c r="AM20" i="1"/>
  <c r="AI85" i="13"/>
  <c r="AN86" i="13" s="1"/>
  <c r="AM83" i="13"/>
  <c r="AH27" i="2"/>
  <c r="AM20" i="2"/>
  <c r="AH70" i="17"/>
  <c r="AI51" i="14"/>
  <c r="X135" i="15"/>
  <c r="X136" i="15" s="1"/>
  <c r="AH44" i="1"/>
  <c r="AH45" i="1" s="1"/>
  <c r="AH46" i="1" s="1"/>
  <c r="X21" i="16"/>
  <c r="AH22" i="4"/>
  <c r="AM23" i="4" s="1"/>
  <c r="AH71" i="17"/>
  <c r="X15" i="11"/>
  <c r="X14" i="11"/>
  <c r="X10" i="11"/>
  <c r="X128" i="15"/>
  <c r="X119" i="15"/>
  <c r="AH68" i="31"/>
  <c r="AH10" i="13"/>
  <c r="AH48" i="17"/>
  <c r="AH64" i="17" s="1"/>
  <c r="AH130" i="13"/>
  <c r="AH22" i="2"/>
  <c r="AM23" i="2" s="1"/>
  <c r="AC57" i="18" l="1"/>
  <c r="AD57" i="18" s="1"/>
  <c r="AE57" i="18" s="1"/>
  <c r="AF57" i="18" s="1"/>
  <c r="AA43" i="18"/>
  <c r="BE43" i="17"/>
  <c r="Z52" i="18"/>
  <c r="BC52" i="17"/>
  <c r="BD52" i="17" s="1"/>
  <c r="Y18" i="18"/>
  <c r="Y24" i="16"/>
  <c r="Y26" i="16"/>
  <c r="Y32" i="16"/>
  <c r="X130" i="15"/>
  <c r="X62" i="15"/>
  <c r="AH76" i="17"/>
  <c r="AH105" i="13"/>
  <c r="AH79" i="17"/>
  <c r="AH75" i="17"/>
  <c r="AH69" i="17"/>
  <c r="AH77" i="17"/>
  <c r="AH78" i="17"/>
  <c r="AH74" i="17"/>
  <c r="AH68" i="17"/>
  <c r="AA52" i="18" l="1"/>
  <c r="BE52" i="17"/>
  <c r="BF52" i="17" s="1"/>
  <c r="BG52" i="17" s="1"/>
  <c r="BH52" i="17" s="1"/>
  <c r="BI52" i="17" s="1"/>
  <c r="AB52" i="18" s="1"/>
  <c r="BF43" i="17"/>
  <c r="Y23" i="16"/>
  <c r="X82" i="15"/>
  <c r="AH106" i="13"/>
  <c r="X83" i="15"/>
  <c r="BG43" i="17" l="1"/>
  <c r="Z10" i="18"/>
  <c r="Z37" i="16"/>
  <c r="Y32" i="18"/>
  <c r="Y88" i="15"/>
  <c r="X77" i="15"/>
  <c r="X76" i="15"/>
  <c r="BH43" i="17" l="1"/>
  <c r="Z7" i="18"/>
  <c r="Z40" i="18"/>
  <c r="BD40" i="17"/>
  <c r="Z18" i="18"/>
  <c r="Z11" i="18"/>
  <c r="Z38" i="16"/>
  <c r="Z26" i="16"/>
  <c r="Z88" i="15"/>
  <c r="Y21" i="16"/>
  <c r="Y89" i="15"/>
  <c r="Y90" i="15" s="1"/>
  <c r="X80" i="15"/>
  <c r="X79" i="15"/>
  <c r="AA40" i="18" l="1"/>
  <c r="BE40" i="17"/>
  <c r="BF40" i="17" s="1"/>
  <c r="BG40" i="17" s="1"/>
  <c r="BH40" i="17" s="1"/>
  <c r="BI40" i="17" s="1"/>
  <c r="AB40" i="18" s="1"/>
  <c r="BI43" i="17"/>
  <c r="AB43" i="18" s="1"/>
  <c r="Z36" i="18"/>
  <c r="Z32" i="16"/>
  <c r="Y52" i="16"/>
  <c r="BC10" i="17" l="1"/>
  <c r="Z89" i="15"/>
  <c r="Z23" i="16"/>
  <c r="Z24" i="16"/>
  <c r="Y83" i="15"/>
  <c r="Y82" i="15"/>
  <c r="Y85" i="15" s="1"/>
  <c r="Y81" i="16"/>
  <c r="L18" i="52"/>
  <c r="BQ49" i="48"/>
  <c r="BQ124" i="48"/>
  <c r="AA10" i="18" l="1"/>
  <c r="BE10" i="17"/>
  <c r="BE26" i="14"/>
  <c r="Z90" i="15"/>
  <c r="Z32" i="18"/>
  <c r="BC11" i="17"/>
  <c r="Z21" i="16"/>
  <c r="Y77" i="15"/>
  <c r="Y76" i="15"/>
  <c r="V158" i="32"/>
  <c r="U158" i="32"/>
  <c r="T158" i="32"/>
  <c r="S158" i="32"/>
  <c r="V157" i="32"/>
  <c r="U157" i="32"/>
  <c r="T157" i="32"/>
  <c r="S157" i="32"/>
  <c r="V156" i="32"/>
  <c r="U156" i="32"/>
  <c r="T156" i="32"/>
  <c r="S156" i="32"/>
  <c r="A158" i="32"/>
  <c r="A157" i="32"/>
  <c r="A156" i="32"/>
  <c r="V93" i="32"/>
  <c r="U93" i="32"/>
  <c r="T93" i="32"/>
  <c r="S93" i="32"/>
  <c r="V92" i="32"/>
  <c r="U92" i="32"/>
  <c r="T92" i="32"/>
  <c r="S92" i="32"/>
  <c r="V91" i="32"/>
  <c r="U91" i="32"/>
  <c r="T91" i="32"/>
  <c r="S91" i="32"/>
  <c r="A93" i="32"/>
  <c r="A92" i="32"/>
  <c r="A91" i="32"/>
  <c r="V22" i="32"/>
  <c r="U22" i="32"/>
  <c r="T22" i="32"/>
  <c r="S22" i="32"/>
  <c r="V21" i="32"/>
  <c r="U21" i="32"/>
  <c r="T21" i="32"/>
  <c r="S21" i="32"/>
  <c r="V20" i="32"/>
  <c r="U20" i="32"/>
  <c r="T20" i="32"/>
  <c r="S20" i="32"/>
  <c r="A22" i="32"/>
  <c r="A21" i="32"/>
  <c r="A20" i="32"/>
  <c r="AF158" i="31"/>
  <c r="AF157" i="31"/>
  <c r="AF156" i="31"/>
  <c r="AG93" i="31"/>
  <c r="AH93" i="31" s="1"/>
  <c r="AI93" i="31" s="1"/>
  <c r="AJ93" i="31" s="1"/>
  <c r="AK93" i="31" s="1"/>
  <c r="AG92" i="31"/>
  <c r="AH92" i="31" s="1"/>
  <c r="AI92" i="31" s="1"/>
  <c r="AJ92" i="31" s="1"/>
  <c r="AK92" i="31" s="1"/>
  <c r="AG91" i="31"/>
  <c r="AH91" i="31" s="1"/>
  <c r="AI91" i="31" s="1"/>
  <c r="AJ91" i="31" s="1"/>
  <c r="AK91" i="31" s="1"/>
  <c r="AG22" i="31"/>
  <c r="AH22" i="31" s="1"/>
  <c r="AI22" i="31" s="1"/>
  <c r="AJ22" i="31" s="1"/>
  <c r="AK22" i="31" s="1"/>
  <c r="AL22" i="31" s="1"/>
  <c r="AM22" i="31" s="1"/>
  <c r="AN22" i="31" s="1"/>
  <c r="AO22" i="31" s="1"/>
  <c r="AG21" i="31"/>
  <c r="AH21" i="31" s="1"/>
  <c r="AI21" i="31" s="1"/>
  <c r="AJ21" i="31" s="1"/>
  <c r="AK21" i="31" s="1"/>
  <c r="AL21" i="31" s="1"/>
  <c r="AM21" i="31" s="1"/>
  <c r="AN21" i="31" s="1"/>
  <c r="AO21" i="31" s="1"/>
  <c r="AG20" i="31"/>
  <c r="AH20" i="31" s="1"/>
  <c r="AI20" i="31" s="1"/>
  <c r="AJ20" i="31" s="1"/>
  <c r="AK20" i="31" s="1"/>
  <c r="AL20" i="31" s="1"/>
  <c r="AM20" i="31" s="1"/>
  <c r="AN20" i="31" s="1"/>
  <c r="AO20" i="31" s="1"/>
  <c r="AG36" i="2"/>
  <c r="AA11" i="18" l="1"/>
  <c r="BE11" i="17"/>
  <c r="BE23" i="14"/>
  <c r="AA18" i="18"/>
  <c r="BE18" i="17"/>
  <c r="BE32" i="14"/>
  <c r="AA7" i="18"/>
  <c r="BE7" i="17"/>
  <c r="BE37" i="14" s="1"/>
  <c r="BF10" i="17"/>
  <c r="BF26" i="14" s="1"/>
  <c r="AA37" i="16"/>
  <c r="AA32" i="16"/>
  <c r="AA38" i="16"/>
  <c r="Y80" i="15"/>
  <c r="Y79" i="15"/>
  <c r="X20" i="32"/>
  <c r="AT20" i="31"/>
  <c r="AU20" i="31" s="1"/>
  <c r="AV20" i="31" s="1"/>
  <c r="AW20" i="31" s="1"/>
  <c r="AX20" i="31" s="1"/>
  <c r="X21" i="32"/>
  <c r="AP21" i="31"/>
  <c r="AQ21" i="31" s="1"/>
  <c r="AR21" i="31" s="1"/>
  <c r="AS21" i="31" s="1"/>
  <c r="AT21" i="31" s="1"/>
  <c r="AW21" i="31" s="1"/>
  <c r="AX21" i="31" s="1"/>
  <c r="X22" i="32"/>
  <c r="AP22" i="31"/>
  <c r="AQ22" i="31" s="1"/>
  <c r="AR22" i="31" s="1"/>
  <c r="AS22" i="31" s="1"/>
  <c r="AT22" i="31" s="1"/>
  <c r="AU22" i="31" s="1"/>
  <c r="AV22" i="31" s="1"/>
  <c r="AW22" i="31" s="1"/>
  <c r="AX22" i="31" s="1"/>
  <c r="AI156" i="31"/>
  <c r="W20" i="32"/>
  <c r="AK158" i="31"/>
  <c r="AL93" i="31"/>
  <c r="AI158" i="31"/>
  <c r="W93" i="32"/>
  <c r="W21" i="32"/>
  <c r="AI157" i="31"/>
  <c r="AL91" i="31"/>
  <c r="AK156" i="31"/>
  <c r="AG156" i="31"/>
  <c r="AG157" i="31"/>
  <c r="AG158" i="31"/>
  <c r="W22" i="32"/>
  <c r="W91" i="32"/>
  <c r="AL92" i="31"/>
  <c r="AK157" i="31"/>
  <c r="AH156" i="31"/>
  <c r="AH157" i="31"/>
  <c r="AH158" i="31"/>
  <c r="W92" i="32"/>
  <c r="AG27" i="41"/>
  <c r="BG10" i="17" l="1"/>
  <c r="BG26" i="14" s="1"/>
  <c r="BF7" i="17"/>
  <c r="BF38" i="14" s="1"/>
  <c r="BF37" i="14"/>
  <c r="BF11" i="17"/>
  <c r="BF23" i="14" s="1"/>
  <c r="BE38" i="14"/>
  <c r="BF18" i="17"/>
  <c r="BF32" i="14" s="1"/>
  <c r="Y22" i="32"/>
  <c r="Y20" i="32"/>
  <c r="Y21" i="32"/>
  <c r="AJ156" i="31"/>
  <c r="W156" i="32" s="1"/>
  <c r="AJ157" i="31"/>
  <c r="W157" i="32" s="1"/>
  <c r="AJ158" i="31"/>
  <c r="W158" i="32" s="1"/>
  <c r="AM91" i="31"/>
  <c r="AL156" i="31"/>
  <c r="AL158" i="31"/>
  <c r="AM93" i="31"/>
  <c r="AL157" i="31"/>
  <c r="AM92" i="31"/>
  <c r="AG68" i="14"/>
  <c r="AG202" i="31"/>
  <c r="AG67" i="31"/>
  <c r="AG66" i="31"/>
  <c r="AG6" i="17"/>
  <c r="AG7" i="17" s="1"/>
  <c r="AG57" i="14"/>
  <c r="AG52" i="14"/>
  <c r="AG50" i="14"/>
  <c r="AG48" i="14"/>
  <c r="AG45" i="14"/>
  <c r="AG44" i="14"/>
  <c r="AG40" i="14"/>
  <c r="AG38" i="14"/>
  <c r="AG37" i="14"/>
  <c r="AG34" i="14"/>
  <c r="AG33" i="14"/>
  <c r="AG27" i="14"/>
  <c r="AG26" i="14"/>
  <c r="AG25" i="14"/>
  <c r="AG24" i="14"/>
  <c r="AG23" i="14"/>
  <c r="AG21" i="14"/>
  <c r="AG20" i="14"/>
  <c r="AG19" i="14"/>
  <c r="AG18" i="14"/>
  <c r="AG17" i="14"/>
  <c r="AG16" i="14"/>
  <c r="AG15" i="14"/>
  <c r="AG11" i="14"/>
  <c r="AG9" i="14"/>
  <c r="AG8" i="14"/>
  <c r="AG6" i="14"/>
  <c r="AG5" i="14"/>
  <c r="AG54" i="14"/>
  <c r="AG49" i="14"/>
  <c r="AG47" i="14"/>
  <c r="AG46" i="14"/>
  <c r="AG39" i="14"/>
  <c r="AG36" i="14"/>
  <c r="AG35" i="14"/>
  <c r="AG22" i="14"/>
  <c r="AG82" i="17"/>
  <c r="AG58" i="17"/>
  <c r="AG62" i="17" s="1"/>
  <c r="AG46" i="17"/>
  <c r="AG37" i="17"/>
  <c r="AG25" i="17"/>
  <c r="AG100" i="13"/>
  <c r="AG102" i="13" s="1"/>
  <c r="AL103" i="13" s="1"/>
  <c r="AG92" i="13"/>
  <c r="AL83" i="13"/>
  <c r="AG80" i="13"/>
  <c r="AG77" i="13"/>
  <c r="AG44" i="13"/>
  <c r="AG19" i="4"/>
  <c r="AL20" i="4" s="1"/>
  <c r="AG15" i="4"/>
  <c r="AG14" i="4"/>
  <c r="AG10" i="4"/>
  <c r="AL11" i="4" s="1"/>
  <c r="AG8" i="4"/>
  <c r="AG7" i="4"/>
  <c r="AG4" i="4"/>
  <c r="AG19" i="2"/>
  <c r="AG15" i="2"/>
  <c r="AG14" i="2"/>
  <c r="AG10" i="2"/>
  <c r="AL11" i="2" s="1"/>
  <c r="AG8" i="2"/>
  <c r="AG7" i="2"/>
  <c r="AG4" i="2"/>
  <c r="AG42" i="1"/>
  <c r="AG36" i="1"/>
  <c r="AG19" i="1"/>
  <c r="AG15" i="1"/>
  <c r="AG14" i="1"/>
  <c r="AG10" i="1"/>
  <c r="AL11" i="1" s="1"/>
  <c r="AG8" i="1"/>
  <c r="AG7" i="1"/>
  <c r="AG4" i="1"/>
  <c r="AA36" i="18" l="1"/>
  <c r="BE36" i="17"/>
  <c r="BG7" i="17"/>
  <c r="BG38" i="14" s="1"/>
  <c r="BG11" i="17"/>
  <c r="BG23" i="14" s="1"/>
  <c r="BG18" i="17"/>
  <c r="BG32" i="14" s="1"/>
  <c r="BH10" i="17"/>
  <c r="BI10" i="17" s="1"/>
  <c r="AB10" i="18" s="1"/>
  <c r="BC88" i="13"/>
  <c r="BD89" i="13"/>
  <c r="BE89" i="13" s="1"/>
  <c r="AG22" i="2"/>
  <c r="AL23" i="2" s="1"/>
  <c r="AL20" i="2"/>
  <c r="AG71" i="17"/>
  <c r="AG22" i="1"/>
  <c r="AL23" i="1" s="1"/>
  <c r="AL20" i="1"/>
  <c r="AG70" i="17"/>
  <c r="AG96" i="13"/>
  <c r="AM156" i="31"/>
  <c r="AN91" i="31"/>
  <c r="AM157" i="31"/>
  <c r="AN92" i="31"/>
  <c r="AM158" i="31"/>
  <c r="AN93" i="31"/>
  <c r="AG28" i="14"/>
  <c r="AG44" i="1"/>
  <c r="AG45" i="1" s="1"/>
  <c r="AG46" i="1" s="1"/>
  <c r="AH49" i="14"/>
  <c r="AI49" i="14" s="1"/>
  <c r="AH33" i="14"/>
  <c r="AH36" i="14"/>
  <c r="AI36" i="14" s="1"/>
  <c r="AH47" i="14"/>
  <c r="AI47" i="14" s="1"/>
  <c r="AH6" i="14"/>
  <c r="AI6" i="14" s="1"/>
  <c r="AH15" i="14"/>
  <c r="AI15" i="14" s="1"/>
  <c r="AH19" i="14"/>
  <c r="AI19" i="14" s="1"/>
  <c r="AH24" i="14"/>
  <c r="AI24" i="14" s="1"/>
  <c r="AH38" i="14"/>
  <c r="AI38" i="14" s="1"/>
  <c r="AH48" i="14"/>
  <c r="AH175" i="13" s="1"/>
  <c r="AH39" i="14"/>
  <c r="AI39" i="14" s="1"/>
  <c r="AH16" i="14"/>
  <c r="AI16" i="14" s="1"/>
  <c r="AH40" i="14"/>
  <c r="AI40" i="14" s="1"/>
  <c r="AG41" i="14"/>
  <c r="AG55" i="14"/>
  <c r="AH54" i="14"/>
  <c r="AI54" i="14" s="1"/>
  <c r="AH9" i="14"/>
  <c r="AI9" i="14" s="1"/>
  <c r="AH17" i="14"/>
  <c r="AI17" i="14" s="1"/>
  <c r="AH21" i="14"/>
  <c r="AI21" i="14" s="1"/>
  <c r="AH26" i="14"/>
  <c r="AH34" i="14"/>
  <c r="AI34" i="14" s="1"/>
  <c r="AH44" i="14"/>
  <c r="AI44" i="14" s="1"/>
  <c r="AH52" i="14"/>
  <c r="AH22" i="14"/>
  <c r="AI22" i="14" s="1"/>
  <c r="AH8" i="14"/>
  <c r="AI8" i="14" s="1"/>
  <c r="AH20" i="14"/>
  <c r="AI20" i="14" s="1"/>
  <c r="AH25" i="14"/>
  <c r="AI25" i="14" s="1"/>
  <c r="AH50" i="14"/>
  <c r="AI50" i="14" s="1"/>
  <c r="AG75" i="14"/>
  <c r="AH35" i="14"/>
  <c r="AI35" i="14" s="1"/>
  <c r="AH46" i="14"/>
  <c r="AI46" i="14" s="1"/>
  <c r="AH5" i="14"/>
  <c r="AH11" i="14"/>
  <c r="AI11" i="14" s="1"/>
  <c r="AH18" i="14"/>
  <c r="AI18" i="14" s="1"/>
  <c r="AH23" i="14"/>
  <c r="AI23" i="14" s="1"/>
  <c r="AH27" i="14"/>
  <c r="AI27" i="14" s="1"/>
  <c r="AH37" i="14"/>
  <c r="AI37" i="14" s="1"/>
  <c r="AH45" i="14"/>
  <c r="AI45" i="14" s="1"/>
  <c r="AH57" i="14"/>
  <c r="AI57" i="14" s="1"/>
  <c r="AG68" i="31"/>
  <c r="AG48" i="17"/>
  <c r="AG64" i="17" s="1"/>
  <c r="AG22" i="4"/>
  <c r="AL23" i="4" s="1"/>
  <c r="BD88" i="13" l="1"/>
  <c r="AA88" i="15" s="1"/>
  <c r="BG37" i="14"/>
  <c r="BF89" i="13"/>
  <c r="BE88" i="13"/>
  <c r="BH26" i="14"/>
  <c r="BI26" i="14" s="1"/>
  <c r="AB26" i="16" s="1"/>
  <c r="BH11" i="17"/>
  <c r="BI11" i="17" s="1"/>
  <c r="AB11" i="18" s="1"/>
  <c r="BH18" i="17"/>
  <c r="BI18" i="17" s="1"/>
  <c r="AB18" i="18" s="1"/>
  <c r="BH7" i="17"/>
  <c r="BI7" i="17" s="1"/>
  <c r="AB7" i="18" s="1"/>
  <c r="BF36" i="17"/>
  <c r="BE24" i="14"/>
  <c r="BD90" i="13"/>
  <c r="AA89" i="15"/>
  <c r="AH81" i="14"/>
  <c r="AN157" i="31"/>
  <c r="AO157" i="31" s="1"/>
  <c r="X157" i="32" s="1"/>
  <c r="AO92" i="31"/>
  <c r="AO93" i="31"/>
  <c r="AN158" i="31"/>
  <c r="AO158" i="31" s="1"/>
  <c r="X158" i="32" s="1"/>
  <c r="AN156" i="31"/>
  <c r="AO156" i="31" s="1"/>
  <c r="X156" i="32" s="1"/>
  <c r="AO91" i="31"/>
  <c r="AH28" i="14"/>
  <c r="AI5" i="14"/>
  <c r="AH75" i="14"/>
  <c r="AH41" i="14"/>
  <c r="AH74" i="14"/>
  <c r="AI26" i="14"/>
  <c r="AI28" i="14" s="1"/>
  <c r="AI33" i="14"/>
  <c r="AH55" i="14"/>
  <c r="AI52" i="14"/>
  <c r="AI48" i="14"/>
  <c r="AA90" i="15" l="1"/>
  <c r="BH23" i="14"/>
  <c r="BI23" i="14" s="1"/>
  <c r="AB23" i="16" s="1"/>
  <c r="BG89" i="13"/>
  <c r="BF88" i="13"/>
  <c r="BH37" i="14"/>
  <c r="BI37" i="14" s="1"/>
  <c r="AB37" i="16" s="1"/>
  <c r="BH38" i="14"/>
  <c r="BI38" i="14" s="1"/>
  <c r="AB38" i="16" s="1"/>
  <c r="AA32" i="18"/>
  <c r="AC32" i="18" s="1"/>
  <c r="AD32" i="18" s="1"/>
  <c r="AE32" i="18" s="1"/>
  <c r="AF32" i="18" s="1"/>
  <c r="BG36" i="17"/>
  <c r="BF24" i="14"/>
  <c r="BH32" i="14"/>
  <c r="BI32" i="14" s="1"/>
  <c r="AB32" i="16" s="1"/>
  <c r="AI81" i="14"/>
  <c r="X93" i="32"/>
  <c r="AP93" i="31"/>
  <c r="X91" i="32"/>
  <c r="AP91" i="31"/>
  <c r="X92" i="32"/>
  <c r="AP92" i="31"/>
  <c r="AI55" i="14"/>
  <c r="AI96" i="13"/>
  <c r="AI75" i="14"/>
  <c r="AI41" i="14"/>
  <c r="AF21" i="16" l="1"/>
  <c r="BG88" i="13"/>
  <c r="BH89" i="13"/>
  <c r="BE21" i="14"/>
  <c r="BL74" i="17" s="1"/>
  <c r="AC21" i="16"/>
  <c r="AK74" i="18" s="1"/>
  <c r="BG24" i="14"/>
  <c r="BH36" i="17"/>
  <c r="AD21" i="16"/>
  <c r="AL74" i="18" s="1"/>
  <c r="AY20" i="31"/>
  <c r="AY21" i="31"/>
  <c r="AY22" i="31"/>
  <c r="AP156" i="31"/>
  <c r="AQ91" i="31"/>
  <c r="AP157" i="31"/>
  <c r="AQ92" i="31"/>
  <c r="AQ93" i="31"/>
  <c r="AP158" i="31"/>
  <c r="BI89" i="13" l="1"/>
  <c r="BH88" i="13"/>
  <c r="BI88" i="13" s="1"/>
  <c r="AB88" i="15" s="1"/>
  <c r="BF21" i="14"/>
  <c r="BM74" i="17" s="1"/>
  <c r="BI36" i="17"/>
  <c r="AB36" i="18" s="1"/>
  <c r="BH24" i="14"/>
  <c r="BI24" i="14" s="1"/>
  <c r="AB24" i="16" s="1"/>
  <c r="AE21" i="16"/>
  <c r="AM74" i="18" s="1"/>
  <c r="Z22" i="32"/>
  <c r="AZ22" i="31"/>
  <c r="Z21" i="32"/>
  <c r="AZ21" i="31"/>
  <c r="BA21" i="31" s="1"/>
  <c r="BB21" i="31" s="1"/>
  <c r="BC21" i="31" s="1"/>
  <c r="BD21" i="31" s="1"/>
  <c r="Z20" i="32"/>
  <c r="AZ20" i="31"/>
  <c r="BA20" i="31" s="1"/>
  <c r="BB20" i="31" s="1"/>
  <c r="BC20" i="31" s="1"/>
  <c r="BD20" i="31" s="1"/>
  <c r="AQ157" i="31"/>
  <c r="AR92" i="31"/>
  <c r="AQ156" i="31"/>
  <c r="AR91" i="31"/>
  <c r="AQ158" i="31"/>
  <c r="AR93" i="31"/>
  <c r="BI90" i="13" l="1"/>
  <c r="AB89" i="15"/>
  <c r="AB90" i="15" s="1"/>
  <c r="BG21" i="14"/>
  <c r="BN74" i="17" s="1"/>
  <c r="BH21" i="14"/>
  <c r="BO74" i="17" s="1"/>
  <c r="AA20" i="32"/>
  <c r="BE20" i="31"/>
  <c r="BF20" i="31" s="1"/>
  <c r="BG20" i="31" s="1"/>
  <c r="BH20" i="31" s="1"/>
  <c r="BI20" i="31" s="1"/>
  <c r="AB20" i="32" s="1"/>
  <c r="AA21" i="32"/>
  <c r="BE21" i="31"/>
  <c r="AC20" i="32"/>
  <c r="AD20" i="32" s="1"/>
  <c r="AE20" i="32" s="1"/>
  <c r="AF20" i="32" s="1"/>
  <c r="BA22" i="31"/>
  <c r="BB22" i="31" s="1"/>
  <c r="BC22" i="31" s="1"/>
  <c r="BD22" i="31" s="1"/>
  <c r="AR158" i="31"/>
  <c r="AS93" i="31"/>
  <c r="AR156" i="31"/>
  <c r="AS91" i="31"/>
  <c r="AR157" i="31"/>
  <c r="AS92" i="31"/>
  <c r="AJ24" i="5"/>
  <c r="AI24" i="5" s="1"/>
  <c r="BI21" i="14" l="1"/>
  <c r="BF21" i="31"/>
  <c r="BG21" i="31" s="1"/>
  <c r="BH21" i="31" s="1"/>
  <c r="BI21" i="31" s="1"/>
  <c r="AB21" i="32" s="1"/>
  <c r="AC21" i="32" s="1"/>
  <c r="AD21" i="32" s="1"/>
  <c r="AE21" i="32" s="1"/>
  <c r="AF21" i="32" s="1"/>
  <c r="AA22" i="32"/>
  <c r="BE22" i="31"/>
  <c r="AS156" i="31"/>
  <c r="AT156" i="31" s="1"/>
  <c r="AT91" i="31"/>
  <c r="AS157" i="31"/>
  <c r="AT157" i="31" s="1"/>
  <c r="AT92" i="31"/>
  <c r="AS158" i="31"/>
  <c r="AT158" i="31" s="1"/>
  <c r="AT93" i="31"/>
  <c r="AG24" i="5"/>
  <c r="AH24" i="5"/>
  <c r="AF24" i="5"/>
  <c r="AJ17" i="5"/>
  <c r="AJ18" i="5"/>
  <c r="AJ19" i="5"/>
  <c r="AJ20" i="5"/>
  <c r="AJ21" i="5"/>
  <c r="AJ22" i="5"/>
  <c r="AJ23" i="5"/>
  <c r="AJ16" i="5"/>
  <c r="AG16" i="5" s="1"/>
  <c r="AB21" i="16" l="1"/>
  <c r="BP74" i="17"/>
  <c r="BG22" i="31"/>
  <c r="BH22" i="31" s="1"/>
  <c r="BI22" i="31" s="1"/>
  <c r="AB22" i="32" s="1"/>
  <c r="Y92" i="32"/>
  <c r="AU92" i="31"/>
  <c r="Y93" i="32"/>
  <c r="AU93" i="31"/>
  <c r="Y91" i="32"/>
  <c r="AU91" i="31"/>
  <c r="Y157" i="32"/>
  <c r="Y156" i="32"/>
  <c r="Y158" i="32"/>
  <c r="AH16" i="5"/>
  <c r="AF16" i="5"/>
  <c r="AI16" i="5"/>
  <c r="AH18" i="5"/>
  <c r="AG18" i="5"/>
  <c r="AI18" i="5"/>
  <c r="AF18" i="5"/>
  <c r="AI22" i="5"/>
  <c r="AH22" i="5"/>
  <c r="AG22" i="5"/>
  <c r="AF22" i="5"/>
  <c r="AI21" i="5"/>
  <c r="AG21" i="5"/>
  <c r="AF21" i="5"/>
  <c r="AH21" i="5"/>
  <c r="AG20" i="5"/>
  <c r="AH20" i="5"/>
  <c r="AF20" i="5"/>
  <c r="AI20" i="5"/>
  <c r="AG19" i="5"/>
  <c r="AF19" i="5"/>
  <c r="AI19" i="5"/>
  <c r="AH19" i="5"/>
  <c r="AI17" i="5"/>
  <c r="AH17" i="5"/>
  <c r="AG17" i="5"/>
  <c r="AF17" i="5"/>
  <c r="AG23" i="5"/>
  <c r="AF23" i="5"/>
  <c r="AH23" i="5"/>
  <c r="AI23" i="5"/>
  <c r="AV93" i="31" l="1"/>
  <c r="AU158" i="31"/>
  <c r="AV91" i="31"/>
  <c r="AU156" i="31"/>
  <c r="AV92" i="31"/>
  <c r="AU157" i="31"/>
  <c r="AG30" i="5"/>
  <c r="AF30" i="5"/>
  <c r="AF31" i="5" s="1"/>
  <c r="AW91" i="31" l="1"/>
  <c r="AV156" i="31"/>
  <c r="AW92" i="31"/>
  <c r="AV157" i="31"/>
  <c r="AW93" i="31"/>
  <c r="AV158" i="31"/>
  <c r="AG31" i="5"/>
  <c r="AG32" i="5" s="1"/>
  <c r="AF32" i="5"/>
  <c r="AX92" i="31" l="1"/>
  <c r="AW157" i="31"/>
  <c r="AX93" i="31"/>
  <c r="AW158" i="31"/>
  <c r="AX91" i="31"/>
  <c r="AW156" i="31"/>
  <c r="AY93" i="31" l="1"/>
  <c r="AX158" i="31"/>
  <c r="AY158" i="31" s="1"/>
  <c r="Z158" i="32" s="1"/>
  <c r="AY91" i="31"/>
  <c r="AX156" i="31"/>
  <c r="AY156" i="31" s="1"/>
  <c r="Z156" i="32" s="1"/>
  <c r="AY92" i="31"/>
  <c r="AX157" i="31"/>
  <c r="AY157" i="31" s="1"/>
  <c r="Z157" i="32" s="1"/>
  <c r="Z91" i="32" l="1"/>
  <c r="AZ91" i="31"/>
  <c r="Z92" i="32"/>
  <c r="AZ92" i="31"/>
  <c r="Z93" i="32"/>
  <c r="AZ93" i="31"/>
  <c r="AZ157" i="31" l="1"/>
  <c r="BA92" i="31"/>
  <c r="BA93" i="31"/>
  <c r="AZ158" i="31"/>
  <c r="AZ156" i="31"/>
  <c r="BA91" i="31"/>
  <c r="BB91" i="31" l="1"/>
  <c r="BA156" i="31"/>
  <c r="BB93" i="31"/>
  <c r="BA158" i="31"/>
  <c r="BB92" i="31"/>
  <c r="BA157" i="31"/>
  <c r="BC93" i="31" l="1"/>
  <c r="BB158" i="31"/>
  <c r="BC92" i="31"/>
  <c r="BB157" i="31"/>
  <c r="BB156" i="31"/>
  <c r="BC91" i="31"/>
  <c r="BP124" i="48"/>
  <c r="AF146" i="31"/>
  <c r="Y146" i="31"/>
  <c r="X146" i="31"/>
  <c r="W146" i="31"/>
  <c r="V146" i="31"/>
  <c r="T146" i="31"/>
  <c r="S146" i="31"/>
  <c r="R146" i="31"/>
  <c r="Q146" i="31"/>
  <c r="P146" i="31"/>
  <c r="AF143" i="31"/>
  <c r="Y143" i="31"/>
  <c r="X143" i="31"/>
  <c r="W143" i="31"/>
  <c r="V143" i="31"/>
  <c r="T143" i="31"/>
  <c r="S143" i="31"/>
  <c r="R143" i="31"/>
  <c r="Q143" i="31"/>
  <c r="P143" i="31"/>
  <c r="AF141" i="31"/>
  <c r="Y141" i="31"/>
  <c r="X141" i="31"/>
  <c r="W141" i="31"/>
  <c r="V141" i="31"/>
  <c r="T141" i="31"/>
  <c r="S141" i="31"/>
  <c r="R141" i="31"/>
  <c r="Q141" i="31"/>
  <c r="P141" i="31"/>
  <c r="AG81" i="31"/>
  <c r="AH81" i="31" s="1"/>
  <c r="AI81" i="31" s="1"/>
  <c r="AJ81" i="31" s="1"/>
  <c r="AK81" i="31" s="1"/>
  <c r="AL81" i="31" s="1"/>
  <c r="AG78" i="31"/>
  <c r="AH78" i="31" s="1"/>
  <c r="AI78" i="31" s="1"/>
  <c r="AJ78" i="31" s="1"/>
  <c r="AK78" i="31" s="1"/>
  <c r="AG76" i="31"/>
  <c r="AH76" i="31" s="1"/>
  <c r="AI76" i="31" s="1"/>
  <c r="AJ76" i="31" s="1"/>
  <c r="AK76" i="31" s="1"/>
  <c r="AG10" i="31"/>
  <c r="AH10" i="31" s="1"/>
  <c r="AI10" i="31" s="1"/>
  <c r="AJ10" i="31" s="1"/>
  <c r="AK10" i="31" s="1"/>
  <c r="AG7" i="31"/>
  <c r="AH7" i="31" s="1"/>
  <c r="AI7" i="31" s="1"/>
  <c r="AJ7" i="31" s="1"/>
  <c r="AK7" i="31" s="1"/>
  <c r="AL7" i="31" s="1"/>
  <c r="AM7" i="31" s="1"/>
  <c r="AN7" i="31" s="1"/>
  <c r="AO7" i="31" s="1"/>
  <c r="AG5" i="31"/>
  <c r="AH5" i="31" s="1"/>
  <c r="AI5" i="31" s="1"/>
  <c r="AJ5" i="31" s="1"/>
  <c r="AK5" i="31" s="1"/>
  <c r="AL5" i="31" s="1"/>
  <c r="AM5" i="31" s="1"/>
  <c r="AN5" i="31" s="1"/>
  <c r="AO5" i="31" s="1"/>
  <c r="BD92" i="31" l="1"/>
  <c r="BC157" i="31"/>
  <c r="BD157" i="31" s="1"/>
  <c r="AA157" i="32" s="1"/>
  <c r="BD91" i="31"/>
  <c r="BC156" i="31"/>
  <c r="BD156" i="31" s="1"/>
  <c r="AA156" i="32" s="1"/>
  <c r="BD93" i="31"/>
  <c r="BC158" i="31"/>
  <c r="BD158" i="31" s="1"/>
  <c r="AA158" i="32" s="1"/>
  <c r="X5" i="32"/>
  <c r="AP5" i="31"/>
  <c r="AQ5" i="31" s="1"/>
  <c r="AR5" i="31" s="1"/>
  <c r="AT5" i="31" s="1"/>
  <c r="X7" i="32"/>
  <c r="AL78" i="31"/>
  <c r="AK143" i="31"/>
  <c r="AM81" i="31"/>
  <c r="AL76" i="31"/>
  <c r="AK141" i="31"/>
  <c r="AK146" i="31"/>
  <c r="AL10" i="31"/>
  <c r="AM10" i="31" s="1"/>
  <c r="AN10" i="31" s="1"/>
  <c r="AO10" i="31" s="1"/>
  <c r="AI143" i="31"/>
  <c r="AG141" i="31"/>
  <c r="AH141" i="31"/>
  <c r="AG143" i="31"/>
  <c r="AI141" i="31"/>
  <c r="AH143" i="31"/>
  <c r="AG146" i="31"/>
  <c r="AH146" i="31"/>
  <c r="AI146" i="31"/>
  <c r="AA91" i="32" l="1"/>
  <c r="BE91" i="31"/>
  <c r="AA93" i="32"/>
  <c r="BE93" i="31"/>
  <c r="AA92" i="32"/>
  <c r="BE92" i="31"/>
  <c r="AU5" i="31"/>
  <c r="Y5" i="32"/>
  <c r="X10" i="32"/>
  <c r="AP10" i="31"/>
  <c r="AQ10" i="31" s="1"/>
  <c r="AR10" i="31" s="1"/>
  <c r="AS10" i="31" s="1"/>
  <c r="AT10" i="31" s="1"/>
  <c r="AU10" i="31" s="1"/>
  <c r="AV10" i="31" s="1"/>
  <c r="AW10" i="31" s="1"/>
  <c r="AX10" i="31" s="1"/>
  <c r="AJ141" i="31"/>
  <c r="AM146" i="31"/>
  <c r="AN81" i="31"/>
  <c r="AL143" i="31"/>
  <c r="AM78" i="31"/>
  <c r="AL146" i="31"/>
  <c r="AM76" i="31"/>
  <c r="AL141" i="31"/>
  <c r="AJ143" i="31"/>
  <c r="AJ146" i="31"/>
  <c r="BF93" i="31" l="1"/>
  <c r="BE158" i="31"/>
  <c r="BE156" i="31"/>
  <c r="BF91" i="31"/>
  <c r="BF92" i="31"/>
  <c r="BE157" i="31"/>
  <c r="AV5" i="31"/>
  <c r="AW5" i="31" s="1"/>
  <c r="AX5" i="31" s="1"/>
  <c r="Y10" i="32"/>
  <c r="AT7" i="31"/>
  <c r="AU7" i="31" s="1"/>
  <c r="AV7" i="31" s="1"/>
  <c r="AW7" i="31" s="1"/>
  <c r="AX7" i="31" s="1"/>
  <c r="AM141" i="31"/>
  <c r="AN76" i="31"/>
  <c r="AN146" i="31"/>
  <c r="AO146" i="31" s="1"/>
  <c r="X146" i="32" s="1"/>
  <c r="AO81" i="31"/>
  <c r="AM143" i="31"/>
  <c r="AN78" i="31"/>
  <c r="BG91" i="31" l="1"/>
  <c r="BF156" i="31"/>
  <c r="BG92" i="31"/>
  <c r="BF157" i="31"/>
  <c r="BG93" i="31"/>
  <c r="BF158" i="31"/>
  <c r="Y7" i="32"/>
  <c r="X81" i="32"/>
  <c r="AP81" i="31"/>
  <c r="AN143" i="31"/>
  <c r="AO143" i="31" s="1"/>
  <c r="X143" i="32" s="1"/>
  <c r="AO78" i="31"/>
  <c r="AO76" i="31"/>
  <c r="AN141" i="31"/>
  <c r="AO141" i="31" s="1"/>
  <c r="X141" i="32" s="1"/>
  <c r="AF202" i="31"/>
  <c r="AF67" i="31"/>
  <c r="AF66" i="31"/>
  <c r="AF175" i="13"/>
  <c r="AF100" i="13"/>
  <c r="AF92" i="13"/>
  <c r="AK83" i="13"/>
  <c r="AF80" i="13"/>
  <c r="AF77" i="13"/>
  <c r="AF44" i="13"/>
  <c r="AF6" i="17"/>
  <c r="AF7" i="17" s="1"/>
  <c r="AF82" i="17"/>
  <c r="AF58" i="17"/>
  <c r="AF62" i="17" s="1"/>
  <c r="AF46" i="17"/>
  <c r="AF37" i="17"/>
  <c r="AF25" i="17"/>
  <c r="AF85" i="14"/>
  <c r="AF93" i="13" s="1"/>
  <c r="AF89" i="14"/>
  <c r="AF88" i="14"/>
  <c r="AF81" i="14"/>
  <c r="AF70" i="14"/>
  <c r="AF55" i="14"/>
  <c r="AF41" i="14"/>
  <c r="AF28" i="14"/>
  <c r="AF13" i="14"/>
  <c r="AG13" i="14" s="1"/>
  <c r="AH13" i="14" s="1"/>
  <c r="AI13" i="14" s="1"/>
  <c r="AF19" i="4"/>
  <c r="AF22" i="4" s="1"/>
  <c r="AF15" i="4"/>
  <c r="AF14" i="4"/>
  <c r="AF10" i="4"/>
  <c r="AK11" i="4" s="1"/>
  <c r="AF8" i="4"/>
  <c r="AF7" i="4"/>
  <c r="AF4" i="4"/>
  <c r="AF27" i="41"/>
  <c r="AF36" i="2"/>
  <c r="AJ36" i="2" s="1"/>
  <c r="W32" i="10" s="1"/>
  <c r="W36" i="10" s="1"/>
  <c r="AF19" i="2"/>
  <c r="AF15" i="2"/>
  <c r="AF14" i="2"/>
  <c r="AF10" i="2"/>
  <c r="AF8" i="2"/>
  <c r="AF7" i="2"/>
  <c r="AF4" i="2"/>
  <c r="AF42" i="1"/>
  <c r="AF36" i="1"/>
  <c r="AF19" i="1"/>
  <c r="AF15" i="1"/>
  <c r="AF14" i="1"/>
  <c r="AF10" i="1"/>
  <c r="AF8" i="1"/>
  <c r="AF7" i="1"/>
  <c r="AF4" i="1"/>
  <c r="BH92" i="31" l="1"/>
  <c r="BG157" i="31"/>
  <c r="BH93" i="31"/>
  <c r="BG158" i="31"/>
  <c r="BH91" i="31"/>
  <c r="BG156" i="31"/>
  <c r="X78" i="32"/>
  <c r="AP78" i="31"/>
  <c r="X76" i="32"/>
  <c r="AP76" i="31"/>
  <c r="AP146" i="31"/>
  <c r="AQ81" i="31"/>
  <c r="AF44" i="1"/>
  <c r="AF45" i="1" s="1"/>
  <c r="AF46" i="1" s="1"/>
  <c r="AF48" i="17"/>
  <c r="AF64" i="17" s="1"/>
  <c r="AK11" i="1"/>
  <c r="AF22" i="2"/>
  <c r="AK20" i="2"/>
  <c r="AI19" i="2"/>
  <c r="AN20" i="2" s="1"/>
  <c r="AK23" i="4"/>
  <c r="AF71" i="17"/>
  <c r="AF70" i="17"/>
  <c r="AJ100" i="13"/>
  <c r="AK11" i="2"/>
  <c r="AK20" i="4"/>
  <c r="AI19" i="4"/>
  <c r="AN20" i="4" s="1"/>
  <c r="AF22" i="1"/>
  <c r="AK20" i="1"/>
  <c r="AI19" i="1"/>
  <c r="AN20" i="1" s="1"/>
  <c r="AG70" i="14"/>
  <c r="AG90" i="13"/>
  <c r="AG85" i="13"/>
  <c r="AL86" i="13" s="1"/>
  <c r="AF68" i="31"/>
  <c r="BH158" i="31" l="1"/>
  <c r="BI158" i="31" s="1"/>
  <c r="AB158" i="32" s="1"/>
  <c r="BI93" i="31"/>
  <c r="AB93" i="32" s="1"/>
  <c r="AC93" i="32" s="1"/>
  <c r="BH156" i="31"/>
  <c r="BI156" i="31" s="1"/>
  <c r="AB156" i="32" s="1"/>
  <c r="BI91" i="31"/>
  <c r="AB91" i="32" s="1"/>
  <c r="AC91" i="32" s="1"/>
  <c r="BI92" i="31"/>
  <c r="AB92" i="32" s="1"/>
  <c r="AC92" i="32" s="1"/>
  <c r="BH157" i="31"/>
  <c r="BI157" i="31" s="1"/>
  <c r="AB157" i="32" s="1"/>
  <c r="AY5" i="31"/>
  <c r="AQ146" i="31"/>
  <c r="AR81" i="31"/>
  <c r="AP143" i="31"/>
  <c r="AQ78" i="31"/>
  <c r="AP141" i="31"/>
  <c r="AQ76" i="31"/>
  <c r="AK23" i="1"/>
  <c r="AJ70" i="17"/>
  <c r="AJ71" i="17"/>
  <c r="AJ102" i="13"/>
  <c r="AO103" i="13" s="1"/>
  <c r="AK23" i="2"/>
  <c r="AI22" i="1"/>
  <c r="AN23" i="1" s="1"/>
  <c r="AI22" i="4"/>
  <c r="AN23" i="4" s="1"/>
  <c r="AI22" i="2"/>
  <c r="AN23" i="2" s="1"/>
  <c r="AH70" i="14"/>
  <c r="AI70" i="14" s="1"/>
  <c r="AG71" i="14"/>
  <c r="AD92" i="32" l="1"/>
  <c r="AC157" i="32"/>
  <c r="AD91" i="32"/>
  <c r="AC156" i="32"/>
  <c r="AD93" i="32"/>
  <c r="AC158" i="32"/>
  <c r="Z5" i="32"/>
  <c r="AZ5" i="31"/>
  <c r="BA5" i="31" s="1"/>
  <c r="BB5" i="31" s="1"/>
  <c r="BC5" i="31" s="1"/>
  <c r="BD5" i="31" s="1"/>
  <c r="AY10" i="31"/>
  <c r="AQ143" i="31"/>
  <c r="AR78" i="31"/>
  <c r="AQ141" i="31"/>
  <c r="AR76" i="31"/>
  <c r="AR146" i="31"/>
  <c r="AS81" i="31"/>
  <c r="AE93" i="32" l="1"/>
  <c r="AD158" i="32"/>
  <c r="AD156" i="32"/>
  <c r="AE91" i="32"/>
  <c r="AD157" i="32"/>
  <c r="AE92" i="32"/>
  <c r="AA5" i="32"/>
  <c r="BE5" i="31"/>
  <c r="Z10" i="32"/>
  <c r="AZ10" i="31"/>
  <c r="BA10" i="31" s="1"/>
  <c r="BB10" i="31" s="1"/>
  <c r="BC10" i="31" s="1"/>
  <c r="BD10" i="31" s="1"/>
  <c r="BE10" i="31" s="1"/>
  <c r="AY7" i="31"/>
  <c r="AS146" i="31"/>
  <c r="AT146" i="31" s="1"/>
  <c r="AT81" i="31"/>
  <c r="AR143" i="31"/>
  <c r="AS78" i="31"/>
  <c r="AR141" i="31"/>
  <c r="AS76" i="31"/>
  <c r="AE157" i="32" l="1"/>
  <c r="AF92" i="32"/>
  <c r="AF157" i="32" s="1"/>
  <c r="AE156" i="32"/>
  <c r="AF91" i="32"/>
  <c r="AF156" i="32" s="1"/>
  <c r="AE158" i="32"/>
  <c r="AF93" i="32"/>
  <c r="AF158" i="32" s="1"/>
  <c r="AA10" i="32"/>
  <c r="BG10" i="31"/>
  <c r="BH10" i="31" s="1"/>
  <c r="BI10" i="31" s="1"/>
  <c r="AB10" i="32" s="1"/>
  <c r="BF5" i="31"/>
  <c r="BG5" i="31" s="1"/>
  <c r="BH5" i="31" s="1"/>
  <c r="BI5" i="31" s="1"/>
  <c r="AB5" i="32" s="1"/>
  <c r="Z7" i="32"/>
  <c r="AZ7" i="31"/>
  <c r="BA7" i="31" s="1"/>
  <c r="BB7" i="31" s="1"/>
  <c r="BC7" i="31" s="1"/>
  <c r="BD7" i="31" s="1"/>
  <c r="Y81" i="32"/>
  <c r="AU81" i="31"/>
  <c r="Y146" i="32"/>
  <c r="AS141" i="31"/>
  <c r="AT76" i="31"/>
  <c r="AU76" i="31" s="1"/>
  <c r="AV76" i="31" s="1"/>
  <c r="AW76" i="31" s="1"/>
  <c r="AX76" i="31" s="1"/>
  <c r="AY76" i="31" s="1"/>
  <c r="AS143" i="31"/>
  <c r="AT143" i="31" s="1"/>
  <c r="AT78" i="31"/>
  <c r="AF13" i="5"/>
  <c r="AA7" i="32" l="1"/>
  <c r="BE7" i="31"/>
  <c r="BF7" i="31" s="1"/>
  <c r="BG7" i="31" s="1"/>
  <c r="BH7" i="31" s="1"/>
  <c r="BI7" i="31" s="1"/>
  <c r="AB7" i="32" s="1"/>
  <c r="Z76" i="32"/>
  <c r="AZ76" i="31"/>
  <c r="AT141" i="31"/>
  <c r="Y141" i="32" s="1"/>
  <c r="AV81" i="31"/>
  <c r="AU146" i="31"/>
  <c r="Y76" i="32"/>
  <c r="Y78" i="32"/>
  <c r="AU78" i="31"/>
  <c r="Y143" i="32"/>
  <c r="BA76" i="31" l="1"/>
  <c r="AZ141" i="31"/>
  <c r="AU141" i="31"/>
  <c r="AV78" i="31"/>
  <c r="AU143" i="31"/>
  <c r="AW81" i="31"/>
  <c r="AV146" i="31"/>
  <c r="AD79" i="13"/>
  <c r="BB76" i="31" l="1"/>
  <c r="BA141" i="31"/>
  <c r="AW78" i="31"/>
  <c r="AV143" i="31"/>
  <c r="AX81" i="31"/>
  <c r="AW146" i="31"/>
  <c r="AV141" i="31"/>
  <c r="AD76" i="13"/>
  <c r="AI77" i="13" s="1"/>
  <c r="AI80" i="13"/>
  <c r="BQ104" i="48"/>
  <c r="BR104" i="48"/>
  <c r="BS104" i="48"/>
  <c r="BP104" i="48"/>
  <c r="BO124" i="48"/>
  <c r="BP125" i="48" s="1"/>
  <c r="BP41" i="48"/>
  <c r="AF120" i="13"/>
  <c r="AF119" i="13"/>
  <c r="BC76" i="31" l="1"/>
  <c r="BB141" i="31"/>
  <c r="AY81" i="31"/>
  <c r="AX146" i="31"/>
  <c r="AY146" i="31" s="1"/>
  <c r="Z146" i="32" s="1"/>
  <c r="AW141" i="31"/>
  <c r="AX78" i="31"/>
  <c r="AW143" i="31"/>
  <c r="AA2" i="47"/>
  <c r="Z2" i="47"/>
  <c r="Y2" i="47"/>
  <c r="X2" i="47"/>
  <c r="W2" i="47"/>
  <c r="V2" i="47"/>
  <c r="U2" i="47"/>
  <c r="T2" i="47"/>
  <c r="S2" i="47"/>
  <c r="R2" i="47"/>
  <c r="Q2" i="47"/>
  <c r="P2" i="47"/>
  <c r="O2" i="47"/>
  <c r="N2" i="47"/>
  <c r="M2" i="47"/>
  <c r="L2" i="47"/>
  <c r="K2" i="47"/>
  <c r="J2" i="47"/>
  <c r="I2" i="47"/>
  <c r="H2" i="47"/>
  <c r="G2" i="47"/>
  <c r="F2" i="47"/>
  <c r="E2" i="47"/>
  <c r="D2" i="47"/>
  <c r="C2" i="47"/>
  <c r="B2" i="47"/>
  <c r="Z81" i="32" l="1"/>
  <c r="AZ81" i="31"/>
  <c r="BC141" i="31"/>
  <c r="BD141" i="31" s="1"/>
  <c r="AA141" i="32" s="1"/>
  <c r="BD76" i="31"/>
  <c r="AX141" i="31"/>
  <c r="AY141" i="31" s="1"/>
  <c r="Z141" i="32" s="1"/>
  <c r="AY78" i="31"/>
  <c r="AX143" i="31"/>
  <c r="AY143" i="31" s="1"/>
  <c r="Z143" i="32" s="1"/>
  <c r="AD82" i="17"/>
  <c r="AD202" i="31"/>
  <c r="AD67" i="31"/>
  <c r="AD66" i="31"/>
  <c r="AE33" i="17"/>
  <c r="AD58" i="17"/>
  <c r="AD46" i="17"/>
  <c r="AD37" i="17"/>
  <c r="AA76" i="32" l="1"/>
  <c r="BE76" i="31"/>
  <c r="BA81" i="31"/>
  <c r="AZ146" i="31"/>
  <c r="Z78" i="32"/>
  <c r="AZ78" i="31"/>
  <c r="AD68" i="31"/>
  <c r="AD48" i="17"/>
  <c r="BF76" i="31" l="1"/>
  <c r="BE141" i="31"/>
  <c r="AZ143" i="31"/>
  <c r="BA78" i="31"/>
  <c r="BB81" i="31"/>
  <c r="BA146" i="31"/>
  <c r="AD25" i="17"/>
  <c r="AD6" i="17"/>
  <c r="AE75" i="14"/>
  <c r="AD58" i="14"/>
  <c r="AE55" i="14"/>
  <c r="AE41" i="14"/>
  <c r="AD32" i="14"/>
  <c r="AE13" i="14"/>
  <c r="AE28" i="14"/>
  <c r="AD10" i="14"/>
  <c r="AD7" i="14"/>
  <c r="AE101" i="13"/>
  <c r="AD100" i="13"/>
  <c r="AD92" i="13"/>
  <c r="AF90" i="13"/>
  <c r="AI83" i="13"/>
  <c r="AD44" i="13"/>
  <c r="AE37" i="13"/>
  <c r="BG76" i="31" l="1"/>
  <c r="BF141" i="31"/>
  <c r="BA143" i="31"/>
  <c r="BB78" i="31"/>
  <c r="BB146" i="31"/>
  <c r="BC81" i="31"/>
  <c r="AD70" i="17"/>
  <c r="AD71" i="17"/>
  <c r="AD7" i="17"/>
  <c r="AD83" i="17" s="1"/>
  <c r="AE82" i="13"/>
  <c r="AE19" i="4"/>
  <c r="AD17" i="4"/>
  <c r="AE15" i="4"/>
  <c r="AE14" i="4"/>
  <c r="AD13" i="4"/>
  <c r="AE10" i="4"/>
  <c r="AE8" i="4"/>
  <c r="AE7" i="4"/>
  <c r="AD6" i="4"/>
  <c r="AI7" i="4" s="1"/>
  <c r="AE4" i="4"/>
  <c r="AD3" i="4"/>
  <c r="V26" i="40"/>
  <c r="V25" i="40"/>
  <c r="V24" i="40"/>
  <c r="V23" i="40"/>
  <c r="V21" i="40"/>
  <c r="V20" i="40"/>
  <c r="V19" i="40"/>
  <c r="V18" i="40"/>
  <c r="V17" i="40"/>
  <c r="V16" i="40"/>
  <c r="V15" i="40"/>
  <c r="V14" i="40"/>
  <c r="V13" i="40"/>
  <c r="V12" i="40"/>
  <c r="V11" i="40"/>
  <c r="V10" i="40"/>
  <c r="V9" i="40"/>
  <c r="V8" i="40"/>
  <c r="V7" i="40"/>
  <c r="V6" i="40"/>
  <c r="V4" i="47" s="1"/>
  <c r="AE27" i="41"/>
  <c r="V27" i="40" s="1"/>
  <c r="AD26" i="41"/>
  <c r="AD25" i="41"/>
  <c r="AD24" i="41"/>
  <c r="AD23" i="41"/>
  <c r="AD21" i="41"/>
  <c r="AD20" i="41"/>
  <c r="AD19" i="41"/>
  <c r="AD18" i="41"/>
  <c r="AD17" i="41"/>
  <c r="AD16" i="41"/>
  <c r="AD15" i="41"/>
  <c r="AD14" i="41"/>
  <c r="AD13" i="41"/>
  <c r="AD12" i="41"/>
  <c r="AD11" i="41"/>
  <c r="AD10" i="41"/>
  <c r="AD9" i="41"/>
  <c r="AD8" i="41"/>
  <c r="AD7" i="41"/>
  <c r="AD6" i="41"/>
  <c r="AE39" i="2"/>
  <c r="V35" i="10" s="1"/>
  <c r="AE38" i="2"/>
  <c r="V34" i="10" s="1"/>
  <c r="AE32" i="2"/>
  <c r="AE31" i="2"/>
  <c r="AD3" i="2"/>
  <c r="AE19" i="2"/>
  <c r="AD17" i="2"/>
  <c r="AE15" i="2"/>
  <c r="AE14" i="2"/>
  <c r="AD13" i="2"/>
  <c r="AE10" i="2"/>
  <c r="AJ11" i="2" s="1"/>
  <c r="AE8" i="2"/>
  <c r="AE7" i="2"/>
  <c r="AD6" i="2"/>
  <c r="AI7" i="2" s="1"/>
  <c r="AE4" i="2"/>
  <c r="AE13" i="5"/>
  <c r="AD8" i="5"/>
  <c r="AD7" i="5"/>
  <c r="AD6" i="5"/>
  <c r="AD5" i="5"/>
  <c r="AD4" i="5"/>
  <c r="AD36" i="1"/>
  <c r="AC36" i="1"/>
  <c r="AB36" i="1"/>
  <c r="AE34" i="1"/>
  <c r="AE33" i="1"/>
  <c r="AE8" i="1"/>
  <c r="AE7" i="1"/>
  <c r="AD6" i="1"/>
  <c r="AD13" i="1"/>
  <c r="AI14" i="1" s="1"/>
  <c r="AD3" i="1"/>
  <c r="AI4" i="1" s="1"/>
  <c r="BH76" i="31" l="1"/>
  <c r="BG141" i="31"/>
  <c r="BC146" i="31"/>
  <c r="BD146" i="31" s="1"/>
  <c r="AA146" i="32" s="1"/>
  <c r="BD81" i="31"/>
  <c r="BC78" i="31"/>
  <c r="BB143" i="31"/>
  <c r="AJ90" i="13"/>
  <c r="AD8" i="2"/>
  <c r="AD26" i="1"/>
  <c r="AD15" i="2"/>
  <c r="AI14" i="2"/>
  <c r="AD26" i="2"/>
  <c r="AI4" i="2"/>
  <c r="AI14" i="4"/>
  <c r="AE22" i="4"/>
  <c r="AJ23" i="4" s="1"/>
  <c r="AJ20" i="4"/>
  <c r="AD8" i="1"/>
  <c r="AI7" i="1"/>
  <c r="AE22" i="2"/>
  <c r="AJ23" i="2" s="1"/>
  <c r="AJ20" i="2"/>
  <c r="AF85" i="13"/>
  <c r="AK86" i="13" s="1"/>
  <c r="AJ83" i="13"/>
  <c r="AI4" i="4"/>
  <c r="AJ11" i="4"/>
  <c r="AD15" i="17"/>
  <c r="AD27" i="17" s="1"/>
  <c r="AD10" i="4"/>
  <c r="AD26" i="4"/>
  <c r="AD8" i="4"/>
  <c r="AD15" i="4"/>
  <c r="AD27" i="41"/>
  <c r="AD10" i="2"/>
  <c r="AI11" i="2" s="1"/>
  <c r="AA81" i="32" l="1"/>
  <c r="BE81" i="31"/>
  <c r="BI76" i="31"/>
  <c r="AB76" i="32" s="1"/>
  <c r="AC76" i="32" s="1"/>
  <c r="BH141" i="31"/>
  <c r="BI141" i="31" s="1"/>
  <c r="AB141" i="32" s="1"/>
  <c r="BC143" i="31"/>
  <c r="BD143" i="31" s="1"/>
  <c r="AA143" i="32" s="1"/>
  <c r="BD78" i="31"/>
  <c r="AI11" i="4"/>
  <c r="AC27" i="41"/>
  <c r="Z39" i="2"/>
  <c r="U39" i="2"/>
  <c r="P39" i="2"/>
  <c r="K39" i="2"/>
  <c r="AB35" i="2"/>
  <c r="AB37" i="2" s="1"/>
  <c r="AC100" i="13"/>
  <c r="AD76" i="32" l="1"/>
  <c r="AC141" i="32"/>
  <c r="AA78" i="32"/>
  <c r="BE78" i="31"/>
  <c r="BF81" i="31"/>
  <c r="BE146" i="31"/>
  <c r="AC71" i="17"/>
  <c r="AC70" i="17"/>
  <c r="AC35" i="2"/>
  <c r="AC37" i="2" s="1"/>
  <c r="AE37" i="2" s="1"/>
  <c r="V33" i="10" s="1"/>
  <c r="AD141" i="32" l="1"/>
  <c r="AE76" i="32"/>
  <c r="BG81" i="31"/>
  <c r="BF146" i="31"/>
  <c r="BF78" i="31"/>
  <c r="BE143" i="31"/>
  <c r="AE35" i="2"/>
  <c r="V31" i="10" s="1"/>
  <c r="AE141" i="32" l="1"/>
  <c r="AF76" i="32"/>
  <c r="AF141" i="32" s="1"/>
  <c r="BG78" i="31"/>
  <c r="BF143" i="31"/>
  <c r="BH81" i="31"/>
  <c r="BG146" i="31"/>
  <c r="BH146" i="31" l="1"/>
  <c r="BI146" i="31" s="1"/>
  <c r="AB146" i="32" s="1"/>
  <c r="BI81" i="31"/>
  <c r="AB81" i="32" s="1"/>
  <c r="AC81" i="32" s="1"/>
  <c r="BG143" i="31"/>
  <c r="BH78" i="31"/>
  <c r="AD81" i="32" l="1"/>
  <c r="AC146" i="32"/>
  <c r="BH143" i="31"/>
  <c r="BI143" i="31" s="1"/>
  <c r="AB143" i="32" s="1"/>
  <c r="BI78" i="31"/>
  <c r="AB78" i="32" s="1"/>
  <c r="AC78" i="32" s="1"/>
  <c r="AC143" i="32" l="1"/>
  <c r="AD78" i="32"/>
  <c r="AD146" i="32"/>
  <c r="AE81" i="32"/>
  <c r="AD64" i="31"/>
  <c r="BN124" i="48"/>
  <c r="AC202" i="31"/>
  <c r="AC67" i="31"/>
  <c r="AC66" i="31"/>
  <c r="AC82" i="17"/>
  <c r="AC58" i="17"/>
  <c r="AC62" i="17" s="1"/>
  <c r="AC46" i="17"/>
  <c r="AC37" i="17"/>
  <c r="AC25" i="17"/>
  <c r="AC6" i="17"/>
  <c r="AC7" i="17" s="1"/>
  <c r="AC92" i="13"/>
  <c r="AD90" i="13"/>
  <c r="AC80" i="13"/>
  <c r="AC77" i="13"/>
  <c r="AC44" i="13"/>
  <c r="AC19" i="4"/>
  <c r="AH20" i="4" s="1"/>
  <c r="AC15" i="4"/>
  <c r="AC14" i="4"/>
  <c r="AC10" i="4"/>
  <c r="AH11" i="4" s="1"/>
  <c r="AC8" i="4"/>
  <c r="AC7" i="4"/>
  <c r="AC4" i="4"/>
  <c r="AC19" i="2"/>
  <c r="AC15" i="2"/>
  <c r="AC14" i="2"/>
  <c r="AC10" i="2"/>
  <c r="AH11" i="2" s="1"/>
  <c r="AC8" i="2"/>
  <c r="AC7" i="2"/>
  <c r="AC4" i="2"/>
  <c r="AC19" i="1"/>
  <c r="AC15" i="1"/>
  <c r="AC14" i="1"/>
  <c r="AC10" i="1"/>
  <c r="AH11" i="1" s="1"/>
  <c r="AC8" i="1"/>
  <c r="AC7" i="1"/>
  <c r="AC4" i="1"/>
  <c r="AD143" i="32" l="1"/>
  <c r="AE78" i="32"/>
  <c r="AE146" i="32"/>
  <c r="AF81" i="32"/>
  <c r="AF146" i="32" s="1"/>
  <c r="AD85" i="13"/>
  <c r="AI86" i="13" s="1"/>
  <c r="AC22" i="2"/>
  <c r="AH23" i="2" s="1"/>
  <c r="AH20" i="2"/>
  <c r="AC22" i="1"/>
  <c r="AH23" i="1" s="1"/>
  <c r="AH20" i="1"/>
  <c r="AC83" i="17"/>
  <c r="AC15" i="17"/>
  <c r="AC27" i="17" s="1"/>
  <c r="AC68" i="31"/>
  <c r="AC48" i="17"/>
  <c r="AC64" i="17" s="1"/>
  <c r="AC22" i="4"/>
  <c r="AH23" i="4" s="1"/>
  <c r="AE143" i="32" l="1"/>
  <c r="AF78" i="32"/>
  <c r="AF143" i="32" s="1"/>
  <c r="AH83" i="13"/>
  <c r="AC65" i="17"/>
  <c r="P59" i="15" l="1"/>
  <c r="O59" i="15"/>
  <c r="N59" i="15"/>
  <c r="M59" i="15"/>
  <c r="L59" i="15"/>
  <c r="K59" i="15"/>
  <c r="J59" i="15"/>
  <c r="I59" i="15"/>
  <c r="H59" i="15"/>
  <c r="G59" i="15"/>
  <c r="F59" i="15"/>
  <c r="E59" i="15"/>
  <c r="D59" i="15"/>
  <c r="C59" i="15"/>
  <c r="B59" i="15"/>
  <c r="AH59" i="13" l="1"/>
  <c r="AG59" i="13"/>
  <c r="AF59" i="13"/>
  <c r="AB59" i="13"/>
  <c r="AA59" i="13"/>
  <c r="Z59" i="13"/>
  <c r="X59" i="13"/>
  <c r="W59" i="13"/>
  <c r="V59" i="13"/>
  <c r="U59" i="13"/>
  <c r="S59" i="13"/>
  <c r="R59" i="13"/>
  <c r="Q59" i="13"/>
  <c r="P59" i="13"/>
  <c r="N59" i="13"/>
  <c r="M59" i="13"/>
  <c r="L59" i="13"/>
  <c r="K59" i="13"/>
  <c r="I59" i="13"/>
  <c r="H59" i="13"/>
  <c r="G59" i="13"/>
  <c r="F59" i="13"/>
  <c r="D59" i="13"/>
  <c r="C59" i="13"/>
  <c r="B59" i="13"/>
  <c r="A46" i="15" l="1"/>
  <c r="B28" i="14" l="1"/>
  <c r="F28" i="14"/>
  <c r="G28" i="14"/>
  <c r="K28" i="14"/>
  <c r="L28" i="14"/>
  <c r="P28" i="14"/>
  <c r="Q28" i="14"/>
  <c r="U28" i="14"/>
  <c r="V28" i="14"/>
  <c r="Z28" i="14"/>
  <c r="AA28" i="14"/>
  <c r="AA88" i="14"/>
  <c r="B53" i="52"/>
  <c r="D53" i="52"/>
  <c r="E53" i="52"/>
  <c r="F53" i="52"/>
  <c r="BL124" i="48"/>
  <c r="BM124" i="48"/>
  <c r="BN125" i="48" s="1"/>
  <c r="D54" i="52" l="1"/>
  <c r="C53" i="52"/>
  <c r="C54" i="52" s="1"/>
  <c r="E54" i="52"/>
  <c r="B54" i="52"/>
  <c r="F54" i="52"/>
  <c r="AQ90" i="48"/>
  <c r="AP90" i="48"/>
  <c r="AO90" i="48"/>
  <c r="AN90" i="48"/>
  <c r="AM90" i="48"/>
  <c r="AL90" i="48"/>
  <c r="AK90" i="48"/>
  <c r="AJ90" i="48"/>
  <c r="AI90" i="48"/>
  <c r="AH90" i="48"/>
  <c r="AG90" i="48"/>
  <c r="AF90" i="48"/>
  <c r="AE90" i="48"/>
  <c r="AD90" i="48"/>
  <c r="AC90" i="48"/>
  <c r="AB90" i="48"/>
  <c r="AA90" i="48"/>
  <c r="Z90" i="48"/>
  <c r="Y90" i="48"/>
  <c r="AV90" i="48"/>
  <c r="AW90" i="48"/>
  <c r="AX90" i="48"/>
  <c r="AY90" i="48"/>
  <c r="AZ90" i="48"/>
  <c r="BA90" i="48"/>
  <c r="BB90" i="48"/>
  <c r="BC90" i="48"/>
  <c r="BD90" i="48"/>
  <c r="BE90" i="48"/>
  <c r="BF90" i="48"/>
  <c r="BG90" i="48"/>
  <c r="BH90" i="48"/>
  <c r="BI90" i="48"/>
  <c r="BJ90" i="48"/>
  <c r="BK90" i="48"/>
  <c r="X90" i="48"/>
  <c r="AQ76" i="48"/>
  <c r="AP76" i="48"/>
  <c r="AO76" i="48"/>
  <c r="AN76" i="48"/>
  <c r="AM76" i="48"/>
  <c r="AL76" i="48"/>
  <c r="AK76" i="48"/>
  <c r="AJ76" i="48"/>
  <c r="AI76" i="48"/>
  <c r="AH76" i="48"/>
  <c r="AG76" i="48"/>
  <c r="AF76" i="48"/>
  <c r="AE76" i="48"/>
  <c r="AD76" i="48"/>
  <c r="AC76" i="48"/>
  <c r="AB76" i="48"/>
  <c r="AA76" i="48"/>
  <c r="Z76" i="48"/>
  <c r="Y76" i="48"/>
  <c r="X76" i="48"/>
  <c r="M9" i="48"/>
  <c r="AB202" i="31"/>
  <c r="AQ13" i="46" l="1"/>
  <c r="AP13" i="46"/>
  <c r="U84" i="14" l="1"/>
  <c r="A67" i="46" l="1"/>
  <c r="A74" i="46" s="1"/>
  <c r="A83" i="46" s="1"/>
  <c r="A90" i="46" s="1"/>
  <c r="A68" i="46"/>
  <c r="A75" i="46" s="1"/>
  <c r="A84" i="46" s="1"/>
  <c r="A91" i="46" s="1"/>
  <c r="A69" i="46"/>
  <c r="A76" i="46" s="1"/>
  <c r="A85" i="46" s="1"/>
  <c r="A92" i="46" s="1"/>
  <c r="A70" i="46"/>
  <c r="A66" i="46"/>
  <c r="A73" i="46" s="1"/>
  <c r="A82" i="46" s="1"/>
  <c r="A89" i="46" s="1"/>
  <c r="A77" i="46" l="1"/>
  <c r="A86" i="46" s="1"/>
  <c r="A93" i="46" s="1"/>
  <c r="X28" i="48" l="1"/>
  <c r="Y28" i="48"/>
  <c r="Z28" i="48"/>
  <c r="AA28" i="48"/>
  <c r="AB28" i="48"/>
  <c r="AC28" i="48"/>
  <c r="AD28" i="48"/>
  <c r="B6" i="52" l="1"/>
  <c r="C6" i="52"/>
  <c r="D6" i="52"/>
  <c r="E6" i="52"/>
  <c r="F6" i="52"/>
  <c r="G6" i="52"/>
  <c r="H6" i="52"/>
  <c r="I6" i="52"/>
  <c r="J6" i="52"/>
  <c r="K6" i="52"/>
  <c r="L6" i="52"/>
  <c r="M6" i="52"/>
  <c r="N6" i="52"/>
  <c r="O6" i="52"/>
  <c r="P6" i="52"/>
  <c r="Q6" i="52"/>
  <c r="B7" i="52"/>
  <c r="C7" i="52"/>
  <c r="D7" i="52"/>
  <c r="E7" i="52"/>
  <c r="F7" i="52"/>
  <c r="G7" i="52"/>
  <c r="H7" i="52"/>
  <c r="I7" i="52"/>
  <c r="J7" i="52"/>
  <c r="K7" i="52"/>
  <c r="L7" i="52"/>
  <c r="M7" i="52"/>
  <c r="N7" i="52"/>
  <c r="O7" i="52"/>
  <c r="P7" i="52"/>
  <c r="Q7" i="52"/>
  <c r="B8" i="52"/>
  <c r="C8" i="52"/>
  <c r="D8" i="52"/>
  <c r="E8" i="52"/>
  <c r="F8" i="52"/>
  <c r="G8" i="52"/>
  <c r="H8" i="52"/>
  <c r="I8" i="52"/>
  <c r="J8" i="52"/>
  <c r="K8" i="52"/>
  <c r="L8" i="52"/>
  <c r="M8" i="52"/>
  <c r="N8" i="52"/>
  <c r="O8" i="52"/>
  <c r="P8" i="52"/>
  <c r="Q8" i="52"/>
  <c r="B9" i="52"/>
  <c r="C9" i="52"/>
  <c r="D9" i="52"/>
  <c r="E9" i="52"/>
  <c r="F9" i="52"/>
  <c r="G9" i="52"/>
  <c r="H9" i="52"/>
  <c r="I9" i="52"/>
  <c r="J9" i="52"/>
  <c r="K9" i="52"/>
  <c r="L9" i="52"/>
  <c r="M9" i="52"/>
  <c r="N9" i="52"/>
  <c r="O9" i="52"/>
  <c r="P9" i="52"/>
  <c r="Q9" i="52"/>
  <c r="C10" i="52"/>
  <c r="D10" i="52"/>
  <c r="E10" i="52"/>
  <c r="F10" i="52"/>
  <c r="G10" i="52"/>
  <c r="H10" i="52"/>
  <c r="I10" i="52"/>
  <c r="J10" i="52"/>
  <c r="K10" i="52"/>
  <c r="L10" i="52"/>
  <c r="M10" i="52"/>
  <c r="N10" i="52"/>
  <c r="O10" i="52"/>
  <c r="P10" i="52"/>
  <c r="Q10" i="52"/>
  <c r="L20" i="46"/>
  <c r="B10" i="52" s="1"/>
  <c r="B90" i="48"/>
  <c r="C90" i="48"/>
  <c r="B91" i="48"/>
  <c r="C91" i="48"/>
  <c r="D91" i="48"/>
  <c r="E91" i="48"/>
  <c r="F91" i="48"/>
  <c r="L98" i="48"/>
  <c r="M98" i="48"/>
  <c r="C92" i="48" l="1"/>
  <c r="B92" i="48"/>
  <c r="K19" i="52"/>
  <c r="K28" i="52" s="1"/>
  <c r="F94" i="48"/>
  <c r="N94" i="48"/>
  <c r="C94" i="48"/>
  <c r="K94" i="48"/>
  <c r="D94" i="48"/>
  <c r="H94" i="48"/>
  <c r="L94" i="48"/>
  <c r="P94" i="48"/>
  <c r="B94" i="48"/>
  <c r="J94" i="48"/>
  <c r="G94" i="48"/>
  <c r="O94" i="48"/>
  <c r="E94" i="48"/>
  <c r="I94" i="48"/>
  <c r="M94" i="48"/>
  <c r="Q94" i="48"/>
  <c r="P38" i="7"/>
  <c r="O38" i="7"/>
  <c r="N38" i="7"/>
  <c r="M38" i="7"/>
  <c r="L38" i="7"/>
  <c r="K38" i="7"/>
  <c r="J38" i="7"/>
  <c r="I38" i="7"/>
  <c r="H38" i="7"/>
  <c r="G38" i="7"/>
  <c r="F38" i="7"/>
  <c r="E38" i="7"/>
  <c r="D38" i="7"/>
  <c r="C38" i="7"/>
  <c r="B38" i="7"/>
  <c r="P32" i="7"/>
  <c r="O32" i="7"/>
  <c r="N32" i="7"/>
  <c r="M32" i="7"/>
  <c r="L32" i="7"/>
  <c r="K32" i="7"/>
  <c r="J32" i="7"/>
  <c r="I32" i="7"/>
  <c r="H32" i="7"/>
  <c r="G32" i="7"/>
  <c r="F32" i="7"/>
  <c r="E32" i="7"/>
  <c r="D32" i="7"/>
  <c r="C32" i="7"/>
  <c r="B32" i="7"/>
  <c r="O40" i="7" l="1"/>
  <c r="O41" i="7" s="1"/>
  <c r="O42" i="7" s="1"/>
  <c r="B40" i="7"/>
  <c r="B41" i="7" s="1"/>
  <c r="B42" i="7" s="1"/>
  <c r="F40" i="7"/>
  <c r="F41" i="7" s="1"/>
  <c r="F42" i="7" s="1"/>
  <c r="P40" i="7"/>
  <c r="P41" i="7" s="1"/>
  <c r="P42" i="7" s="1"/>
  <c r="AA40" i="7"/>
  <c r="D40" i="7"/>
  <c r="D41" i="7" s="1"/>
  <c r="D42" i="7" s="1"/>
  <c r="H40" i="7"/>
  <c r="H41" i="7" s="1"/>
  <c r="H42" i="7" s="1"/>
  <c r="E40" i="7"/>
  <c r="E41" i="7" s="1"/>
  <c r="E42" i="7" s="1"/>
  <c r="J40" i="7"/>
  <c r="J41" i="7" s="1"/>
  <c r="J42" i="7" s="1"/>
  <c r="N40" i="7"/>
  <c r="N41" i="7" s="1"/>
  <c r="N42" i="7" s="1"/>
  <c r="C40" i="7"/>
  <c r="C41" i="7" s="1"/>
  <c r="C42" i="7" s="1"/>
  <c r="M40" i="7"/>
  <c r="M41" i="7" s="1"/>
  <c r="M42" i="7" s="1"/>
  <c r="L40" i="7"/>
  <c r="L41" i="7" s="1"/>
  <c r="L42" i="7" s="1"/>
  <c r="G40" i="7"/>
  <c r="G41" i="7" s="1"/>
  <c r="G42" i="7" s="1"/>
  <c r="I40" i="7"/>
  <c r="I41" i="7" s="1"/>
  <c r="I42" i="7" s="1"/>
  <c r="K40" i="7"/>
  <c r="K41" i="7" s="1"/>
  <c r="K42" i="7" s="1"/>
  <c r="T36" i="1"/>
  <c r="S36" i="1"/>
  <c r="R36" i="1"/>
  <c r="Q36" i="1"/>
  <c r="U35" i="1"/>
  <c r="T31" i="7" s="1"/>
  <c r="O36" i="1"/>
  <c r="N36" i="1"/>
  <c r="M36" i="1"/>
  <c r="L36" i="1"/>
  <c r="P35" i="1"/>
  <c r="S31" i="7" s="1"/>
  <c r="J36" i="1"/>
  <c r="I36" i="1"/>
  <c r="H36" i="1"/>
  <c r="G36" i="1"/>
  <c r="K35" i="1"/>
  <c r="R31" i="7" s="1"/>
  <c r="E36" i="1"/>
  <c r="D36" i="1"/>
  <c r="C36" i="1"/>
  <c r="B36" i="1"/>
  <c r="F35" i="1"/>
  <c r="Q31" i="7" s="1"/>
  <c r="F34" i="1"/>
  <c r="Q30" i="7" s="1"/>
  <c r="F33" i="1"/>
  <c r="Q29" i="7" s="1"/>
  <c r="F32" i="1"/>
  <c r="Q28" i="7" s="1"/>
  <c r="F31" i="1"/>
  <c r="Q27" i="7" s="1"/>
  <c r="E42" i="1"/>
  <c r="D42" i="1"/>
  <c r="C42" i="1"/>
  <c r="B42" i="1"/>
  <c r="F41" i="1"/>
  <c r="Q37" i="7" s="1"/>
  <c r="F40" i="1"/>
  <c r="Q36" i="7" s="1"/>
  <c r="F39" i="1"/>
  <c r="Q35" i="7" s="1"/>
  <c r="I42" i="1"/>
  <c r="H42" i="1"/>
  <c r="G42" i="1"/>
  <c r="J39" i="1"/>
  <c r="J42" i="1" s="1"/>
  <c r="AJ34" i="1"/>
  <c r="W30" i="7" s="1"/>
  <c r="AJ33" i="1"/>
  <c r="W29" i="7" s="1"/>
  <c r="AJ32" i="1"/>
  <c r="W28" i="7" s="1"/>
  <c r="AJ31" i="1"/>
  <c r="W27" i="7" s="1"/>
  <c r="AI42" i="1"/>
  <c r="AJ41" i="1"/>
  <c r="W37" i="7" s="1"/>
  <c r="AJ40" i="1"/>
  <c r="AJ39" i="1"/>
  <c r="W35" i="7" s="1"/>
  <c r="AE35" i="1"/>
  <c r="V31" i="7" s="1"/>
  <c r="V29" i="7"/>
  <c r="AE32" i="1"/>
  <c r="V28" i="7" s="1"/>
  <c r="AE31" i="1"/>
  <c r="AD42" i="1"/>
  <c r="AC42" i="1"/>
  <c r="AE41" i="1"/>
  <c r="V37" i="7" s="1"/>
  <c r="AE40" i="1"/>
  <c r="V36" i="7" s="1"/>
  <c r="AE39" i="1"/>
  <c r="Z35" i="1"/>
  <c r="U31" i="7" s="1"/>
  <c r="AB42" i="1"/>
  <c r="AB44" i="1" s="1"/>
  <c r="AB45" i="1" s="1"/>
  <c r="AB46" i="1" s="1"/>
  <c r="AA36" i="1"/>
  <c r="Y42" i="1"/>
  <c r="X42" i="1"/>
  <c r="W42" i="1"/>
  <c r="V42" i="1"/>
  <c r="T42" i="1"/>
  <c r="S42" i="1"/>
  <c r="R42" i="1"/>
  <c r="Q42" i="1"/>
  <c r="O42" i="1"/>
  <c r="N42" i="1"/>
  <c r="M42" i="1"/>
  <c r="L42" i="1"/>
  <c r="AA42" i="1"/>
  <c r="Y36" i="1"/>
  <c r="X36" i="1"/>
  <c r="W36" i="1"/>
  <c r="V36" i="1"/>
  <c r="B61" i="52"/>
  <c r="C61" i="52"/>
  <c r="D61" i="52"/>
  <c r="E61" i="52"/>
  <c r="F61" i="52"/>
  <c r="B44" i="52"/>
  <c r="C44" i="52"/>
  <c r="D44" i="52"/>
  <c r="E44" i="52"/>
  <c r="F44" i="52"/>
  <c r="K18" i="52"/>
  <c r="J18" i="52"/>
  <c r="I18" i="52"/>
  <c r="H18" i="52"/>
  <c r="G18" i="52"/>
  <c r="F18" i="52"/>
  <c r="E18" i="52"/>
  <c r="D18" i="52"/>
  <c r="C18" i="52"/>
  <c r="B18" i="52"/>
  <c r="H19" i="52"/>
  <c r="H28" i="52" s="1"/>
  <c r="B19" i="52"/>
  <c r="Q44" i="1" l="1"/>
  <c r="Q45" i="1" s="1"/>
  <c r="Q46" i="1" s="1"/>
  <c r="R44" i="1"/>
  <c r="R45" i="1" s="1"/>
  <c r="R46" i="1" s="1"/>
  <c r="C44" i="1"/>
  <c r="C45" i="1" s="1"/>
  <c r="C46" i="1" s="1"/>
  <c r="N44" i="1"/>
  <c r="N45" i="1" s="1"/>
  <c r="N46" i="1" s="1"/>
  <c r="V44" i="1"/>
  <c r="V45" i="1" s="1"/>
  <c r="V46" i="1" s="1"/>
  <c r="T44" i="1"/>
  <c r="C33" i="52"/>
  <c r="B44" i="1"/>
  <c r="B45" i="1" s="1"/>
  <c r="B46" i="1" s="1"/>
  <c r="E33" i="52"/>
  <c r="X44" i="1"/>
  <c r="X45" i="1" s="1"/>
  <c r="X46" i="1" s="1"/>
  <c r="V27" i="7"/>
  <c r="AE36" i="1"/>
  <c r="Y44" i="1"/>
  <c r="D44" i="1"/>
  <c r="D45" i="1" s="1"/>
  <c r="D46" i="1" s="1"/>
  <c r="Q32" i="7"/>
  <c r="E44" i="1"/>
  <c r="E45" i="1" s="1"/>
  <c r="E46" i="1" s="1"/>
  <c r="I44" i="1"/>
  <c r="I45" i="1" s="1"/>
  <c r="I46" i="1" s="1"/>
  <c r="AD44" i="1"/>
  <c r="O44" i="1"/>
  <c r="D38" i="52"/>
  <c r="F33" i="52"/>
  <c r="AE42" i="1"/>
  <c r="V35" i="7"/>
  <c r="V38" i="7" s="1"/>
  <c r="L44" i="1"/>
  <c r="L45" i="1" s="1"/>
  <c r="L46" i="1" s="1"/>
  <c r="AJ42" i="1"/>
  <c r="W36" i="7"/>
  <c r="W38" i="7" s="1"/>
  <c r="G44" i="1"/>
  <c r="G45" i="1" s="1"/>
  <c r="G46" i="1" s="1"/>
  <c r="M44" i="1"/>
  <c r="M45" i="1" s="1"/>
  <c r="M46" i="1" s="1"/>
  <c r="D33" i="52"/>
  <c r="AA44" i="1"/>
  <c r="AA45" i="1" s="1"/>
  <c r="AA46" i="1" s="1"/>
  <c r="V30" i="7"/>
  <c r="Q38" i="7"/>
  <c r="H44" i="1"/>
  <c r="H45" i="1" s="1"/>
  <c r="H46" i="1" s="1"/>
  <c r="D62" i="52"/>
  <c r="B20" i="52"/>
  <c r="B28" i="52"/>
  <c r="E45" i="52"/>
  <c r="C45" i="52"/>
  <c r="D45" i="52"/>
  <c r="F62" i="52"/>
  <c r="E19" i="52"/>
  <c r="C19" i="52"/>
  <c r="G19" i="52"/>
  <c r="D19" i="52"/>
  <c r="I19" i="52"/>
  <c r="I28" i="52" s="1"/>
  <c r="F19" i="52"/>
  <c r="J19" i="52"/>
  <c r="J28" i="52" s="1"/>
  <c r="J44" i="1"/>
  <c r="S44" i="1"/>
  <c r="S45" i="1" s="1"/>
  <c r="S46" i="1" s="1"/>
  <c r="F42" i="1"/>
  <c r="W44" i="1"/>
  <c r="W45" i="1" s="1"/>
  <c r="W46" i="1" s="1"/>
  <c r="F36" i="1"/>
  <c r="AC44" i="1"/>
  <c r="F45" i="52"/>
  <c r="D41" i="52"/>
  <c r="E62" i="52"/>
  <c r="C62" i="52"/>
  <c r="C41" i="52"/>
  <c r="E41" i="52"/>
  <c r="B38" i="52"/>
  <c r="B40" i="52"/>
  <c r="B39" i="52"/>
  <c r="B41" i="52"/>
  <c r="D39" i="52"/>
  <c r="C39" i="52"/>
  <c r="E40" i="52"/>
  <c r="C38" i="52"/>
  <c r="C40" i="52"/>
  <c r="D40" i="52"/>
  <c r="V32" i="7" l="1"/>
  <c r="V40" i="7" s="1"/>
  <c r="AE44" i="1"/>
  <c r="Q40" i="7"/>
  <c r="Q41" i="7" s="1"/>
  <c r="Q42" i="7" s="1"/>
  <c r="F44" i="1"/>
  <c r="F45" i="1" s="1"/>
  <c r="F46" i="1" s="1"/>
  <c r="F20" i="52"/>
  <c r="F28" i="52"/>
  <c r="D20" i="52"/>
  <c r="D28" i="52"/>
  <c r="G28" i="52"/>
  <c r="C20" i="52"/>
  <c r="C28" i="52"/>
  <c r="E20" i="52"/>
  <c r="E28" i="52"/>
  <c r="B37" i="52"/>
  <c r="B57" i="52" s="1"/>
  <c r="D37" i="52"/>
  <c r="C37" i="52"/>
  <c r="C57" i="52" l="1"/>
  <c r="C58" i="52" s="1"/>
  <c r="D57" i="52"/>
  <c r="J35" i="2"/>
  <c r="M31" i="2"/>
  <c r="L31" i="2"/>
  <c r="D58" i="52" l="1"/>
  <c r="AB67" i="31"/>
  <c r="AB66" i="31"/>
  <c r="AB6" i="17"/>
  <c r="AA68" i="14"/>
  <c r="AB68" i="14"/>
  <c r="AA81" i="14"/>
  <c r="AA75" i="14"/>
  <c r="AA70" i="14"/>
  <c r="AB70" i="14" s="1"/>
  <c r="AB57" i="14"/>
  <c r="AB52" i="14"/>
  <c r="AB51" i="14"/>
  <c r="AB50" i="14"/>
  <c r="AB48" i="14"/>
  <c r="AB47" i="14"/>
  <c r="AB45" i="14"/>
  <c r="AB44" i="14"/>
  <c r="AB40" i="14"/>
  <c r="AB39" i="14"/>
  <c r="AB38" i="14"/>
  <c r="AB37" i="14"/>
  <c r="AB35" i="14"/>
  <c r="AB34" i="14"/>
  <c r="AB33" i="14"/>
  <c r="AB19" i="14"/>
  <c r="AB27" i="14"/>
  <c r="AB26" i="14"/>
  <c r="AB25" i="14"/>
  <c r="AB24" i="14"/>
  <c r="AB23" i="14"/>
  <c r="AB21" i="14"/>
  <c r="AB20" i="14"/>
  <c r="AB18" i="14"/>
  <c r="AB17" i="14"/>
  <c r="AB16" i="14"/>
  <c r="AB15" i="14"/>
  <c r="AB13" i="14"/>
  <c r="AB11" i="14"/>
  <c r="AB9" i="14"/>
  <c r="AB8" i="14"/>
  <c r="AB6" i="14"/>
  <c r="AB5" i="14"/>
  <c r="AB85" i="14"/>
  <c r="AB54" i="14"/>
  <c r="AB49" i="14"/>
  <c r="AB46" i="14"/>
  <c r="AB36" i="14"/>
  <c r="AB22" i="14"/>
  <c r="AB12" i="14"/>
  <c r="AB128" i="13"/>
  <c r="AB130" i="13" s="1"/>
  <c r="AB100" i="13"/>
  <c r="AB102" i="13" s="1"/>
  <c r="AG103" i="13" s="1"/>
  <c r="AB134" i="13"/>
  <c r="AB133" i="13"/>
  <c r="AB111" i="13"/>
  <c r="AB110" i="13"/>
  <c r="AB109" i="13"/>
  <c r="AC90" i="13"/>
  <c r="AB77" i="13"/>
  <c r="AB44" i="13"/>
  <c r="AB28" i="13"/>
  <c r="AB24" i="13"/>
  <c r="AB19" i="4"/>
  <c r="AB15" i="4"/>
  <c r="AB14" i="4"/>
  <c r="AB10" i="4"/>
  <c r="AG11" i="4" s="1"/>
  <c r="AB8" i="4"/>
  <c r="AB7" i="4"/>
  <c r="AB4" i="4"/>
  <c r="AB19" i="2"/>
  <c r="AG20" i="2" s="1"/>
  <c r="AB15" i="2"/>
  <c r="AB14" i="2"/>
  <c r="AB10" i="2"/>
  <c r="AG11" i="2" s="1"/>
  <c r="AB8" i="2"/>
  <c r="AB7" i="2"/>
  <c r="AB4" i="2"/>
  <c r="AC22" i="14" l="1"/>
  <c r="AD22" i="14" s="1"/>
  <c r="AC8" i="14"/>
  <c r="AD8" i="14" s="1"/>
  <c r="AC45" i="14"/>
  <c r="AD45" i="14" s="1"/>
  <c r="AC16" i="14"/>
  <c r="AD16" i="14" s="1"/>
  <c r="AC26" i="14"/>
  <c r="AD26" i="14" s="1"/>
  <c r="AC39" i="14"/>
  <c r="AD39" i="14" s="1"/>
  <c r="AC52" i="14"/>
  <c r="AD52" i="14" s="1"/>
  <c r="AC46" i="14"/>
  <c r="AD46" i="14" s="1"/>
  <c r="AC5" i="14"/>
  <c r="AC11" i="14"/>
  <c r="AD11" i="14" s="1"/>
  <c r="AC17" i="14"/>
  <c r="AD17" i="14" s="1"/>
  <c r="AC23" i="14"/>
  <c r="AD23" i="14" s="1"/>
  <c r="AC27" i="14"/>
  <c r="AD27" i="14" s="1"/>
  <c r="AC35" i="14"/>
  <c r="AD35" i="14" s="1"/>
  <c r="AC40" i="14"/>
  <c r="AD40" i="14" s="1"/>
  <c r="AC48" i="14"/>
  <c r="AD48" i="14" s="1"/>
  <c r="AC57" i="14"/>
  <c r="AD57" i="14" s="1"/>
  <c r="AC54" i="14"/>
  <c r="AD54" i="14" s="1"/>
  <c r="AC15" i="14"/>
  <c r="AD15" i="14" s="1"/>
  <c r="AC20" i="14"/>
  <c r="AD20" i="14" s="1"/>
  <c r="AC38" i="14"/>
  <c r="AD38" i="14" s="1"/>
  <c r="AB22" i="4"/>
  <c r="AG23" i="4" s="1"/>
  <c r="AG20" i="4"/>
  <c r="AC36" i="14"/>
  <c r="AD36" i="14" s="1"/>
  <c r="AC9" i="14"/>
  <c r="AD9" i="14" s="1"/>
  <c r="AC21" i="14"/>
  <c r="AD21" i="14" s="1"/>
  <c r="AC34" i="14"/>
  <c r="AD34" i="14" s="1"/>
  <c r="AC47" i="14"/>
  <c r="AD47" i="14" s="1"/>
  <c r="AC12" i="14"/>
  <c r="AD12" i="14" s="1"/>
  <c r="AC49" i="14"/>
  <c r="AD49" i="14" s="1"/>
  <c r="AC6" i="14"/>
  <c r="AD6" i="14" s="1"/>
  <c r="AC13" i="14"/>
  <c r="AD13" i="14" s="1"/>
  <c r="AC18" i="14"/>
  <c r="AD18" i="14" s="1"/>
  <c r="AC24" i="14"/>
  <c r="AD24" i="14" s="1"/>
  <c r="AC19" i="14"/>
  <c r="AD19" i="14" s="1"/>
  <c r="AC37" i="14"/>
  <c r="AD37" i="14" s="1"/>
  <c r="AC44" i="14"/>
  <c r="AD44" i="14" s="1"/>
  <c r="AG83" i="13"/>
  <c r="AB88" i="14"/>
  <c r="AC25" i="14"/>
  <c r="AC33" i="14"/>
  <c r="AC51" i="14"/>
  <c r="AC50" i="14"/>
  <c r="AB28" i="14"/>
  <c r="AB55" i="14"/>
  <c r="AB81" i="14"/>
  <c r="AB135" i="13"/>
  <c r="AB136" i="13" s="1"/>
  <c r="AB75" i="14"/>
  <c r="AB31" i="13"/>
  <c r="AB115" i="13"/>
  <c r="AB41" i="14"/>
  <c r="AB22" i="2"/>
  <c r="AG23" i="2" s="1"/>
  <c r="AB19" i="1"/>
  <c r="AG20" i="1" s="1"/>
  <c r="AB15" i="1"/>
  <c r="AB14" i="1"/>
  <c r="AB10" i="1"/>
  <c r="AG11" i="1" s="1"/>
  <c r="AB8" i="1"/>
  <c r="AB7" i="1"/>
  <c r="AB4" i="1"/>
  <c r="AB58" i="17"/>
  <c r="AB46" i="17"/>
  <c r="AB37" i="17"/>
  <c r="AB25" i="17"/>
  <c r="BP9" i="48"/>
  <c r="BR9" i="48" s="1"/>
  <c r="BS9" i="48" s="1"/>
  <c r="BT9" i="48" s="1"/>
  <c r="BU9" i="48" s="1"/>
  <c r="BL9" i="48"/>
  <c r="BM9" i="48" s="1"/>
  <c r="BN9" i="48" s="1"/>
  <c r="BO9" i="48" s="1"/>
  <c r="BH9" i="48"/>
  <c r="BI9" i="48" s="1"/>
  <c r="BJ9" i="48" s="1"/>
  <c r="BK9" i="48" s="1"/>
  <c r="BD9" i="48"/>
  <c r="BE9" i="48" s="1"/>
  <c r="BF9" i="48" s="1"/>
  <c r="BG9" i="48" s="1"/>
  <c r="AZ9" i="48"/>
  <c r="BA9" i="48" s="1"/>
  <c r="BB9" i="48" s="1"/>
  <c r="BC9" i="48" s="1"/>
  <c r="AV9" i="48"/>
  <c r="AW9" i="48" s="1"/>
  <c r="AX9" i="48" s="1"/>
  <c r="AY9" i="48" s="1"/>
  <c r="AR9" i="48"/>
  <c r="AS9" i="48" s="1"/>
  <c r="AT9" i="48" s="1"/>
  <c r="AU9" i="48" s="1"/>
  <c r="AN9" i="48"/>
  <c r="AO9" i="48" s="1"/>
  <c r="AJ9" i="48"/>
  <c r="AK9" i="48" s="1"/>
  <c r="AL9" i="48" s="1"/>
  <c r="AM9" i="48" s="1"/>
  <c r="AF9" i="48"/>
  <c r="AG9" i="48" s="1"/>
  <c r="AH9" i="48" s="1"/>
  <c r="AI9" i="48" s="1"/>
  <c r="AB9" i="48"/>
  <c r="AC9" i="48" s="1"/>
  <c r="AD9" i="48" s="1"/>
  <c r="AE9" i="48" s="1"/>
  <c r="X9" i="48"/>
  <c r="Y9" i="48" s="1"/>
  <c r="Z9" i="48" s="1"/>
  <c r="AA9" i="48" s="1"/>
  <c r="B9" i="48"/>
  <c r="C9" i="48"/>
  <c r="D9" i="48"/>
  <c r="E9" i="48"/>
  <c r="F9" i="48"/>
  <c r="G9" i="48"/>
  <c r="H9" i="48"/>
  <c r="I9" i="48"/>
  <c r="J9" i="48"/>
  <c r="K9" i="48"/>
  <c r="L9" i="48"/>
  <c r="N9" i="48"/>
  <c r="BV9" i="48" s="1"/>
  <c r="O9" i="48"/>
  <c r="P9" i="48"/>
  <c r="Q9" i="48"/>
  <c r="CF9" i="48" s="1"/>
  <c r="BQ10" i="48"/>
  <c r="BR10" i="48" s="1"/>
  <c r="BS10" i="48" s="1"/>
  <c r="BT10" i="48" s="1"/>
  <c r="BU10" i="48" s="1"/>
  <c r="BV10" i="48" s="1"/>
  <c r="BW10" i="48" s="1"/>
  <c r="BM10" i="48"/>
  <c r="BN10" i="48" s="1"/>
  <c r="BO10" i="48" s="1"/>
  <c r="BI10" i="48"/>
  <c r="BJ10" i="48" s="1"/>
  <c r="BK10" i="48" s="1"/>
  <c r="BE10" i="48"/>
  <c r="BF10" i="48" s="1"/>
  <c r="BG10" i="48" s="1"/>
  <c r="BA10" i="48"/>
  <c r="BB10" i="48" s="1"/>
  <c r="BC10" i="48" s="1"/>
  <c r="AW10" i="48"/>
  <c r="AX10" i="48" s="1"/>
  <c r="AY10" i="48" s="1"/>
  <c r="AS10" i="48"/>
  <c r="AT10" i="48" s="1"/>
  <c r="AU10" i="48" s="1"/>
  <c r="AO10" i="48"/>
  <c r="AP10" i="48" s="1"/>
  <c r="AQ10" i="48" s="1"/>
  <c r="AK10" i="48"/>
  <c r="AL10" i="48" s="1"/>
  <c r="AM10" i="48" s="1"/>
  <c r="AG10" i="48"/>
  <c r="AH10" i="48" s="1"/>
  <c r="AI10" i="48" s="1"/>
  <c r="AC10" i="48"/>
  <c r="AD10" i="48" s="1"/>
  <c r="AE10" i="48" s="1"/>
  <c r="Y10" i="48"/>
  <c r="Z10" i="48" s="1"/>
  <c r="AA10" i="48" s="1"/>
  <c r="BH54" i="48"/>
  <c r="BI58" i="48" s="1"/>
  <c r="BH53" i="48"/>
  <c r="BI57" i="48" s="1"/>
  <c r="BM58" i="48"/>
  <c r="BM66" i="48" s="1"/>
  <c r="BM57" i="48"/>
  <c r="BM65" i="48" s="1"/>
  <c r="BM55" i="48"/>
  <c r="BM22" i="48"/>
  <c r="BM21" i="48"/>
  <c r="AD57" i="48"/>
  <c r="AC57" i="48"/>
  <c r="AC69" i="48" s="1"/>
  <c r="AB57" i="48"/>
  <c r="AB69" i="48" s="1"/>
  <c r="AA57" i="48"/>
  <c r="Z57" i="48"/>
  <c r="Z69" i="48" s="1"/>
  <c r="Y57" i="48"/>
  <c r="Y69" i="48" s="1"/>
  <c r="BL58" i="48"/>
  <c r="BL66" i="48" s="1"/>
  <c r="BK58" i="48"/>
  <c r="BJ58" i="48"/>
  <c r="BG58" i="48"/>
  <c r="BF58" i="48"/>
  <c r="BE58" i="48"/>
  <c r="BD58" i="48"/>
  <c r="BC58" i="48"/>
  <c r="BB58" i="48"/>
  <c r="BL57" i="48"/>
  <c r="BK57" i="48"/>
  <c r="BJ57" i="48"/>
  <c r="BG57" i="48"/>
  <c r="BF57" i="48"/>
  <c r="BE57" i="48"/>
  <c r="BD57" i="48"/>
  <c r="BC57" i="48"/>
  <c r="BB57" i="48"/>
  <c r="BA57" i="48"/>
  <c r="AZ57" i="48"/>
  <c r="AY57" i="48"/>
  <c r="AX57" i="48"/>
  <c r="AW57" i="48"/>
  <c r="AV57" i="48"/>
  <c r="AU57" i="48"/>
  <c r="AT57" i="48"/>
  <c r="AS57" i="48"/>
  <c r="AR57" i="48"/>
  <c r="AQ57" i="48"/>
  <c r="AQ69" i="48" s="1"/>
  <c r="AP57" i="48"/>
  <c r="AO57" i="48"/>
  <c r="AN57" i="48"/>
  <c r="AN69" i="48" s="1"/>
  <c r="AM57" i="48"/>
  <c r="AM69" i="48" s="1"/>
  <c r="AL57" i="48"/>
  <c r="AL69" i="48" s="1"/>
  <c r="AK57" i="48"/>
  <c r="AK69" i="48" s="1"/>
  <c r="AJ57" i="48"/>
  <c r="AI57" i="48"/>
  <c r="AI69" i="48" s="1"/>
  <c r="AH57" i="48"/>
  <c r="AH69" i="48" s="1"/>
  <c r="AG57" i="48"/>
  <c r="AF57" i="48"/>
  <c r="AF69" i="48" s="1"/>
  <c r="AE57" i="48"/>
  <c r="BL55" i="48"/>
  <c r="BK55" i="48"/>
  <c r="BJ55" i="48"/>
  <c r="BI55" i="48"/>
  <c r="BG55" i="48"/>
  <c r="BF55" i="48"/>
  <c r="BE55" i="48"/>
  <c r="BD55" i="48"/>
  <c r="BC55" i="48"/>
  <c r="BB55" i="48"/>
  <c r="BA55" i="48"/>
  <c r="BA58" i="48"/>
  <c r="AZ58" i="48"/>
  <c r="K54" i="48"/>
  <c r="J54" i="48"/>
  <c r="I54" i="48"/>
  <c r="K53" i="48"/>
  <c r="J53" i="48"/>
  <c r="I53" i="48"/>
  <c r="H53" i="48"/>
  <c r="G53" i="48"/>
  <c r="F53" i="48"/>
  <c r="E53" i="48"/>
  <c r="D53" i="48"/>
  <c r="C53" i="48"/>
  <c r="AC81" i="14" l="1"/>
  <c r="BW9" i="48"/>
  <c r="BX9" i="48" s="1"/>
  <c r="AC41" i="14"/>
  <c r="AD33" i="14"/>
  <c r="AD75" i="14" s="1"/>
  <c r="AD51" i="14"/>
  <c r="AC28" i="14"/>
  <c r="AC85" i="13"/>
  <c r="AD50" i="14"/>
  <c r="AD5" i="14"/>
  <c r="AD25" i="14"/>
  <c r="AD28" i="14" s="1"/>
  <c r="AC55" i="14"/>
  <c r="AC75" i="14"/>
  <c r="AB48" i="17"/>
  <c r="F57" i="48"/>
  <c r="K58" i="48"/>
  <c r="BH57" i="48"/>
  <c r="E57" i="48"/>
  <c r="I57" i="48"/>
  <c r="BH58" i="48"/>
  <c r="BH55" i="48"/>
  <c r="BH59" i="48" s="1"/>
  <c r="D57" i="48"/>
  <c r="H57" i="48"/>
  <c r="BB59" i="48"/>
  <c r="BF59" i="48"/>
  <c r="G57" i="48"/>
  <c r="BL59" i="48"/>
  <c r="J57" i="48"/>
  <c r="AE69" i="48"/>
  <c r="AO69" i="48"/>
  <c r="AD69" i="48"/>
  <c r="C57" i="48"/>
  <c r="AG69" i="48"/>
  <c r="AB22" i="1"/>
  <c r="AG23" i="1" s="1"/>
  <c r="AP9" i="48"/>
  <c r="BJ59" i="48"/>
  <c r="BM59" i="48"/>
  <c r="BM67" i="48" s="1"/>
  <c r="J58" i="48"/>
  <c r="K57" i="48"/>
  <c r="BK59" i="48"/>
  <c r="BM61" i="48"/>
  <c r="BM63" i="48" s="1"/>
  <c r="BC61" i="48"/>
  <c r="BC63" i="48" s="1"/>
  <c r="BG61" i="48"/>
  <c r="BG63" i="48" s="1"/>
  <c r="BK61" i="48"/>
  <c r="BK63" i="48" s="1"/>
  <c r="BL65" i="48"/>
  <c r="AP69" i="48"/>
  <c r="AA69" i="48"/>
  <c r="AJ69" i="48"/>
  <c r="AX55" i="48"/>
  <c r="I55" i="48"/>
  <c r="BJ61" i="48"/>
  <c r="BJ63" i="48" s="1"/>
  <c r="J55" i="48"/>
  <c r="H54" i="48"/>
  <c r="I58" i="48" s="1"/>
  <c r="L54" i="48"/>
  <c r="AZ55" i="48"/>
  <c r="BA61" i="48" s="1"/>
  <c r="BA63" i="48" s="1"/>
  <c r="BE59" i="48"/>
  <c r="BD61" i="48"/>
  <c r="BD63" i="48" s="1"/>
  <c r="BD59" i="48"/>
  <c r="BB61" i="48"/>
  <c r="BB63" i="48" s="1"/>
  <c r="BE61" i="48"/>
  <c r="BE63" i="48" s="1"/>
  <c r="L53" i="48"/>
  <c r="L57" i="48" s="1"/>
  <c r="K55" i="48"/>
  <c r="BF61" i="48"/>
  <c r="BF63" i="48" s="1"/>
  <c r="AY55" i="48"/>
  <c r="BC59" i="48"/>
  <c r="BG59" i="48"/>
  <c r="BL61" i="48"/>
  <c r="BL63" i="48" s="1"/>
  <c r="BY9" i="48" l="1"/>
  <c r="AD41" i="14"/>
  <c r="AD55" i="14"/>
  <c r="BI61" i="48"/>
  <c r="BI63" i="48" s="1"/>
  <c r="BH61" i="48"/>
  <c r="BH63" i="48" s="1"/>
  <c r="BI59" i="48"/>
  <c r="AQ9" i="48"/>
  <c r="J59" i="48"/>
  <c r="J61" i="48"/>
  <c r="J63" i="48" s="1"/>
  <c r="K61" i="48"/>
  <c r="K63" i="48" s="1"/>
  <c r="K59" i="48"/>
  <c r="BL67" i="48"/>
  <c r="AY58" i="48"/>
  <c r="H55" i="48"/>
  <c r="AY61" i="48"/>
  <c r="AY63" i="48" s="1"/>
  <c r="AZ59" i="48"/>
  <c r="BA59" i="48"/>
  <c r="AZ61" i="48"/>
  <c r="AZ63" i="48" s="1"/>
  <c r="M54" i="48"/>
  <c r="M58" i="48" s="1"/>
  <c r="L58" i="48"/>
  <c r="L55" i="48"/>
  <c r="M53" i="48"/>
  <c r="M57" i="48" s="1"/>
  <c r="AY59" i="48"/>
  <c r="B2" i="46"/>
  <c r="C2" i="46"/>
  <c r="D2" i="46"/>
  <c r="E2" i="46"/>
  <c r="F2" i="46"/>
  <c r="G2" i="46"/>
  <c r="H2" i="46"/>
  <c r="I2" i="46"/>
  <c r="J2" i="46"/>
  <c r="K2" i="46"/>
  <c r="L2" i="46"/>
  <c r="M2" i="46"/>
  <c r="N2" i="46"/>
  <c r="O2" i="46"/>
  <c r="P2" i="46"/>
  <c r="Q2" i="46"/>
  <c r="R2" i="46"/>
  <c r="S2" i="46"/>
  <c r="T2" i="46"/>
  <c r="U2" i="46"/>
  <c r="V2" i="46"/>
  <c r="AL2" i="46" s="1"/>
  <c r="W2" i="46"/>
  <c r="AM2" i="46" s="1"/>
  <c r="X2" i="46"/>
  <c r="AN2" i="46" s="1"/>
  <c r="Y2" i="46"/>
  <c r="AO2" i="46" s="1"/>
  <c r="Z2" i="46"/>
  <c r="AA2" i="46"/>
  <c r="W23" i="40"/>
  <c r="W24" i="40"/>
  <c r="W25" i="40"/>
  <c r="W26" i="40"/>
  <c r="U21" i="40"/>
  <c r="T21" i="40"/>
  <c r="S21" i="40"/>
  <c r="R21" i="40"/>
  <c r="Q21" i="40"/>
  <c r="U20" i="40"/>
  <c r="T20" i="40"/>
  <c r="S20" i="40"/>
  <c r="R20" i="40"/>
  <c r="Q20" i="40"/>
  <c r="U19" i="40"/>
  <c r="T19" i="40"/>
  <c r="S19" i="40"/>
  <c r="R19" i="40"/>
  <c r="Q19" i="40"/>
  <c r="A21" i="40"/>
  <c r="A20" i="40"/>
  <c r="A19" i="40"/>
  <c r="A18" i="40"/>
  <c r="A22" i="40"/>
  <c r="AB27" i="41"/>
  <c r="AA27" i="41"/>
  <c r="Y21" i="41"/>
  <c r="T21" i="41"/>
  <c r="O21" i="41"/>
  <c r="J21" i="41"/>
  <c r="E21" i="41"/>
  <c r="Y20" i="41"/>
  <c r="T20" i="41"/>
  <c r="O20" i="41"/>
  <c r="J20" i="41"/>
  <c r="E20" i="41"/>
  <c r="Y19" i="41"/>
  <c r="T19" i="41"/>
  <c r="O19" i="41"/>
  <c r="J19" i="41"/>
  <c r="E19" i="41"/>
  <c r="L104" i="48"/>
  <c r="P105" i="48"/>
  <c r="AP125" i="48"/>
  <c r="AO125" i="48"/>
  <c r="AL125" i="48"/>
  <c r="AK125" i="48"/>
  <c r="AH125" i="48"/>
  <c r="AG125" i="48"/>
  <c r="AD125" i="48"/>
  <c r="AC125" i="48"/>
  <c r="Z125" i="48"/>
  <c r="Y125" i="48"/>
  <c r="M112" i="48"/>
  <c r="L112" i="48"/>
  <c r="M84" i="48"/>
  <c r="L84" i="48"/>
  <c r="C162" i="48"/>
  <c r="D162" i="48"/>
  <c r="E162" i="48"/>
  <c r="F162" i="48"/>
  <c r="K157" i="48"/>
  <c r="J157" i="48"/>
  <c r="I157" i="48"/>
  <c r="H157" i="48"/>
  <c r="G157" i="48"/>
  <c r="F157" i="48"/>
  <c r="E157" i="48"/>
  <c r="D157" i="48"/>
  <c r="C157" i="48"/>
  <c r="B157" i="48"/>
  <c r="K156" i="48"/>
  <c r="J156" i="48"/>
  <c r="I156" i="48"/>
  <c r="H156" i="48"/>
  <c r="G156" i="48"/>
  <c r="F156" i="48"/>
  <c r="E156" i="48"/>
  <c r="D156" i="48"/>
  <c r="C156" i="48"/>
  <c r="B156" i="48"/>
  <c r="K155" i="48"/>
  <c r="J155" i="48"/>
  <c r="I155" i="48"/>
  <c r="H155" i="48"/>
  <c r="G155" i="48"/>
  <c r="F155" i="48"/>
  <c r="E155" i="48"/>
  <c r="D155" i="48"/>
  <c r="C155" i="48"/>
  <c r="B155" i="48"/>
  <c r="K152" i="48"/>
  <c r="J152" i="48"/>
  <c r="I152" i="48"/>
  <c r="H152" i="48"/>
  <c r="G152" i="48"/>
  <c r="F152" i="48"/>
  <c r="E152" i="48"/>
  <c r="D152" i="48"/>
  <c r="C152" i="48"/>
  <c r="B152" i="48"/>
  <c r="K151" i="48"/>
  <c r="J151" i="48"/>
  <c r="I151" i="48"/>
  <c r="H151" i="48"/>
  <c r="G151" i="48"/>
  <c r="F151" i="48"/>
  <c r="E151" i="48"/>
  <c r="D151" i="48"/>
  <c r="C151" i="48"/>
  <c r="B151" i="48"/>
  <c r="K150" i="48"/>
  <c r="J150" i="48"/>
  <c r="I150" i="48"/>
  <c r="H150" i="48"/>
  <c r="G150" i="48"/>
  <c r="F150" i="48"/>
  <c r="E150" i="48"/>
  <c r="D150" i="48"/>
  <c r="C150" i="48"/>
  <c r="B150" i="48"/>
  <c r="K147" i="48"/>
  <c r="J147" i="48"/>
  <c r="I147" i="48"/>
  <c r="H147" i="48"/>
  <c r="G147" i="48"/>
  <c r="F147" i="48"/>
  <c r="E147" i="48"/>
  <c r="D147" i="48"/>
  <c r="C147" i="48"/>
  <c r="B147" i="48"/>
  <c r="K146" i="48"/>
  <c r="J146" i="48"/>
  <c r="I146" i="48"/>
  <c r="H146" i="48"/>
  <c r="G146" i="48"/>
  <c r="F146" i="48"/>
  <c r="E146" i="48"/>
  <c r="D146" i="48"/>
  <c r="C146" i="48"/>
  <c r="B146" i="48"/>
  <c r="K145" i="48"/>
  <c r="J145" i="48"/>
  <c r="I145" i="48"/>
  <c r="H145" i="48"/>
  <c r="G145" i="48"/>
  <c r="F145" i="48"/>
  <c r="E145" i="48"/>
  <c r="D145" i="48"/>
  <c r="C145" i="48"/>
  <c r="B145" i="48"/>
  <c r="K142" i="48"/>
  <c r="J142" i="48"/>
  <c r="I142" i="48"/>
  <c r="H142" i="48"/>
  <c r="G142" i="48"/>
  <c r="F142" i="48"/>
  <c r="E142" i="48"/>
  <c r="D142" i="48"/>
  <c r="C142" i="48"/>
  <c r="B142" i="48"/>
  <c r="K141" i="48"/>
  <c r="J141" i="48"/>
  <c r="I141" i="48"/>
  <c r="H141" i="48"/>
  <c r="G141" i="48"/>
  <c r="F141" i="48"/>
  <c r="E141" i="48"/>
  <c r="D141" i="48"/>
  <c r="C141" i="48"/>
  <c r="B141" i="48"/>
  <c r="K140" i="48"/>
  <c r="J140" i="48"/>
  <c r="I140" i="48"/>
  <c r="H140" i="48"/>
  <c r="G140" i="48"/>
  <c r="F140" i="48"/>
  <c r="E140" i="48"/>
  <c r="D140" i="48"/>
  <c r="C140" i="48"/>
  <c r="B140" i="48"/>
  <c r="K137" i="48"/>
  <c r="J137" i="48"/>
  <c r="I137" i="48"/>
  <c r="H137" i="48"/>
  <c r="G137" i="48"/>
  <c r="F137" i="48"/>
  <c r="E137" i="48"/>
  <c r="D137" i="48"/>
  <c r="C137" i="48"/>
  <c r="B137" i="48"/>
  <c r="K136" i="48"/>
  <c r="J136" i="48"/>
  <c r="I136" i="48"/>
  <c r="H136" i="48"/>
  <c r="G136" i="48"/>
  <c r="F136" i="48"/>
  <c r="E136" i="48"/>
  <c r="D136" i="48"/>
  <c r="C136" i="48"/>
  <c r="B136" i="48"/>
  <c r="K135" i="48"/>
  <c r="J135" i="48"/>
  <c r="I135" i="48"/>
  <c r="H135" i="48"/>
  <c r="G135" i="48"/>
  <c r="F135" i="48"/>
  <c r="E135" i="48"/>
  <c r="D135" i="48"/>
  <c r="C135" i="48"/>
  <c r="B135" i="48"/>
  <c r="K132" i="48"/>
  <c r="J132" i="48"/>
  <c r="I132" i="48"/>
  <c r="H132" i="48"/>
  <c r="G132" i="48"/>
  <c r="F132" i="48"/>
  <c r="E132" i="48"/>
  <c r="D132" i="48"/>
  <c r="C132" i="48"/>
  <c r="B132" i="48"/>
  <c r="K131" i="48"/>
  <c r="J131" i="48"/>
  <c r="I131" i="48"/>
  <c r="H131" i="48"/>
  <c r="G131" i="48"/>
  <c r="F131" i="48"/>
  <c r="E131" i="48"/>
  <c r="D131" i="48"/>
  <c r="C131" i="48"/>
  <c r="B131" i="48"/>
  <c r="B130" i="48"/>
  <c r="K130" i="48"/>
  <c r="J130" i="48"/>
  <c r="I130" i="48"/>
  <c r="H130" i="48"/>
  <c r="G130" i="48"/>
  <c r="F130" i="48"/>
  <c r="E130" i="48"/>
  <c r="D130" i="48"/>
  <c r="C130" i="48"/>
  <c r="B124" i="48"/>
  <c r="C124" i="48"/>
  <c r="D124" i="48"/>
  <c r="E124" i="48"/>
  <c r="F124" i="48"/>
  <c r="B108" i="48"/>
  <c r="C108" i="48"/>
  <c r="D108" i="48"/>
  <c r="E108" i="48"/>
  <c r="F108" i="48"/>
  <c r="G108" i="48"/>
  <c r="H108" i="48"/>
  <c r="I108" i="48"/>
  <c r="J108" i="48"/>
  <c r="K108" i="48"/>
  <c r="L108" i="48"/>
  <c r="M108" i="48"/>
  <c r="N108" i="48"/>
  <c r="O108" i="48"/>
  <c r="P108" i="48"/>
  <c r="Q108" i="48"/>
  <c r="CF108" i="48" s="1"/>
  <c r="O105" i="48"/>
  <c r="F105" i="48"/>
  <c r="E105" i="48"/>
  <c r="D105" i="48"/>
  <c r="C105" i="48"/>
  <c r="B105" i="48"/>
  <c r="B80" i="48"/>
  <c r="C80" i="48"/>
  <c r="D80" i="48"/>
  <c r="E80" i="48"/>
  <c r="F80" i="48"/>
  <c r="G80" i="48"/>
  <c r="H80" i="48"/>
  <c r="I80" i="48"/>
  <c r="J80" i="48"/>
  <c r="K80" i="48"/>
  <c r="L80" i="48"/>
  <c r="M80" i="48"/>
  <c r="N80" i="48"/>
  <c r="O80" i="48"/>
  <c r="P80" i="48"/>
  <c r="Q80" i="48"/>
  <c r="B77" i="48"/>
  <c r="C77" i="48"/>
  <c r="D77" i="48"/>
  <c r="E77" i="48"/>
  <c r="F77" i="48"/>
  <c r="AA7" i="48"/>
  <c r="Z7" i="48"/>
  <c r="Y7" i="48"/>
  <c r="X7" i="48"/>
  <c r="B45" i="48"/>
  <c r="C45" i="48"/>
  <c r="D45" i="48"/>
  <c r="E45" i="48"/>
  <c r="F45" i="48"/>
  <c r="G45" i="48"/>
  <c r="H45" i="48"/>
  <c r="I45" i="48"/>
  <c r="J45" i="48"/>
  <c r="K45" i="48"/>
  <c r="L45" i="48"/>
  <c r="M45" i="48"/>
  <c r="N45" i="48"/>
  <c r="O45" i="48"/>
  <c r="BX45" i="48" s="1"/>
  <c r="P45" i="48"/>
  <c r="Q45" i="48"/>
  <c r="CF45" i="48" s="1"/>
  <c r="CG45" i="48" s="1"/>
  <c r="CH45" i="48" s="1"/>
  <c r="CI45" i="48" s="1"/>
  <c r="L41" i="48"/>
  <c r="L65" i="48" s="1"/>
  <c r="F42" i="48"/>
  <c r="F69" i="48" s="1"/>
  <c r="E42" i="48"/>
  <c r="E69" i="48" s="1"/>
  <c r="D42" i="48"/>
  <c r="D69" i="48" s="1"/>
  <c r="C42" i="48"/>
  <c r="C69" i="48" s="1"/>
  <c r="B42" i="48"/>
  <c r="O6" i="48"/>
  <c r="P6" i="48"/>
  <c r="K18" i="48"/>
  <c r="J18" i="48"/>
  <c r="I18" i="48"/>
  <c r="C17" i="48"/>
  <c r="D17" i="48"/>
  <c r="E17" i="48"/>
  <c r="F17" i="48"/>
  <c r="G17" i="48"/>
  <c r="H17" i="48"/>
  <c r="I17" i="48"/>
  <c r="J17" i="48"/>
  <c r="K17" i="48"/>
  <c r="F6" i="48"/>
  <c r="E6" i="48"/>
  <c r="D6" i="48"/>
  <c r="C6" i="48"/>
  <c r="B6" i="48"/>
  <c r="B5" i="48"/>
  <c r="BZ9" i="48" l="1"/>
  <c r="AQ2" i="46"/>
  <c r="AP2" i="46"/>
  <c r="K21" i="48"/>
  <c r="M5" i="48"/>
  <c r="Y21" i="8"/>
  <c r="G21" i="48"/>
  <c r="M104" i="48"/>
  <c r="I59" i="48"/>
  <c r="I61" i="48"/>
  <c r="I63" i="48" s="1"/>
  <c r="L66" i="48"/>
  <c r="AX58" i="48"/>
  <c r="AW55" i="48"/>
  <c r="M55" i="48"/>
  <c r="M59" i="48" s="1"/>
  <c r="N53" i="48"/>
  <c r="N57" i="48" s="1"/>
  <c r="N65" i="48" s="1"/>
  <c r="N54" i="48"/>
  <c r="N58" i="48" s="1"/>
  <c r="N66" i="48" s="1"/>
  <c r="L61" i="48"/>
  <c r="L63" i="48" s="1"/>
  <c r="L59" i="48"/>
  <c r="M41" i="48"/>
  <c r="M66" i="48" s="1"/>
  <c r="B7" i="48"/>
  <c r="J21" i="48"/>
  <c r="F21" i="48"/>
  <c r="F34" i="48" s="1"/>
  <c r="K22" i="48"/>
  <c r="K19" i="48"/>
  <c r="P7" i="48"/>
  <c r="P106" i="48"/>
  <c r="F125" i="48"/>
  <c r="I21" i="48"/>
  <c r="E21" i="48"/>
  <c r="E34" i="48" s="1"/>
  <c r="H21" i="48"/>
  <c r="D21" i="48"/>
  <c r="D34" i="48" s="1"/>
  <c r="D125" i="48"/>
  <c r="J22" i="48"/>
  <c r="O7" i="48"/>
  <c r="C125" i="48"/>
  <c r="O106" i="48"/>
  <c r="I19" i="48"/>
  <c r="J19" i="48"/>
  <c r="E125" i="48"/>
  <c r="BK104" i="48"/>
  <c r="BJ104" i="48"/>
  <c r="BI104" i="48"/>
  <c r="BH104" i="48"/>
  <c r="BG104" i="48"/>
  <c r="BF104" i="48"/>
  <c r="BE104" i="48"/>
  <c r="BD104" i="48"/>
  <c r="BC104" i="48"/>
  <c r="BB104" i="48"/>
  <c r="BA104" i="48"/>
  <c r="AZ104" i="48"/>
  <c r="AY104" i="48"/>
  <c r="AX104" i="48"/>
  <c r="AW104" i="48"/>
  <c r="AV104" i="48"/>
  <c r="AU104" i="48"/>
  <c r="AT104" i="48"/>
  <c r="AS104" i="48"/>
  <c r="AR104" i="48"/>
  <c r="AQ104" i="48"/>
  <c r="AQ106" i="48" s="1"/>
  <c r="AP104" i="48"/>
  <c r="AP106" i="48" s="1"/>
  <c r="AO104" i="48"/>
  <c r="AO106" i="48" s="1"/>
  <c r="AN104" i="48"/>
  <c r="AM104" i="48"/>
  <c r="AM106" i="48" s="1"/>
  <c r="AL104" i="48"/>
  <c r="AL106" i="48" s="1"/>
  <c r="AK104" i="48"/>
  <c r="AK106" i="48" s="1"/>
  <c r="AJ104" i="48"/>
  <c r="AI104" i="48"/>
  <c r="AI106" i="48" s="1"/>
  <c r="AH104" i="48"/>
  <c r="AH106" i="48" s="1"/>
  <c r="AG104" i="48"/>
  <c r="AG106" i="48" s="1"/>
  <c r="AF104" i="48"/>
  <c r="AE104" i="48"/>
  <c r="AE106" i="48" s="1"/>
  <c r="AD104" i="48"/>
  <c r="AD106" i="48" s="1"/>
  <c r="AC104" i="48"/>
  <c r="AC106" i="48" s="1"/>
  <c r="AB104" i="48"/>
  <c r="AA104" i="48"/>
  <c r="AA106" i="48" s="1"/>
  <c r="Z104" i="48"/>
  <c r="Z106" i="48" s="1"/>
  <c r="Y104" i="48"/>
  <c r="Y106" i="48" s="1"/>
  <c r="X104" i="48"/>
  <c r="K90" i="48"/>
  <c r="J90" i="48"/>
  <c r="I90" i="48"/>
  <c r="H90" i="48"/>
  <c r="AQ92" i="48"/>
  <c r="AO92" i="48"/>
  <c r="F90" i="48"/>
  <c r="F92" i="48" s="1"/>
  <c r="AM92" i="48"/>
  <c r="AL92" i="48"/>
  <c r="AK92" i="48"/>
  <c r="E90" i="48"/>
  <c r="E92" i="48" s="1"/>
  <c r="D90" i="48"/>
  <c r="D92" i="48" s="1"/>
  <c r="AQ78" i="48"/>
  <c r="AP78" i="48"/>
  <c r="AO78" i="48"/>
  <c r="AM78" i="48"/>
  <c r="AL78" i="48"/>
  <c r="AK78" i="48"/>
  <c r="AI78" i="48"/>
  <c r="AH78" i="48"/>
  <c r="AG78" i="48"/>
  <c r="AE78" i="48"/>
  <c r="AD78" i="48"/>
  <c r="AC78" i="48"/>
  <c r="AA78" i="48"/>
  <c r="Z78" i="48"/>
  <c r="Y78" i="48"/>
  <c r="AQ124" i="48"/>
  <c r="AQ125" i="48" s="1"/>
  <c r="AM124" i="48"/>
  <c r="AI124" i="48"/>
  <c r="AE124" i="48"/>
  <c r="AA124" i="48"/>
  <c r="BH124" i="48"/>
  <c r="BI124" i="48"/>
  <c r="BJ124" i="48"/>
  <c r="BD124" i="48"/>
  <c r="BE124" i="48"/>
  <c r="BF124" i="48"/>
  <c r="AZ124" i="48"/>
  <c r="BA124" i="48"/>
  <c r="BB124" i="48"/>
  <c r="AV124" i="48"/>
  <c r="AW124" i="48"/>
  <c r="AX124" i="48"/>
  <c r="AR124" i="48"/>
  <c r="AS124" i="48"/>
  <c r="AT124" i="48"/>
  <c r="BP108" i="48"/>
  <c r="BQ108" i="48" s="1"/>
  <c r="BL108" i="48"/>
  <c r="BH108" i="48"/>
  <c r="BD108" i="48"/>
  <c r="BE108" i="48" s="1"/>
  <c r="AZ108" i="48"/>
  <c r="AV108" i="48"/>
  <c r="AR108" i="48"/>
  <c r="AS108" i="48" s="1"/>
  <c r="AN108" i="48"/>
  <c r="AJ108" i="48"/>
  <c r="AF108" i="48"/>
  <c r="AG108" i="48" s="1"/>
  <c r="AB108" i="48"/>
  <c r="X108" i="48"/>
  <c r="BM105" i="48"/>
  <c r="BL105" i="48"/>
  <c r="BJ105" i="48"/>
  <c r="BI105" i="48"/>
  <c r="BH105" i="48"/>
  <c r="BF105" i="48"/>
  <c r="BE105" i="48"/>
  <c r="BD105" i="48"/>
  <c r="BB105" i="48"/>
  <c r="BA105" i="48"/>
  <c r="AZ105" i="48"/>
  <c r="AX105" i="48"/>
  <c r="AW105" i="48"/>
  <c r="AV105" i="48"/>
  <c r="AT105" i="48"/>
  <c r="AS105" i="48"/>
  <c r="AR105" i="48"/>
  <c r="BP94" i="48"/>
  <c r="BQ94" i="48" s="1"/>
  <c r="BL94" i="48"/>
  <c r="BM94" i="48" s="1"/>
  <c r="BH94" i="48"/>
  <c r="BI94" i="48" s="1"/>
  <c r="BD94" i="48"/>
  <c r="BE94" i="48" s="1"/>
  <c r="AZ94" i="48"/>
  <c r="BA94" i="48" s="1"/>
  <c r="AV94" i="48"/>
  <c r="AW94" i="48" s="1"/>
  <c r="AR94" i="48"/>
  <c r="AS94" i="48" s="1"/>
  <c r="AN94" i="48"/>
  <c r="AO94" i="48" s="1"/>
  <c r="AJ94" i="48"/>
  <c r="AK94" i="48" s="1"/>
  <c r="AF94" i="48"/>
  <c r="AG94" i="48" s="1"/>
  <c r="AB94" i="48"/>
  <c r="AC94" i="48" s="1"/>
  <c r="X94" i="48"/>
  <c r="Y94" i="48" s="1"/>
  <c r="BM91" i="48"/>
  <c r="BL91" i="48"/>
  <c r="BJ91" i="48"/>
  <c r="BI91" i="48"/>
  <c r="BH91" i="48"/>
  <c r="BF91" i="48"/>
  <c r="BE91" i="48"/>
  <c r="BD91" i="48"/>
  <c r="BB91" i="48"/>
  <c r="BA91" i="48"/>
  <c r="AZ91" i="48"/>
  <c r="AX91" i="48"/>
  <c r="AW91" i="48"/>
  <c r="AV91" i="48"/>
  <c r="AT91" i="48"/>
  <c r="AT90" i="48" s="1"/>
  <c r="AS91" i="48"/>
  <c r="AS90" i="48" s="1"/>
  <c r="AR91" i="48"/>
  <c r="AR90" i="48" s="1"/>
  <c r="AP92" i="48"/>
  <c r="AH92" i="48"/>
  <c r="AG92" i="48"/>
  <c r="AF92" i="48"/>
  <c r="AE92" i="48"/>
  <c r="AD92" i="48"/>
  <c r="AC92" i="48"/>
  <c r="AB92" i="48"/>
  <c r="AA92" i="48"/>
  <c r="Z92" i="48"/>
  <c r="Y92" i="48"/>
  <c r="X92" i="48"/>
  <c r="BP80" i="48"/>
  <c r="BL80" i="48"/>
  <c r="BH80" i="48"/>
  <c r="BD80" i="48"/>
  <c r="AZ80" i="48"/>
  <c r="BA80" i="48" s="1"/>
  <c r="AV80" i="48"/>
  <c r="AW80" i="48" s="1"/>
  <c r="AR80" i="48"/>
  <c r="AN80" i="48"/>
  <c r="AO80" i="48" s="1"/>
  <c r="AP80" i="48" s="1"/>
  <c r="AJ80" i="48"/>
  <c r="AK80" i="48" s="1"/>
  <c r="AF80" i="48"/>
  <c r="AB80" i="48"/>
  <c r="AC80" i="48" s="1"/>
  <c r="X80" i="48"/>
  <c r="Y80" i="48" s="1"/>
  <c r="Z80" i="48" s="1"/>
  <c r="BM77" i="48"/>
  <c r="BM76" i="48" s="1"/>
  <c r="BL77" i="48"/>
  <c r="BL76" i="48" s="1"/>
  <c r="BJ77" i="48"/>
  <c r="BJ76" i="48" s="1"/>
  <c r="BI77" i="48"/>
  <c r="BI76" i="48" s="1"/>
  <c r="BH77" i="48"/>
  <c r="BH76" i="48" s="1"/>
  <c r="BF77" i="48"/>
  <c r="BF76" i="48" s="1"/>
  <c r="BE77" i="48"/>
  <c r="BE76" i="48" s="1"/>
  <c r="BD77" i="48"/>
  <c r="BD76" i="48" s="1"/>
  <c r="BB77" i="48"/>
  <c r="BB76" i="48" s="1"/>
  <c r="BA77" i="48"/>
  <c r="BA76" i="48" s="1"/>
  <c r="AZ77" i="48"/>
  <c r="AZ76" i="48" s="1"/>
  <c r="AX77" i="48"/>
  <c r="AX76" i="48" s="1"/>
  <c r="AW77" i="48"/>
  <c r="AW76" i="48" s="1"/>
  <c r="AV77" i="48"/>
  <c r="AV76" i="48" s="1"/>
  <c r="AT77" i="48"/>
  <c r="AT76" i="48" s="1"/>
  <c r="AS77" i="48"/>
  <c r="AS76" i="48" s="1"/>
  <c r="AR77" i="48"/>
  <c r="AR76" i="48" s="1"/>
  <c r="AD41" i="48"/>
  <c r="AD65" i="48" s="1"/>
  <c r="AC41" i="48"/>
  <c r="AC65" i="48" s="1"/>
  <c r="AB41" i="48"/>
  <c r="AB65" i="48" s="1"/>
  <c r="AA41" i="48"/>
  <c r="AA65" i="48" s="1"/>
  <c r="Z41" i="48"/>
  <c r="Z65" i="48" s="1"/>
  <c r="Y41" i="48"/>
  <c r="Y65" i="48" s="1"/>
  <c r="X41" i="48"/>
  <c r="AE41" i="48"/>
  <c r="AE65" i="48" s="1"/>
  <c r="AF41" i="48"/>
  <c r="AF65" i="48" s="1"/>
  <c r="AG41" i="48"/>
  <c r="AG65" i="48" s="1"/>
  <c r="AH41" i="48"/>
  <c r="AH65" i="48" s="1"/>
  <c r="AI41" i="48"/>
  <c r="AI65" i="48" s="1"/>
  <c r="AM41" i="48"/>
  <c r="AM65" i="48" s="1"/>
  <c r="AL41" i="48"/>
  <c r="AL65" i="48" s="1"/>
  <c r="AK41" i="48"/>
  <c r="AK65" i="48" s="1"/>
  <c r="AJ41" i="48"/>
  <c r="AJ65" i="48" s="1"/>
  <c r="AN41" i="48"/>
  <c r="AN65" i="48" s="1"/>
  <c r="AZ41" i="48"/>
  <c r="AZ67" i="48" s="1"/>
  <c r="AY41" i="48"/>
  <c r="AY67" i="48" s="1"/>
  <c r="AX41" i="48"/>
  <c r="AX65" i="48" s="1"/>
  <c r="AW41" i="48"/>
  <c r="AW65" i="48" s="1"/>
  <c r="AV41" i="48"/>
  <c r="AV65" i="48" s="1"/>
  <c r="AU41" i="48"/>
  <c r="AU65" i="48" s="1"/>
  <c r="AT41" i="48"/>
  <c r="AT65" i="48" s="1"/>
  <c r="AS41" i="48"/>
  <c r="AS65" i="48" s="1"/>
  <c r="AR41" i="48"/>
  <c r="AR65" i="48" s="1"/>
  <c r="AQ41" i="48"/>
  <c r="AQ65" i="48" s="1"/>
  <c r="AP41" i="48"/>
  <c r="AP65" i="48" s="1"/>
  <c r="AO41" i="48"/>
  <c r="AO65" i="48" s="1"/>
  <c r="BA41" i="48"/>
  <c r="BB41" i="48"/>
  <c r="BC41" i="48"/>
  <c r="BD41" i="48"/>
  <c r="BE41" i="48"/>
  <c r="BF41" i="48"/>
  <c r="BG41" i="48"/>
  <c r="BH41" i="48"/>
  <c r="BI41" i="48"/>
  <c r="BJ41" i="48"/>
  <c r="BK41" i="48"/>
  <c r="Z21" i="8" l="1"/>
  <c r="CA9" i="48"/>
  <c r="L90" i="48"/>
  <c r="M90" i="48"/>
  <c r="K25" i="48"/>
  <c r="K28" i="48" s="1"/>
  <c r="BH66" i="48"/>
  <c r="BH65" i="48"/>
  <c r="BH67" i="48"/>
  <c r="BK65" i="48"/>
  <c r="BK66" i="48"/>
  <c r="BK67" i="48"/>
  <c r="BC65" i="48"/>
  <c r="BC66" i="48"/>
  <c r="BC67" i="48"/>
  <c r="BJ65" i="48"/>
  <c r="BJ66" i="48"/>
  <c r="BJ67" i="48"/>
  <c r="BF67" i="48"/>
  <c r="BF66" i="48"/>
  <c r="BF65" i="48"/>
  <c r="BB65" i="48"/>
  <c r="BB67" i="48"/>
  <c r="BB66" i="48"/>
  <c r="AY65" i="48"/>
  <c r="AY66" i="48"/>
  <c r="M65" i="48"/>
  <c r="BD66" i="48"/>
  <c r="BD65" i="48"/>
  <c r="BD67" i="48"/>
  <c r="BG66" i="48"/>
  <c r="BG65" i="48"/>
  <c r="BG67" i="48"/>
  <c r="BI66" i="48"/>
  <c r="BI65" i="48"/>
  <c r="BI67" i="48"/>
  <c r="BE65" i="48"/>
  <c r="BE66" i="48"/>
  <c r="BE67" i="48"/>
  <c r="BA65" i="48"/>
  <c r="BA66" i="48"/>
  <c r="AZ65" i="48"/>
  <c r="AZ66" i="48"/>
  <c r="BA67" i="48"/>
  <c r="AS125" i="48"/>
  <c r="AW125" i="48"/>
  <c r="BA125" i="48"/>
  <c r="M67" i="48"/>
  <c r="L67" i="48"/>
  <c r="AX61" i="48"/>
  <c r="AX63" i="48" s="1"/>
  <c r="AX59" i="48"/>
  <c r="AW58" i="48"/>
  <c r="AV55" i="48"/>
  <c r="AX66" i="48"/>
  <c r="O54" i="48"/>
  <c r="O58" i="48" s="1"/>
  <c r="N55" i="48"/>
  <c r="O53" i="48"/>
  <c r="O57" i="48" s="1"/>
  <c r="M61" i="48"/>
  <c r="M63" i="48" s="1"/>
  <c r="AT125" i="48"/>
  <c r="AX125" i="48"/>
  <c r="BB125" i="48"/>
  <c r="BF125" i="48"/>
  <c r="BJ125" i="48"/>
  <c r="BI125" i="48"/>
  <c r="AR125" i="48"/>
  <c r="AI125" i="48"/>
  <c r="AJ125" i="48"/>
  <c r="AM125" i="48"/>
  <c r="AN125" i="48"/>
  <c r="AA125" i="48"/>
  <c r="AB125" i="48"/>
  <c r="BE125" i="48"/>
  <c r="AE125" i="48"/>
  <c r="AF125" i="48"/>
  <c r="AT92" i="48"/>
  <c r="AX92" i="48"/>
  <c r="BF92" i="48"/>
  <c r="BJ92" i="48"/>
  <c r="J41" i="48"/>
  <c r="D41" i="48"/>
  <c r="E41" i="48"/>
  <c r="B41" i="48"/>
  <c r="B43" i="48" s="1"/>
  <c r="C41" i="48"/>
  <c r="AJ92" i="48"/>
  <c r="AN92" i="48"/>
  <c r="X106" i="48"/>
  <c r="B104" i="48"/>
  <c r="B106" i="48" s="1"/>
  <c r="AB106" i="48"/>
  <c r="C104" i="48"/>
  <c r="C106" i="48" s="1"/>
  <c r="AF106" i="48"/>
  <c r="D104" i="48"/>
  <c r="D106" i="48" s="1"/>
  <c r="AJ106" i="48"/>
  <c r="E104" i="48"/>
  <c r="E106" i="48" s="1"/>
  <c r="AN106" i="48"/>
  <c r="F104" i="48"/>
  <c r="F106" i="48" s="1"/>
  <c r="G104" i="48"/>
  <c r="H104" i="48"/>
  <c r="I104" i="48"/>
  <c r="J104" i="48"/>
  <c r="K104" i="48"/>
  <c r="J23" i="48"/>
  <c r="G41" i="48"/>
  <c r="G65" i="48" s="1"/>
  <c r="H41" i="48"/>
  <c r="H65" i="48" s="1"/>
  <c r="I41" i="48"/>
  <c r="K23" i="48"/>
  <c r="J25" i="48"/>
  <c r="J28" i="48" s="1"/>
  <c r="K41" i="48"/>
  <c r="F41" i="48"/>
  <c r="X78" i="48"/>
  <c r="B76" i="48"/>
  <c r="B78" i="48" s="1"/>
  <c r="AB78" i="48"/>
  <c r="C76" i="48"/>
  <c r="C78" i="48" s="1"/>
  <c r="AF78" i="48"/>
  <c r="D76" i="48"/>
  <c r="D78" i="48" s="1"/>
  <c r="AJ78" i="48"/>
  <c r="E76" i="48"/>
  <c r="E78" i="48" s="1"/>
  <c r="AN78" i="48"/>
  <c r="F76" i="48"/>
  <c r="F78" i="48" s="1"/>
  <c r="AI92" i="48"/>
  <c r="AW106" i="48"/>
  <c r="AS92" i="48"/>
  <c r="AW92" i="48"/>
  <c r="BA92" i="48"/>
  <c r="BE92" i="48"/>
  <c r="BI92" i="48"/>
  <c r="BM92" i="48"/>
  <c r="AT78" i="48"/>
  <c r="AX78" i="48"/>
  <c r="BF78" i="48"/>
  <c r="AS106" i="48"/>
  <c r="BE106" i="48"/>
  <c r="BM106" i="48"/>
  <c r="AS80" i="48"/>
  <c r="AT80" i="48" s="1"/>
  <c r="AS78" i="48"/>
  <c r="AW78" i="48"/>
  <c r="BM78" i="48"/>
  <c r="AR92" i="48"/>
  <c r="BL92" i="48"/>
  <c r="AZ106" i="48"/>
  <c r="BD106" i="48"/>
  <c r="BH106" i="48"/>
  <c r="BL106" i="48"/>
  <c r="BD92" i="48"/>
  <c r="AZ92" i="48"/>
  <c r="BH92" i="48"/>
  <c r="AV78" i="48"/>
  <c r="AZ78" i="48"/>
  <c r="BH78" i="48"/>
  <c r="BL78" i="48"/>
  <c r="AV106" i="48"/>
  <c r="BI106" i="48"/>
  <c r="BF106" i="48"/>
  <c r="BJ106" i="48"/>
  <c r="BB106" i="48"/>
  <c r="BA106" i="48"/>
  <c r="AR106" i="48"/>
  <c r="AT106" i="48"/>
  <c r="AX106" i="48"/>
  <c r="BB92" i="48"/>
  <c r="AV92" i="48"/>
  <c r="BB78" i="48"/>
  <c r="BJ78" i="48"/>
  <c r="BA78" i="48"/>
  <c r="BE78" i="48"/>
  <c r="BI78" i="48"/>
  <c r="AR78" i="48"/>
  <c r="AT108" i="48"/>
  <c r="AH108" i="48"/>
  <c r="BF108" i="48"/>
  <c r="BR108" i="48"/>
  <c r="Y108" i="48"/>
  <c r="AC108" i="48"/>
  <c r="AK108" i="48"/>
  <c r="AO108" i="48"/>
  <c r="AW108" i="48"/>
  <c r="BA108" i="48"/>
  <c r="BI108" i="48"/>
  <c r="BM108" i="48"/>
  <c r="BF94" i="48"/>
  <c r="AD94" i="48"/>
  <c r="AT94" i="48"/>
  <c r="BJ94" i="48"/>
  <c r="AP94" i="48"/>
  <c r="AH94" i="48"/>
  <c r="AX94" i="48"/>
  <c r="BN94" i="48"/>
  <c r="Z94" i="48"/>
  <c r="AL94" i="48"/>
  <c r="BB94" i="48"/>
  <c r="BR94" i="48"/>
  <c r="BE80" i="48"/>
  <c r="BI80" i="48"/>
  <c r="BJ80" i="48" s="1"/>
  <c r="AA80" i="48"/>
  <c r="BB80" i="48"/>
  <c r="AD80" i="48"/>
  <c r="AQ80" i="48"/>
  <c r="AL80" i="48"/>
  <c r="AX80" i="48"/>
  <c r="BQ80" i="48"/>
  <c r="AG80" i="48"/>
  <c r="BM80" i="48"/>
  <c r="BD78" i="48"/>
  <c r="CB9" i="48" l="1"/>
  <c r="CC9" i="48" s="1"/>
  <c r="CD9" i="48" s="1"/>
  <c r="CE9" i="48" s="1"/>
  <c r="E43" i="48"/>
  <c r="E65" i="48"/>
  <c r="J65" i="48"/>
  <c r="J66" i="48"/>
  <c r="J67" i="48"/>
  <c r="F43" i="48"/>
  <c r="F65" i="48"/>
  <c r="C43" i="48"/>
  <c r="C65" i="48"/>
  <c r="D43" i="48"/>
  <c r="D65" i="48"/>
  <c r="I65" i="48"/>
  <c r="I66" i="48"/>
  <c r="K66" i="48"/>
  <c r="K65" i="48"/>
  <c r="K67" i="48"/>
  <c r="I67" i="48"/>
  <c r="G54" i="48"/>
  <c r="H58" i="48" s="1"/>
  <c r="H66" i="48" s="1"/>
  <c r="AV58" i="48"/>
  <c r="AU55" i="48"/>
  <c r="AW66" i="48"/>
  <c r="AX67" i="48"/>
  <c r="AW61" i="48"/>
  <c r="AW63" i="48" s="1"/>
  <c r="AW59" i="48"/>
  <c r="O55" i="48"/>
  <c r="O59" i="48" s="1"/>
  <c r="N61" i="48"/>
  <c r="N63" i="48" s="1"/>
  <c r="N59" i="48"/>
  <c r="AX108" i="48"/>
  <c r="Z108" i="48"/>
  <c r="AD108" i="48"/>
  <c r="BN108" i="48"/>
  <c r="AP108" i="48"/>
  <c r="BB108" i="48"/>
  <c r="AI108" i="48"/>
  <c r="BJ108" i="48"/>
  <c r="AL108" i="48"/>
  <c r="BS108" i="48"/>
  <c r="BT108" i="48" s="1"/>
  <c r="BU108" i="48" s="1"/>
  <c r="BV108" i="48" s="1"/>
  <c r="BW108" i="48" s="1"/>
  <c r="BX108" i="48" s="1"/>
  <c r="BY108" i="48" s="1"/>
  <c r="BZ108" i="48" s="1"/>
  <c r="CA108" i="48" s="1"/>
  <c r="CB108" i="48" s="1"/>
  <c r="BG108" i="48"/>
  <c r="AU108" i="48"/>
  <c r="BF80" i="48"/>
  <c r="AY94" i="48"/>
  <c r="AU94" i="48"/>
  <c r="BO94" i="48"/>
  <c r="AI94" i="48"/>
  <c r="BK94" i="48"/>
  <c r="AE94" i="48"/>
  <c r="AQ94" i="48"/>
  <c r="BS94" i="48"/>
  <c r="BT94" i="48" s="1"/>
  <c r="BU94" i="48" s="1"/>
  <c r="BV94" i="48" s="1"/>
  <c r="BW94" i="48" s="1"/>
  <c r="BX94" i="48" s="1"/>
  <c r="BY94" i="48" s="1"/>
  <c r="BZ94" i="48" s="1"/>
  <c r="CA94" i="48" s="1"/>
  <c r="CB94" i="48" s="1"/>
  <c r="AM94" i="48"/>
  <c r="AA94" i="48"/>
  <c r="BC94" i="48"/>
  <c r="BG94" i="48"/>
  <c r="AH80" i="48"/>
  <c r="AM80" i="48"/>
  <c r="AY80" i="48"/>
  <c r="BC80" i="48"/>
  <c r="BN80" i="48"/>
  <c r="AE80" i="48"/>
  <c r="BR80" i="48"/>
  <c r="BK80" i="48"/>
  <c r="AU80" i="48"/>
  <c r="CG9" i="48" l="1"/>
  <c r="CH9" i="48" s="1"/>
  <c r="CI9" i="48" s="1"/>
  <c r="CC108" i="48"/>
  <c r="CC94" i="48"/>
  <c r="N67" i="48"/>
  <c r="AV61" i="48"/>
  <c r="AV63" i="48" s="1"/>
  <c r="AV59" i="48"/>
  <c r="AU58" i="48"/>
  <c r="AT55" i="48"/>
  <c r="AU59" i="48" s="1"/>
  <c r="AV66" i="48"/>
  <c r="AW67" i="48"/>
  <c r="G55" i="48"/>
  <c r="O61" i="48"/>
  <c r="O63" i="48" s="1"/>
  <c r="BG80" i="48"/>
  <c r="BK108" i="48"/>
  <c r="BC108" i="48"/>
  <c r="BO108" i="48"/>
  <c r="AA108" i="48"/>
  <c r="AM108" i="48"/>
  <c r="AQ108" i="48"/>
  <c r="AE108" i="48"/>
  <c r="AY108" i="48"/>
  <c r="BS80" i="48"/>
  <c r="BT80" i="48" s="1"/>
  <c r="BU80" i="48" s="1"/>
  <c r="BV80" i="48" s="1"/>
  <c r="BW80" i="48" s="1"/>
  <c r="BX80" i="48" s="1"/>
  <c r="BY80" i="48" s="1"/>
  <c r="BZ80" i="48" s="1"/>
  <c r="CA80" i="48" s="1"/>
  <c r="CB80" i="48" s="1"/>
  <c r="AI80" i="48"/>
  <c r="BO80" i="48"/>
  <c r="CD94" i="48" l="1"/>
  <c r="CC80" i="48"/>
  <c r="CD108" i="48"/>
  <c r="H59" i="48"/>
  <c r="H67" i="48" s="1"/>
  <c r="H61" i="48"/>
  <c r="H63" i="48" s="1"/>
  <c r="AU61" i="48"/>
  <c r="AU63" i="48" s="1"/>
  <c r="AU66" i="48"/>
  <c r="AU67" i="48"/>
  <c r="AT58" i="48"/>
  <c r="AS55" i="48"/>
  <c r="AV67" i="48"/>
  <c r="BP45" i="48"/>
  <c r="BQ45" i="48" s="1"/>
  <c r="BR45" i="48" s="1"/>
  <c r="BL45" i="48"/>
  <c r="BM45" i="48" s="1"/>
  <c r="BN45" i="48" s="1"/>
  <c r="BH45" i="48"/>
  <c r="BD45" i="48"/>
  <c r="BE45" i="48" s="1"/>
  <c r="BF45" i="48" s="1"/>
  <c r="AZ45" i="48"/>
  <c r="AV45" i="48"/>
  <c r="AW45" i="48" s="1"/>
  <c r="AX45" i="48" s="1"/>
  <c r="AR45" i="48"/>
  <c r="AS45" i="48" s="1"/>
  <c r="AT45" i="48" s="1"/>
  <c r="AN45" i="48"/>
  <c r="AO45" i="48" s="1"/>
  <c r="AJ45" i="48"/>
  <c r="AK45" i="48" s="1"/>
  <c r="AF45" i="48"/>
  <c r="AG45" i="48" s="1"/>
  <c r="AH45" i="48" s="1"/>
  <c r="AB45" i="48"/>
  <c r="AC45" i="48" s="1"/>
  <c r="X45" i="48"/>
  <c r="AQ43" i="48"/>
  <c r="AP43" i="48"/>
  <c r="AO43" i="48"/>
  <c r="AN43" i="48"/>
  <c r="AM43" i="48"/>
  <c r="AL43" i="48"/>
  <c r="AK43" i="48"/>
  <c r="AJ43" i="48"/>
  <c r="AI43" i="48"/>
  <c r="AH43" i="48"/>
  <c r="AG43" i="48"/>
  <c r="AF43" i="48"/>
  <c r="AE43" i="48"/>
  <c r="AD43" i="48"/>
  <c r="AC43" i="48"/>
  <c r="AB43" i="48"/>
  <c r="AA43" i="48"/>
  <c r="W35" i="52" s="1"/>
  <c r="Z43" i="48"/>
  <c r="V35" i="52" s="1"/>
  <c r="Y43" i="48"/>
  <c r="U35" i="52" s="1"/>
  <c r="X43" i="48"/>
  <c r="T35" i="52" s="1"/>
  <c r="BM42" i="48"/>
  <c r="BL42" i="48"/>
  <c r="BJ42" i="48"/>
  <c r="BI42" i="48"/>
  <c r="BH42" i="48"/>
  <c r="BH71" i="48" s="1"/>
  <c r="BF42" i="48"/>
  <c r="BE42" i="48"/>
  <c r="BD42" i="48"/>
  <c r="BB42" i="48"/>
  <c r="BA42" i="48"/>
  <c r="AZ42" i="48"/>
  <c r="AX42" i="48"/>
  <c r="AW42" i="48"/>
  <c r="AV42" i="48"/>
  <c r="AT42" i="48"/>
  <c r="AS42" i="48"/>
  <c r="AR42" i="48"/>
  <c r="AR69" i="48" s="1"/>
  <c r="BA21" i="48"/>
  <c r="AZ21" i="48"/>
  <c r="AY21" i="48"/>
  <c r="AX21" i="48"/>
  <c r="AW21" i="48"/>
  <c r="AV21" i="48"/>
  <c r="AU21" i="48"/>
  <c r="AT21" i="48"/>
  <c r="AS21" i="48"/>
  <c r="AR21" i="48"/>
  <c r="AQ21" i="48"/>
  <c r="AP21" i="48"/>
  <c r="AP34" i="48" s="1"/>
  <c r="AO21" i="48"/>
  <c r="AO34" i="48" s="1"/>
  <c r="AN21" i="48"/>
  <c r="AN34" i="48" s="1"/>
  <c r="AM21" i="48"/>
  <c r="AL21" i="48"/>
  <c r="AL34" i="48" s="1"/>
  <c r="AK21" i="48"/>
  <c r="AK34" i="48" s="1"/>
  <c r="AJ21" i="48"/>
  <c r="AJ34" i="48" s="1"/>
  <c r="AI21" i="48"/>
  <c r="AH21" i="48"/>
  <c r="AH34" i="48" s="1"/>
  <c r="AG21" i="48"/>
  <c r="AG34" i="48" s="1"/>
  <c r="AF21" i="48"/>
  <c r="AF34" i="48" s="1"/>
  <c r="AE21" i="48"/>
  <c r="BA22" i="48"/>
  <c r="CD80" i="48" l="1"/>
  <c r="CE94" i="48"/>
  <c r="CF94" i="48" s="1"/>
  <c r="CE108" i="48"/>
  <c r="AZ69" i="48"/>
  <c r="AZ70" i="48"/>
  <c r="AZ71" i="48"/>
  <c r="AV69" i="48"/>
  <c r="AV70" i="48"/>
  <c r="BH69" i="48"/>
  <c r="BH70" i="48"/>
  <c r="AS43" i="48"/>
  <c r="AS69" i="48"/>
  <c r="AW43" i="48"/>
  <c r="AW69" i="48"/>
  <c r="AW70" i="48"/>
  <c r="AW71" i="48"/>
  <c r="BA43" i="48"/>
  <c r="BA69" i="48"/>
  <c r="BA70" i="48"/>
  <c r="BA71" i="48"/>
  <c r="BE43" i="48"/>
  <c r="BE70" i="48"/>
  <c r="BE69" i="48"/>
  <c r="BE71" i="48"/>
  <c r="BI43" i="48"/>
  <c r="BI70" i="48"/>
  <c r="BI69" i="48"/>
  <c r="BI71" i="48"/>
  <c r="BM43" i="48"/>
  <c r="BM69" i="48"/>
  <c r="BM70" i="48"/>
  <c r="BM71" i="48"/>
  <c r="BD70" i="48"/>
  <c r="BD69" i="48"/>
  <c r="BD71" i="48"/>
  <c r="BL43" i="48"/>
  <c r="BL69" i="48"/>
  <c r="BL70" i="48"/>
  <c r="BL71" i="48"/>
  <c r="AT43" i="48"/>
  <c r="AT69" i="48"/>
  <c r="AX43" i="48"/>
  <c r="AX69" i="48"/>
  <c r="AX70" i="48"/>
  <c r="AX71" i="48"/>
  <c r="BB43" i="48"/>
  <c r="BB69" i="48"/>
  <c r="BB71" i="48"/>
  <c r="BB70" i="48"/>
  <c r="BF43" i="48"/>
  <c r="BF70" i="48"/>
  <c r="BF71" i="48"/>
  <c r="BF69" i="48"/>
  <c r="BJ43" i="48"/>
  <c r="BJ70" i="48"/>
  <c r="BJ71" i="48"/>
  <c r="BJ69" i="48"/>
  <c r="AV71" i="48"/>
  <c r="AT66" i="48"/>
  <c r="AT70" i="48"/>
  <c r="AT61" i="48"/>
  <c r="AT63" i="48" s="1"/>
  <c r="AT59" i="48"/>
  <c r="AR55" i="48"/>
  <c r="AS59" i="48" s="1"/>
  <c r="AS71" i="48" s="1"/>
  <c r="AS58" i="48"/>
  <c r="AV43" i="48"/>
  <c r="AZ43" i="48"/>
  <c r="BD43" i="48"/>
  <c r="BH43" i="48"/>
  <c r="AR43" i="48"/>
  <c r="AZ19" i="48"/>
  <c r="AP45" i="48"/>
  <c r="AQ45" i="48" s="1"/>
  <c r="AL45" i="48"/>
  <c r="AM45" i="48" s="1"/>
  <c r="BA45" i="48"/>
  <c r="BB45" i="48" s="1"/>
  <c r="BC45" i="48" s="1"/>
  <c r="Y45" i="48"/>
  <c r="BI45" i="48"/>
  <c r="BJ45" i="48" s="1"/>
  <c r="BS45" i="48"/>
  <c r="BT45" i="48" s="1"/>
  <c r="BU45" i="48" s="1"/>
  <c r="BV45" i="48" s="1"/>
  <c r="BW45" i="48" s="1"/>
  <c r="BY45" i="48" s="1"/>
  <c r="BZ45" i="48" s="1"/>
  <c r="CA45" i="48" s="1"/>
  <c r="CB45" i="48" s="1"/>
  <c r="CC45" i="48" s="1"/>
  <c r="CD45" i="48" s="1"/>
  <c r="CE45" i="48" s="1"/>
  <c r="BO45" i="48"/>
  <c r="BG45" i="48"/>
  <c r="AY45" i="48"/>
  <c r="AU45" i="48"/>
  <c r="AI45" i="48"/>
  <c r="AD45" i="48"/>
  <c r="H18" i="48"/>
  <c r="AE34" i="48"/>
  <c r="AI34" i="48"/>
  <c r="AM34" i="48"/>
  <c r="AQ34" i="48"/>
  <c r="CG94" i="48" l="1"/>
  <c r="CE80" i="48"/>
  <c r="CF80" i="48" s="1"/>
  <c r="AS67" i="48"/>
  <c r="AT71" i="48"/>
  <c r="AT67" i="48"/>
  <c r="AS70" i="48"/>
  <c r="AS66" i="48"/>
  <c r="AS61" i="48"/>
  <c r="AS63" i="48" s="1"/>
  <c r="F54" i="48"/>
  <c r="G58" i="48" s="1"/>
  <c r="G66" i="48" s="1"/>
  <c r="AQ55" i="48"/>
  <c r="AR58" i="48"/>
  <c r="I22" i="48"/>
  <c r="H19" i="48"/>
  <c r="BK45" i="48"/>
  <c r="Z45" i="48"/>
  <c r="AE45" i="48"/>
  <c r="AY19" i="48"/>
  <c r="AZ25" i="48" s="1"/>
  <c r="AZ28" i="48" s="1"/>
  <c r="AZ22" i="48"/>
  <c r="CH94" i="48" l="1"/>
  <c r="CG108" i="48"/>
  <c r="AP55" i="48"/>
  <c r="AQ58" i="48"/>
  <c r="AR70" i="48"/>
  <c r="AR66" i="48"/>
  <c r="AR61" i="48"/>
  <c r="AR63" i="48" s="1"/>
  <c r="AR59" i="48"/>
  <c r="F55" i="48"/>
  <c r="I23" i="48"/>
  <c r="I25" i="48"/>
  <c r="I28" i="48" s="1"/>
  <c r="AZ23" i="48"/>
  <c r="AA45" i="48"/>
  <c r="AX19" i="48"/>
  <c r="AY25" i="48" s="1"/>
  <c r="AY28" i="48" s="1"/>
  <c r="AY22" i="48"/>
  <c r="CG80" i="48" l="1"/>
  <c r="CH108" i="48"/>
  <c r="CI94" i="48"/>
  <c r="G59" i="48"/>
  <c r="G61" i="48"/>
  <c r="G63" i="48" s="1"/>
  <c r="AR71" i="48"/>
  <c r="AR67" i="48"/>
  <c r="AQ66" i="48"/>
  <c r="AQ70" i="48"/>
  <c r="AQ61" i="48"/>
  <c r="AQ63" i="48" s="1"/>
  <c r="AQ59" i="48"/>
  <c r="AP58" i="48"/>
  <c r="AO55" i="48"/>
  <c r="AY23" i="48"/>
  <c r="AX22" i="48"/>
  <c r="AW19" i="48"/>
  <c r="AX25" i="48" s="1"/>
  <c r="AX28" i="48" s="1"/>
  <c r="CI108" i="48" l="1"/>
  <c r="CH80" i="48"/>
  <c r="G67" i="48"/>
  <c r="AP61" i="48"/>
  <c r="AP63" i="48" s="1"/>
  <c r="AP59" i="48"/>
  <c r="AP70" i="48"/>
  <c r="AP66" i="48"/>
  <c r="AQ71" i="48"/>
  <c r="AQ67" i="48"/>
  <c r="AO58" i="48"/>
  <c r="AN55" i="48"/>
  <c r="AX23" i="48"/>
  <c r="G18" i="48"/>
  <c r="AW22" i="48"/>
  <c r="AV19" i="48"/>
  <c r="CI80" i="48" l="1"/>
  <c r="AO61" i="48"/>
  <c r="AO63" i="48" s="1"/>
  <c r="AO59" i="48"/>
  <c r="E54" i="48"/>
  <c r="F58" i="48" s="1"/>
  <c r="AM55" i="48"/>
  <c r="AN59" i="48" s="1"/>
  <c r="AN67" i="48" s="1"/>
  <c r="AN58" i="48"/>
  <c r="AO70" i="48"/>
  <c r="AO66" i="48"/>
  <c r="AP71" i="48"/>
  <c r="AP67" i="48"/>
  <c r="H22" i="48"/>
  <c r="G19" i="48"/>
  <c r="AW23" i="48"/>
  <c r="AW25" i="48"/>
  <c r="AW28" i="48" s="1"/>
  <c r="AV22" i="48"/>
  <c r="AU19" i="48"/>
  <c r="AV25" i="48" s="1"/>
  <c r="AV28" i="48" s="1"/>
  <c r="F70" i="48" l="1"/>
  <c r="F66" i="48"/>
  <c r="AN71" i="48"/>
  <c r="AM58" i="48"/>
  <c r="AL55" i="48"/>
  <c r="AN70" i="48"/>
  <c r="AN66" i="48"/>
  <c r="AO71" i="48"/>
  <c r="AO67" i="48"/>
  <c r="AN61" i="48"/>
  <c r="AN63" i="48" s="1"/>
  <c r="E55" i="48"/>
  <c r="H23" i="48"/>
  <c r="H25" i="48"/>
  <c r="H28" i="48" s="1"/>
  <c r="H29" i="48" s="1"/>
  <c r="AV23" i="48"/>
  <c r="AU22" i="48"/>
  <c r="AT19" i="48"/>
  <c r="AU25" i="48" s="1"/>
  <c r="AU28" i="48" s="1"/>
  <c r="F59" i="48" l="1"/>
  <c r="F61" i="48"/>
  <c r="F63" i="48" s="1"/>
  <c r="AM61" i="48"/>
  <c r="AM63" i="48" s="1"/>
  <c r="AM59" i="48"/>
  <c r="AM70" i="48"/>
  <c r="AM66" i="48"/>
  <c r="AL58" i="48"/>
  <c r="AK55" i="48"/>
  <c r="AU23" i="48"/>
  <c r="AT22" i="48"/>
  <c r="AS19" i="48"/>
  <c r="AT25" i="48" s="1"/>
  <c r="AT28" i="48" s="1"/>
  <c r="F67" i="48" l="1"/>
  <c r="F71" i="48"/>
  <c r="AL66" i="48"/>
  <c r="AL70" i="48"/>
  <c r="AM67" i="48"/>
  <c r="AM71" i="48"/>
  <c r="AK58" i="48"/>
  <c r="AJ55" i="48"/>
  <c r="AK59" i="48" s="1"/>
  <c r="AK67" i="48" s="1"/>
  <c r="AL61" i="48"/>
  <c r="AL63" i="48" s="1"/>
  <c r="AL59" i="48"/>
  <c r="AT23" i="48"/>
  <c r="AS22" i="48"/>
  <c r="F18" i="48"/>
  <c r="AR19" i="48"/>
  <c r="AK71" i="48" l="1"/>
  <c r="AK61" i="48"/>
  <c r="AK63" i="48" s="1"/>
  <c r="AL67" i="48"/>
  <c r="AL71" i="48"/>
  <c r="AJ58" i="48"/>
  <c r="AI55" i="48"/>
  <c r="D54" i="48"/>
  <c r="E58" i="48" s="1"/>
  <c r="AK70" i="48"/>
  <c r="AK66" i="48"/>
  <c r="G22" i="48"/>
  <c r="F19" i="48"/>
  <c r="AS23" i="48"/>
  <c r="AS25" i="48"/>
  <c r="AS28" i="48" s="1"/>
  <c r="AR22" i="48"/>
  <c r="AQ19" i="48"/>
  <c r="E66" i="48" l="1"/>
  <c r="E70" i="48"/>
  <c r="D55" i="48"/>
  <c r="AJ70" i="48"/>
  <c r="AJ66" i="48"/>
  <c r="AH55" i="48"/>
  <c r="AI58" i="48"/>
  <c r="AJ59" i="48"/>
  <c r="AJ61" i="48"/>
  <c r="AJ63" i="48" s="1"/>
  <c r="G23" i="48"/>
  <c r="G25" i="48"/>
  <c r="G28" i="48" s="1"/>
  <c r="AR23" i="48"/>
  <c r="AR25" i="48"/>
  <c r="AR28" i="48" s="1"/>
  <c r="AQ22" i="48"/>
  <c r="AP19" i="48"/>
  <c r="G29" i="48" l="1"/>
  <c r="E59" i="48"/>
  <c r="E61" i="48"/>
  <c r="E63" i="48" s="1"/>
  <c r="AJ71" i="48"/>
  <c r="AJ67" i="48"/>
  <c r="AH58" i="48"/>
  <c r="AG55" i="48"/>
  <c r="AI70" i="48"/>
  <c r="AI66" i="48"/>
  <c r="AI61" i="48"/>
  <c r="AI63" i="48" s="1"/>
  <c r="AI59" i="48"/>
  <c r="AQ23" i="48"/>
  <c r="AQ36" i="48" s="1"/>
  <c r="AQ25" i="48"/>
  <c r="AQ28" i="48" s="1"/>
  <c r="AP22" i="48"/>
  <c r="AO19" i="48"/>
  <c r="AQ35" i="48"/>
  <c r="E71" i="48" l="1"/>
  <c r="E67" i="48"/>
  <c r="AH61" i="48"/>
  <c r="AH63" i="48" s="1"/>
  <c r="AH59" i="48"/>
  <c r="AH66" i="48"/>
  <c r="AH70" i="48"/>
  <c r="AI71" i="48"/>
  <c r="AI67" i="48"/>
  <c r="AG58" i="48"/>
  <c r="AF55" i="48"/>
  <c r="AP23" i="48"/>
  <c r="AP36" i="48" s="1"/>
  <c r="AP25" i="48"/>
  <c r="AP28" i="48" s="1"/>
  <c r="AO22" i="48"/>
  <c r="AN19" i="48"/>
  <c r="AO25" i="48" s="1"/>
  <c r="AO28" i="48" s="1"/>
  <c r="E18" i="48"/>
  <c r="AP35" i="48"/>
  <c r="AG70" i="48" l="1"/>
  <c r="AG66" i="48"/>
  <c r="AF58" i="48"/>
  <c r="C54" i="48"/>
  <c r="AE55" i="48"/>
  <c r="AG61" i="48"/>
  <c r="AG63" i="48" s="1"/>
  <c r="AG59" i="48"/>
  <c r="AH67" i="48"/>
  <c r="AH71" i="48"/>
  <c r="F22" i="48"/>
  <c r="E19" i="48"/>
  <c r="AO23" i="48"/>
  <c r="AO36" i="48" s="1"/>
  <c r="AN22" i="48"/>
  <c r="AM19" i="48"/>
  <c r="AO35" i="48"/>
  <c r="D58" i="48" l="1"/>
  <c r="C58" i="48"/>
  <c r="AF66" i="48"/>
  <c r="AF70" i="48"/>
  <c r="AG67" i="48"/>
  <c r="AG71" i="48"/>
  <c r="C55" i="48"/>
  <c r="AF61" i="48"/>
  <c r="AF63" i="48" s="1"/>
  <c r="AF59" i="48"/>
  <c r="AD55" i="48"/>
  <c r="AE58" i="48"/>
  <c r="F23" i="48"/>
  <c r="F25" i="48"/>
  <c r="F28" i="48" s="1"/>
  <c r="F35" i="48"/>
  <c r="AN23" i="48"/>
  <c r="AN36" i="48" s="1"/>
  <c r="AN25" i="48"/>
  <c r="AN28" i="48" s="1"/>
  <c r="AM22" i="48"/>
  <c r="AL19" i="48"/>
  <c r="AM25" i="48" s="1"/>
  <c r="AM28" i="48" s="1"/>
  <c r="AN35" i="48"/>
  <c r="F29" i="48" l="1"/>
  <c r="C61" i="48"/>
  <c r="C63" i="48" s="1"/>
  <c r="D59" i="48"/>
  <c r="C59" i="48"/>
  <c r="D61" i="48"/>
  <c r="D63" i="48" s="1"/>
  <c r="C70" i="48"/>
  <c r="C66" i="48"/>
  <c r="D70" i="48"/>
  <c r="D66" i="48"/>
  <c r="AE70" i="48"/>
  <c r="AE66" i="48"/>
  <c r="AE59" i="48"/>
  <c r="AE61" i="48"/>
  <c r="AE63" i="48" s="1"/>
  <c r="AD58" i="48"/>
  <c r="AC55" i="48"/>
  <c r="AF71" i="48"/>
  <c r="AF67" i="48"/>
  <c r="F36" i="48"/>
  <c r="F37" i="48" s="1"/>
  <c r="AM23" i="48"/>
  <c r="AM36" i="48" s="1"/>
  <c r="AL22" i="48"/>
  <c r="AK19" i="48"/>
  <c r="AM35" i="48"/>
  <c r="C71" i="48" l="1"/>
  <c r="C67" i="48"/>
  <c r="D71" i="48"/>
  <c r="D67" i="48"/>
  <c r="AE67" i="48"/>
  <c r="AE71" i="48"/>
  <c r="AD59" i="48"/>
  <c r="AD66" i="48"/>
  <c r="AD70" i="48"/>
  <c r="AC58" i="48"/>
  <c r="AB55" i="48"/>
  <c r="AC59" i="48" s="1"/>
  <c r="AD61" i="48"/>
  <c r="AD63" i="48" s="1"/>
  <c r="AL23" i="48"/>
  <c r="AL36" i="48" s="1"/>
  <c r="AL25" i="48"/>
  <c r="AL28" i="48" s="1"/>
  <c r="AK22" i="48"/>
  <c r="D18" i="48"/>
  <c r="AJ19" i="48"/>
  <c r="AK25" i="48" s="1"/>
  <c r="AK28" i="48" s="1"/>
  <c r="AL35" i="48"/>
  <c r="AB58" i="48" l="1"/>
  <c r="AA55" i="48"/>
  <c r="AC67" i="48"/>
  <c r="AC71" i="48"/>
  <c r="AC61" i="48"/>
  <c r="AC63" i="48" s="1"/>
  <c r="AC66" i="48"/>
  <c r="AC70" i="48"/>
  <c r="AD67" i="48"/>
  <c r="AD71" i="48"/>
  <c r="E22" i="48"/>
  <c r="D19" i="48"/>
  <c r="AK23" i="48"/>
  <c r="AK36" i="48" s="1"/>
  <c r="AJ22" i="48"/>
  <c r="AI19" i="48"/>
  <c r="AJ25" i="48" s="1"/>
  <c r="AJ28" i="48" s="1"/>
  <c r="AK35" i="48"/>
  <c r="AA58" i="48" l="1"/>
  <c r="Z55" i="48"/>
  <c r="AB61" i="48"/>
  <c r="AB63" i="48" s="1"/>
  <c r="AB59" i="48"/>
  <c r="AB70" i="48"/>
  <c r="AB66" i="48"/>
  <c r="E35" i="48"/>
  <c r="E23" i="48"/>
  <c r="E25" i="48"/>
  <c r="E28" i="48" s="1"/>
  <c r="E29" i="48" s="1"/>
  <c r="AJ23" i="48"/>
  <c r="AJ36" i="48" s="1"/>
  <c r="AI22" i="48"/>
  <c r="AH19" i="48"/>
  <c r="AJ35" i="48"/>
  <c r="AA59" i="48" l="1"/>
  <c r="AA61" i="48"/>
  <c r="AA63" i="48" s="1"/>
  <c r="Y55" i="48"/>
  <c r="Z61" i="48" s="1"/>
  <c r="Z63" i="48" s="1"/>
  <c r="Z58" i="48"/>
  <c r="AB71" i="48"/>
  <c r="AB67" i="48"/>
  <c r="AA66" i="48"/>
  <c r="AA70" i="48"/>
  <c r="E36" i="48"/>
  <c r="E37" i="48" s="1"/>
  <c r="AI23" i="48"/>
  <c r="AI36" i="48" s="1"/>
  <c r="AI25" i="48"/>
  <c r="AI28" i="48" s="1"/>
  <c r="AH22" i="48"/>
  <c r="AG19" i="48"/>
  <c r="AI35" i="48"/>
  <c r="X55" i="48" l="1"/>
  <c r="Y59" i="48" s="1"/>
  <c r="Y58" i="48"/>
  <c r="Z70" i="48"/>
  <c r="Z66" i="48"/>
  <c r="AA71" i="48"/>
  <c r="AA67" i="48"/>
  <c r="Z59" i="48"/>
  <c r="AH23" i="48"/>
  <c r="AH36" i="48" s="1"/>
  <c r="AH25" i="48"/>
  <c r="AH28" i="48" s="1"/>
  <c r="AG22" i="48"/>
  <c r="AF19" i="48"/>
  <c r="C18" i="48"/>
  <c r="AH35" i="48"/>
  <c r="Z71" i="48" l="1"/>
  <c r="Z67" i="48"/>
  <c r="Y61" i="48"/>
  <c r="Y63" i="48" s="1"/>
  <c r="Y66" i="48"/>
  <c r="Y70" i="48"/>
  <c r="Y67" i="48"/>
  <c r="Y71" i="48"/>
  <c r="D22" i="48"/>
  <c r="C19" i="48"/>
  <c r="AG23" i="48"/>
  <c r="AG36" i="48" s="1"/>
  <c r="AG25" i="48"/>
  <c r="AG28" i="48" s="1"/>
  <c r="AF22" i="48"/>
  <c r="AE19" i="48"/>
  <c r="AD19" i="48"/>
  <c r="AG35" i="48"/>
  <c r="D23" i="48" l="1"/>
  <c r="D25" i="48"/>
  <c r="D28" i="48" s="1"/>
  <c r="D35" i="48"/>
  <c r="AF23" i="48"/>
  <c r="AF36" i="48" s="1"/>
  <c r="AE25" i="48"/>
  <c r="AE28" i="48" s="1"/>
  <c r="AF25" i="48"/>
  <c r="AF28" i="48" s="1"/>
  <c r="AF35" i="48"/>
  <c r="AE22" i="48"/>
  <c r="D29" i="48" l="1"/>
  <c r="D36" i="48"/>
  <c r="D37" i="48" s="1"/>
  <c r="AE35" i="48"/>
  <c r="AE23" i="48"/>
  <c r="AE36" i="48" l="1"/>
  <c r="AB5" i="48" l="1"/>
  <c r="AC5" i="48"/>
  <c r="AC7" i="48" s="1"/>
  <c r="AD5" i="48"/>
  <c r="AD7" i="48" s="1"/>
  <c r="AE5" i="48"/>
  <c r="AE7" i="48" s="1"/>
  <c r="AF5" i="48"/>
  <c r="AG5" i="48"/>
  <c r="AG7" i="48" s="1"/>
  <c r="AH5" i="48"/>
  <c r="AH7" i="48" s="1"/>
  <c r="AI5" i="48"/>
  <c r="AI7" i="48" s="1"/>
  <c r="AJ5" i="48"/>
  <c r="AK5" i="48"/>
  <c r="AK7" i="48" s="1"/>
  <c r="AL5" i="48"/>
  <c r="AL7" i="48" s="1"/>
  <c r="AM5" i="48"/>
  <c r="AM7" i="48" s="1"/>
  <c r="AN5" i="48"/>
  <c r="AO5" i="48"/>
  <c r="AO7" i="48" s="1"/>
  <c r="AP5" i="48"/>
  <c r="AP7" i="48" s="1"/>
  <c r="AQ5" i="48"/>
  <c r="AQ7" i="48" s="1"/>
  <c r="AR5" i="48"/>
  <c r="AS5" i="48"/>
  <c r="AT5" i="48"/>
  <c r="AU5" i="48"/>
  <c r="AV5" i="48"/>
  <c r="AW5" i="48"/>
  <c r="AX5" i="48"/>
  <c r="AY5" i="48"/>
  <c r="AZ5" i="48"/>
  <c r="BA5" i="48"/>
  <c r="BB5" i="48"/>
  <c r="BC5" i="48"/>
  <c r="BD5" i="48"/>
  <c r="BE5" i="48"/>
  <c r="BF5" i="48"/>
  <c r="BG5" i="48"/>
  <c r="BH5" i="48"/>
  <c r="BI5" i="48"/>
  <c r="BJ5" i="48"/>
  <c r="BK5" i="48"/>
  <c r="I5" i="48" l="1"/>
  <c r="H5" i="48"/>
  <c r="G5" i="48"/>
  <c r="AN7" i="48"/>
  <c r="F5" i="48"/>
  <c r="AJ7" i="48"/>
  <c r="E5" i="48"/>
  <c r="AF7" i="48"/>
  <c r="D5" i="48"/>
  <c r="AB7" i="48"/>
  <c r="C5" i="48"/>
  <c r="C7" i="48" s="1"/>
  <c r="AV30" i="48"/>
  <c r="AV31" i="48"/>
  <c r="AV32" i="48"/>
  <c r="AJ30" i="48"/>
  <c r="AJ31" i="48"/>
  <c r="AJ32" i="48"/>
  <c r="AU30" i="48"/>
  <c r="AU32" i="48"/>
  <c r="AU31" i="48"/>
  <c r="AI30" i="48"/>
  <c r="AI31" i="48"/>
  <c r="AI32" i="48"/>
  <c r="AE30" i="48"/>
  <c r="AE31" i="48"/>
  <c r="AE32" i="48"/>
  <c r="AR30" i="48"/>
  <c r="AR32" i="48"/>
  <c r="AR31" i="48"/>
  <c r="AF30" i="48"/>
  <c r="AF31" i="48"/>
  <c r="AF32" i="48"/>
  <c r="AQ30" i="48"/>
  <c r="AQ31" i="48"/>
  <c r="AQ32" i="48"/>
  <c r="AX30" i="48"/>
  <c r="AX31" i="48"/>
  <c r="AX32" i="48"/>
  <c r="AT30" i="48"/>
  <c r="AT32" i="48"/>
  <c r="AT31" i="48"/>
  <c r="AP30" i="48"/>
  <c r="AP32" i="48"/>
  <c r="AP31" i="48"/>
  <c r="AL30" i="48"/>
  <c r="AL32" i="48"/>
  <c r="AL31" i="48"/>
  <c r="AH30" i="48"/>
  <c r="AH32" i="48"/>
  <c r="AH31" i="48"/>
  <c r="AZ30" i="48"/>
  <c r="AZ31" i="48"/>
  <c r="AZ32" i="48"/>
  <c r="AN30" i="48"/>
  <c r="AN32" i="48"/>
  <c r="AN31" i="48"/>
  <c r="AY30" i="48"/>
  <c r="AY31" i="48"/>
  <c r="AY32" i="48"/>
  <c r="AM30" i="48"/>
  <c r="AM31" i="48"/>
  <c r="AM32" i="48"/>
  <c r="BA31" i="48"/>
  <c r="BA30" i="48"/>
  <c r="AW30" i="48"/>
  <c r="AW31" i="48"/>
  <c r="AW32" i="48"/>
  <c r="AS30" i="48"/>
  <c r="AS31" i="48"/>
  <c r="AS32" i="48"/>
  <c r="AO30" i="48"/>
  <c r="AO32" i="48"/>
  <c r="AO31" i="48"/>
  <c r="AK30" i="48"/>
  <c r="AK32" i="48"/>
  <c r="AK31" i="48"/>
  <c r="AG30" i="48"/>
  <c r="AG31" i="48"/>
  <c r="AG32" i="48"/>
  <c r="H30" i="48" l="1"/>
  <c r="H31" i="48"/>
  <c r="H32" i="48"/>
  <c r="R86" i="46" s="1"/>
  <c r="F7" i="48"/>
  <c r="F30" i="48"/>
  <c r="F31" i="48"/>
  <c r="F32" i="48"/>
  <c r="E7" i="48"/>
  <c r="E30" i="48"/>
  <c r="E31" i="48"/>
  <c r="E32" i="48"/>
  <c r="G30" i="48"/>
  <c r="G31" i="48"/>
  <c r="G32" i="48"/>
  <c r="I30" i="48"/>
  <c r="I31" i="48"/>
  <c r="I32" i="48"/>
  <c r="S86" i="46" s="1"/>
  <c r="D7" i="48"/>
  <c r="D30" i="48"/>
  <c r="D31" i="48"/>
  <c r="D32" i="48"/>
  <c r="AR6" i="48"/>
  <c r="AR7" i="48" s="1"/>
  <c r="AV6" i="48"/>
  <c r="AV7" i="48" s="1"/>
  <c r="AW6" i="48"/>
  <c r="AW7" i="48" s="1"/>
  <c r="AX6" i="48"/>
  <c r="AX7" i="48" s="1"/>
  <c r="AS6" i="48"/>
  <c r="AS7" i="48" s="1"/>
  <c r="AT6" i="48"/>
  <c r="AT7" i="48" s="1"/>
  <c r="K282" i="48"/>
  <c r="J282" i="48"/>
  <c r="K281" i="48"/>
  <c r="J281" i="48"/>
  <c r="K279" i="48"/>
  <c r="J279" i="48"/>
  <c r="J283" i="48" s="1"/>
  <c r="K275" i="48"/>
  <c r="J275" i="48"/>
  <c r="I275" i="48"/>
  <c r="BS274" i="48"/>
  <c r="BR274" i="48"/>
  <c r="BQ274" i="48"/>
  <c r="BP274" i="48"/>
  <c r="BO274" i="48"/>
  <c r="L274" i="48" s="1"/>
  <c r="BK274" i="48"/>
  <c r="BJ274" i="48"/>
  <c r="BI274" i="48"/>
  <c r="BH274" i="48"/>
  <c r="BG274" i="48"/>
  <c r="BF274" i="48"/>
  <c r="BE274" i="48"/>
  <c r="BD274" i="48"/>
  <c r="I274" i="48"/>
  <c r="K268" i="48"/>
  <c r="J268" i="48"/>
  <c r="K267" i="48"/>
  <c r="J267" i="48"/>
  <c r="K264" i="48"/>
  <c r="J264" i="48"/>
  <c r="BL261" i="48"/>
  <c r="BK261" i="48"/>
  <c r="BJ261" i="48"/>
  <c r="BI261" i="48"/>
  <c r="BH261" i="48"/>
  <c r="BG261" i="48"/>
  <c r="BF261" i="48"/>
  <c r="BE261" i="48"/>
  <c r="BD261" i="48"/>
  <c r="K260" i="48"/>
  <c r="J260" i="48"/>
  <c r="K259" i="48"/>
  <c r="J259" i="48"/>
  <c r="K258" i="48"/>
  <c r="J258" i="48"/>
  <c r="BL22" i="48"/>
  <c r="BK22" i="48"/>
  <c r="BJ22" i="48"/>
  <c r="BI22" i="48"/>
  <c r="BI31" i="48" s="1"/>
  <c r="BH22" i="48"/>
  <c r="BG22" i="48"/>
  <c r="BF22" i="48"/>
  <c r="BE22" i="48"/>
  <c r="BD22" i="48"/>
  <c r="BC22" i="48"/>
  <c r="BB22" i="48"/>
  <c r="BL21" i="48"/>
  <c r="BK21" i="48"/>
  <c r="BJ21" i="48"/>
  <c r="BI21" i="48"/>
  <c r="BH21" i="48"/>
  <c r="BG21" i="48"/>
  <c r="BF21" i="48"/>
  <c r="BE21" i="48"/>
  <c r="BD21" i="48"/>
  <c r="BC21" i="48"/>
  <c r="BB21" i="48"/>
  <c r="BL19" i="48"/>
  <c r="BK19" i="48"/>
  <c r="BJ19" i="48"/>
  <c r="BI19" i="48"/>
  <c r="BH19" i="48"/>
  <c r="BG19" i="48"/>
  <c r="BF19" i="48"/>
  <c r="BE19" i="48"/>
  <c r="BD19" i="48"/>
  <c r="BC19" i="48"/>
  <c r="BB19" i="48"/>
  <c r="BA19" i="48"/>
  <c r="BM6" i="48"/>
  <c r="BL6" i="48"/>
  <c r="BL5" i="48" s="1"/>
  <c r="L5" i="48" s="1"/>
  <c r="BJ6" i="48"/>
  <c r="BJ7" i="48" s="1"/>
  <c r="BI6" i="48"/>
  <c r="BI7" i="48" s="1"/>
  <c r="BH6" i="48"/>
  <c r="BF6" i="48"/>
  <c r="BF7" i="48" s="1"/>
  <c r="BE6" i="48"/>
  <c r="BE7" i="48" s="1"/>
  <c r="BD6" i="48"/>
  <c r="BB6" i="48"/>
  <c r="BB7" i="48" s="1"/>
  <c r="BA6" i="48"/>
  <c r="BA7" i="48" s="1"/>
  <c r="AZ6" i="48"/>
  <c r="BS2" i="48"/>
  <c r="BR2" i="48"/>
  <c r="BQ2" i="48"/>
  <c r="BP2" i="48"/>
  <c r="BO2" i="48"/>
  <c r="BN2" i="48"/>
  <c r="BM2" i="48"/>
  <c r="BL2" i="48"/>
  <c r="BK2" i="48"/>
  <c r="BJ2" i="48"/>
  <c r="BI2" i="48"/>
  <c r="BH2" i="48"/>
  <c r="BG2" i="48"/>
  <c r="BF2" i="48"/>
  <c r="BE2" i="48"/>
  <c r="BD2" i="48"/>
  <c r="BC2" i="48"/>
  <c r="BB2" i="48"/>
  <c r="BA2" i="48"/>
  <c r="AZ2" i="48"/>
  <c r="AY2" i="48"/>
  <c r="AX2" i="48"/>
  <c r="AW2" i="48"/>
  <c r="AV2" i="48"/>
  <c r="AU2" i="48"/>
  <c r="AT2" i="48"/>
  <c r="AS2" i="48"/>
  <c r="AR2" i="48"/>
  <c r="BH23" i="48" l="1"/>
  <c r="BL23" i="48"/>
  <c r="BG23" i="48"/>
  <c r="BK23" i="48"/>
  <c r="BJ23" i="48"/>
  <c r="BI23" i="48"/>
  <c r="BM34" i="48"/>
  <c r="BM35" i="48"/>
  <c r="BL7" i="48"/>
  <c r="AZ7" i="48"/>
  <c r="BD7" i="48"/>
  <c r="BH7" i="48"/>
  <c r="BM7" i="48"/>
  <c r="BB25" i="48"/>
  <c r="BB28" i="48" s="1"/>
  <c r="BF25" i="48"/>
  <c r="BF28" i="48" s="1"/>
  <c r="BJ25" i="48"/>
  <c r="BJ28" i="48" s="1"/>
  <c r="BG25" i="48"/>
  <c r="BG28" i="48" s="1"/>
  <c r="BK25" i="48"/>
  <c r="BK28" i="48" s="1"/>
  <c r="BC25" i="48"/>
  <c r="BC28" i="48" s="1"/>
  <c r="BA23" i="48"/>
  <c r="BA36" i="48" s="1"/>
  <c r="BA25" i="48"/>
  <c r="BA28" i="48" s="1"/>
  <c r="BE25" i="48"/>
  <c r="BE28" i="48" s="1"/>
  <c r="BI25" i="48"/>
  <c r="BI28" i="48" s="1"/>
  <c r="BD25" i="48"/>
  <c r="BD28" i="48" s="1"/>
  <c r="BH25" i="48"/>
  <c r="BH28" i="48" s="1"/>
  <c r="BL25" i="48"/>
  <c r="BL28" i="48" s="1"/>
  <c r="BA34" i="48"/>
  <c r="BA35" i="48"/>
  <c r="AS34" i="48"/>
  <c r="AS36" i="48"/>
  <c r="AS35" i="48"/>
  <c r="AR34" i="48"/>
  <c r="AR36" i="48"/>
  <c r="AR35" i="48"/>
  <c r="AV34" i="48"/>
  <c r="AV36" i="48"/>
  <c r="AV35" i="48"/>
  <c r="AX34" i="48"/>
  <c r="AX36" i="48"/>
  <c r="AX35" i="48"/>
  <c r="AZ34" i="48"/>
  <c r="AZ36" i="48"/>
  <c r="AZ35" i="48"/>
  <c r="AT34" i="48"/>
  <c r="AT36" i="48"/>
  <c r="AT35" i="48"/>
  <c r="AW34" i="48"/>
  <c r="AW35" i="48"/>
  <c r="AW36" i="48"/>
  <c r="BB31" i="48"/>
  <c r="J261" i="48"/>
  <c r="BK30" i="48"/>
  <c r="BH31" i="48"/>
  <c r="M274" i="48"/>
  <c r="BD23" i="48"/>
  <c r="BF31" i="48"/>
  <c r="BJ31" i="48"/>
  <c r="BB23" i="48"/>
  <c r="BF23" i="48"/>
  <c r="BL35" i="48"/>
  <c r="BB35" i="48"/>
  <c r="BD35" i="48"/>
  <c r="BE23" i="48"/>
  <c r="BD34" i="48"/>
  <c r="BH30" i="48"/>
  <c r="BL34" i="48"/>
  <c r="BE31" i="48"/>
  <c r="BI35" i="48"/>
  <c r="K261" i="48"/>
  <c r="K283" i="48"/>
  <c r="BE30" i="48"/>
  <c r="BI34" i="48"/>
  <c r="BF35" i="48"/>
  <c r="J274" i="48"/>
  <c r="K274" i="48"/>
  <c r="J5" i="48"/>
  <c r="K5" i="48"/>
  <c r="BJ35" i="48"/>
  <c r="BC23" i="48"/>
  <c r="BB34" i="48"/>
  <c r="BF34" i="48"/>
  <c r="BJ34" i="48"/>
  <c r="BC31" i="48"/>
  <c r="BG31" i="48"/>
  <c r="BD30" i="48"/>
  <c r="BL31" i="48"/>
  <c r="BB30" i="48"/>
  <c r="BF30" i="48"/>
  <c r="BI30" i="48"/>
  <c r="BL30" i="48"/>
  <c r="BD31" i="48"/>
  <c r="BK31" i="48"/>
  <c r="BE35" i="48"/>
  <c r="BH35" i="48"/>
  <c r="BC30" i="48"/>
  <c r="BG30" i="48"/>
  <c r="BJ30" i="48"/>
  <c r="BE34" i="48"/>
  <c r="BH34" i="48"/>
  <c r="S32" i="2"/>
  <c r="K29" i="48" l="1"/>
  <c r="I29" i="48"/>
  <c r="J29" i="48"/>
  <c r="J31" i="48"/>
  <c r="J30" i="48"/>
  <c r="J32" i="48"/>
  <c r="T86" i="46" s="1"/>
  <c r="K30" i="48"/>
  <c r="K31" i="48"/>
  <c r="K32" i="48"/>
  <c r="U86" i="46" s="1"/>
  <c r="BM31" i="48"/>
  <c r="BA32" i="48"/>
  <c r="BC32" i="48"/>
  <c r="BF32" i="48"/>
  <c r="BB36" i="48"/>
  <c r="BH36" i="48"/>
  <c r="BI36" i="48"/>
  <c r="BJ32" i="48"/>
  <c r="BE36" i="48"/>
  <c r="BD36" i="48"/>
  <c r="BL36" i="48"/>
  <c r="BK32" i="48"/>
  <c r="BF36" i="48"/>
  <c r="BI32" i="48"/>
  <c r="BL32" i="48"/>
  <c r="BD32" i="48"/>
  <c r="BG32" i="48"/>
  <c r="BB32" i="48"/>
  <c r="BE32" i="48"/>
  <c r="BH32" i="48"/>
  <c r="BJ36" i="48"/>
  <c r="AI8" i="5" l="1"/>
  <c r="W10" i="8"/>
  <c r="W9" i="46" s="1"/>
  <c r="W11" i="8"/>
  <c r="W10" i="46" s="1"/>
  <c r="W12" i="8"/>
  <c r="W11" i="46" s="1"/>
  <c r="W13" i="8"/>
  <c r="W12" i="46" s="1"/>
  <c r="AB13" i="5"/>
  <c r="AO13" i="5" l="1"/>
  <c r="AN13" i="5" s="1"/>
  <c r="AI4" i="5"/>
  <c r="W9" i="8"/>
  <c r="W8" i="46" s="1"/>
  <c r="W5" i="8"/>
  <c r="W4" i="46" s="1"/>
  <c r="W3" i="46" s="1"/>
  <c r="M275" i="48"/>
  <c r="BP42" i="48"/>
  <c r="BP43" i="48" s="1"/>
  <c r="W6" i="8"/>
  <c r="W5" i="46" s="1"/>
  <c r="V6" i="8"/>
  <c r="V5" i="46" s="1"/>
  <c r="L77" i="48" s="1"/>
  <c r="BN77" i="48"/>
  <c r="O91" i="48"/>
  <c r="AC9" i="5"/>
  <c r="AD9" i="5" s="1"/>
  <c r="V10" i="8"/>
  <c r="V9" i="46" s="1"/>
  <c r="V5" i="8"/>
  <c r="V4" i="46" s="1"/>
  <c r="V3" i="46" s="1"/>
  <c r="L275" i="48"/>
  <c r="P91" i="48"/>
  <c r="V11" i="8"/>
  <c r="V10" i="46" s="1"/>
  <c r="AC10" i="5"/>
  <c r="AD10" i="5" s="1"/>
  <c r="P42" i="48"/>
  <c r="V12" i="8"/>
  <c r="V11" i="46" s="1"/>
  <c r="AC11" i="5"/>
  <c r="AD11" i="5" s="1"/>
  <c r="W8" i="8"/>
  <c r="W7" i="46" s="1"/>
  <c r="V8" i="8"/>
  <c r="V7" i="46" s="1"/>
  <c r="AC12" i="5"/>
  <c r="AD12" i="5" s="1"/>
  <c r="V13" i="8"/>
  <c r="V12" i="46" s="1"/>
  <c r="AJ13" i="5"/>
  <c r="AV13" i="5" l="1"/>
  <c r="Z17" i="8"/>
  <c r="CD91" i="48"/>
  <c r="CD92" i="48" s="1"/>
  <c r="AS6" i="5"/>
  <c r="AN6" i="5"/>
  <c r="BW91" i="48" s="1"/>
  <c r="BW90" i="48" s="1"/>
  <c r="N90" i="48" s="1"/>
  <c r="BX92" i="48"/>
  <c r="M42" i="48"/>
  <c r="M71" i="48" s="1"/>
  <c r="M77" i="48"/>
  <c r="M105" i="48"/>
  <c r="M106" i="48" s="1"/>
  <c r="W14" i="8"/>
  <c r="AI10" i="5"/>
  <c r="AI9" i="5"/>
  <c r="AI11" i="5"/>
  <c r="AI12" i="5"/>
  <c r="AD13" i="5"/>
  <c r="L42" i="48"/>
  <c r="L43" i="48" s="1"/>
  <c r="L105" i="48"/>
  <c r="L106" i="48" s="1"/>
  <c r="P92" i="48"/>
  <c r="BN76" i="48"/>
  <c r="O66" i="48"/>
  <c r="O65" i="48"/>
  <c r="O67" i="48"/>
  <c r="O92" i="48"/>
  <c r="BP105" i="48"/>
  <c r="BP106" i="48" s="1"/>
  <c r="BN105" i="48"/>
  <c r="BN106" i="48" s="1"/>
  <c r="V7" i="8"/>
  <c r="V6" i="46" s="1"/>
  <c r="BO91" i="48"/>
  <c r="BO92" i="48" s="1"/>
  <c r="P43" i="48"/>
  <c r="BO42" i="48"/>
  <c r="BO43" i="48" s="1"/>
  <c r="BN42" i="48"/>
  <c r="BN43" i="48" s="1"/>
  <c r="W7" i="8"/>
  <c r="W6" i="46" s="1"/>
  <c r="V14" i="8"/>
  <c r="BP77" i="48"/>
  <c r="BN6" i="48"/>
  <c r="V9" i="8"/>
  <c r="V8" i="46" s="1"/>
  <c r="BO77" i="48"/>
  <c r="BQ105" i="48"/>
  <c r="BQ106" i="48" s="1"/>
  <c r="BP6" i="48"/>
  <c r="BO105" i="48"/>
  <c r="BO106" i="48" s="1"/>
  <c r="CC91" i="48" l="1"/>
  <c r="CC92" i="48" s="1"/>
  <c r="CB91" i="48"/>
  <c r="CB92" i="48" s="1"/>
  <c r="AX6" i="5"/>
  <c r="AV30" i="5"/>
  <c r="AV31" i="5" s="1"/>
  <c r="AV32" i="5" s="1"/>
  <c r="CA91" i="48"/>
  <c r="CA92" i="48" s="1"/>
  <c r="BW92" i="48"/>
  <c r="M43" i="48"/>
  <c r="M91" i="48"/>
  <c r="M92" i="48" s="1"/>
  <c r="W30" i="46"/>
  <c r="AI7" i="5"/>
  <c r="L91" i="48"/>
  <c r="L92" i="48" s="1"/>
  <c r="V30" i="46"/>
  <c r="L71" i="48"/>
  <c r="V13" i="46"/>
  <c r="BO76" i="48"/>
  <c r="L76" i="48" s="1"/>
  <c r="L78" i="48" s="1"/>
  <c r="BP76" i="48"/>
  <c r="BP78" i="48" s="1"/>
  <c r="BN78" i="48"/>
  <c r="BO6" i="48"/>
  <c r="BQ77" i="48"/>
  <c r="BQ42" i="48"/>
  <c r="BQ43" i="48" s="1"/>
  <c r="AG13" i="5"/>
  <c r="BP91" i="48"/>
  <c r="BP92" i="48" s="1"/>
  <c r="BN91" i="48"/>
  <c r="BN92" i="48" s="1"/>
  <c r="AC13" i="5"/>
  <c r="BN7" i="48"/>
  <c r="BR105" i="48"/>
  <c r="BR106" i="48" s="1"/>
  <c r="BQ6" i="48"/>
  <c r="BP7" i="48"/>
  <c r="AU13" i="13" l="1"/>
  <c r="CE91" i="48"/>
  <c r="CE92" i="48" s="1"/>
  <c r="AV3" i="13"/>
  <c r="AV13" i="13"/>
  <c r="AW3" i="13"/>
  <c r="AW13" i="13"/>
  <c r="BQ7" i="48"/>
  <c r="AI5" i="5"/>
  <c r="BO78" i="48"/>
  <c r="BQ76" i="48"/>
  <c r="BR77" i="48"/>
  <c r="L6" i="48"/>
  <c r="BO7" i="48"/>
  <c r="BQ91" i="48"/>
  <c r="BQ92" i="48" s="1"/>
  <c r="BS42" i="48"/>
  <c r="BS43" i="48" s="1"/>
  <c r="BR42" i="48"/>
  <c r="BR43" i="48" s="1"/>
  <c r="BS105" i="48"/>
  <c r="BS106" i="48" s="1"/>
  <c r="BR6" i="48"/>
  <c r="AH30" i="5" l="1"/>
  <c r="AI6" i="5"/>
  <c r="BS91" i="48" s="1"/>
  <c r="BS92" i="48" s="1"/>
  <c r="BS77" i="48"/>
  <c r="BS76" i="48" s="1"/>
  <c r="BS78" i="48" s="1"/>
  <c r="BQ78" i="48"/>
  <c r="BR76" i="48"/>
  <c r="BR91" i="48"/>
  <c r="BR92" i="48" s="1"/>
  <c r="L7" i="48"/>
  <c r="AH13" i="5"/>
  <c r="BR7" i="48"/>
  <c r="BS6" i="48"/>
  <c r="BS7" i="48" s="1"/>
  <c r="Y38" i="47"/>
  <c r="Z38" i="47" s="1"/>
  <c r="AA38" i="47" s="1"/>
  <c r="AB38" i="47" s="1"/>
  <c r="AC38" i="47" s="1"/>
  <c r="AD38" i="47" s="1"/>
  <c r="AE38" i="47" s="1"/>
  <c r="AF38" i="47" s="1"/>
  <c r="W38" i="47"/>
  <c r="V38" i="47" s="1"/>
  <c r="U38" i="47" s="1"/>
  <c r="T38" i="47" s="1"/>
  <c r="S38" i="47" s="1"/>
  <c r="R38" i="47" s="1"/>
  <c r="Q38" i="47" s="1"/>
  <c r="P38" i="47" s="1"/>
  <c r="O38" i="47" s="1"/>
  <c r="N38" i="47" s="1"/>
  <c r="M38" i="47" s="1"/>
  <c r="L38" i="47" s="1"/>
  <c r="K38" i="47" s="1"/>
  <c r="J38" i="47" s="1"/>
  <c r="I38" i="47" s="1"/>
  <c r="H38" i="47" s="1"/>
  <c r="G38" i="47" s="1"/>
  <c r="F38" i="47" s="1"/>
  <c r="E38" i="47" s="1"/>
  <c r="D38" i="47" s="1"/>
  <c r="C38" i="47" s="1"/>
  <c r="B38" i="47" s="1"/>
  <c r="M6" i="48" l="1"/>
  <c r="M7" i="48" s="1"/>
  <c r="AH31" i="5"/>
  <c r="AH32" i="5" s="1"/>
  <c r="AI30" i="5"/>
  <c r="AI13" i="5"/>
  <c r="M76" i="48"/>
  <c r="M78" i="48" s="1"/>
  <c r="BR78" i="48"/>
  <c r="R62" i="47"/>
  <c r="C64" i="47"/>
  <c r="B64" i="47"/>
  <c r="A64" i="47" l="1"/>
  <c r="A63" i="47"/>
  <c r="A62" i="47"/>
  <c r="A58" i="47"/>
  <c r="A57" i="47"/>
  <c r="A56" i="47"/>
  <c r="Z59" i="46"/>
  <c r="W59" i="46"/>
  <c r="V59" i="46"/>
  <c r="Z58" i="46"/>
  <c r="W58" i="46"/>
  <c r="V58" i="46"/>
  <c r="Z57" i="46"/>
  <c r="W57" i="46"/>
  <c r="V57" i="46"/>
  <c r="Z56" i="46"/>
  <c r="W56" i="46"/>
  <c r="V56" i="46"/>
  <c r="Z55" i="46"/>
  <c r="Z70" i="46" s="1"/>
  <c r="Y55" i="46"/>
  <c r="Y70" i="46" s="1"/>
  <c r="W55" i="46"/>
  <c r="W70" i="46" s="1"/>
  <c r="V55" i="46"/>
  <c r="V70" i="46" s="1"/>
  <c r="Z54" i="46"/>
  <c r="Z69" i="46" s="1"/>
  <c r="Y54" i="46"/>
  <c r="Y69" i="46" s="1"/>
  <c r="W54" i="46"/>
  <c r="W69" i="46" s="1"/>
  <c r="V54" i="46"/>
  <c r="V69" i="46" s="1"/>
  <c r="Z53" i="46"/>
  <c r="Z68" i="46" s="1"/>
  <c r="Y53" i="46"/>
  <c r="Y68" i="46" s="1"/>
  <c r="W53" i="46"/>
  <c r="W68" i="46" s="1"/>
  <c r="V53" i="46"/>
  <c r="V68" i="46" s="1"/>
  <c r="W52" i="46"/>
  <c r="W67" i="46" s="1"/>
  <c r="V52" i="46"/>
  <c r="V67" i="46" s="1"/>
  <c r="Z51" i="46"/>
  <c r="W51" i="46"/>
  <c r="V51" i="46"/>
  <c r="A59" i="46"/>
  <c r="A58" i="46"/>
  <c r="A57" i="46"/>
  <c r="A56" i="46"/>
  <c r="A55" i="46"/>
  <c r="A54" i="46"/>
  <c r="A53" i="46"/>
  <c r="A52" i="46"/>
  <c r="A51" i="46"/>
  <c r="A44" i="46"/>
  <c r="A43" i="46"/>
  <c r="A42" i="46"/>
  <c r="A41" i="46"/>
  <c r="A40" i="46"/>
  <c r="A39" i="46"/>
  <c r="A38" i="46"/>
  <c r="A37" i="46"/>
  <c r="A36" i="46"/>
  <c r="A35" i="46"/>
  <c r="A24" i="46"/>
  <c r="A23" i="46"/>
  <c r="A22" i="46"/>
  <c r="A21" i="46"/>
  <c r="A20" i="46"/>
  <c r="A19" i="46"/>
  <c r="A18" i="46"/>
  <c r="A17" i="46"/>
  <c r="A16" i="46"/>
  <c r="V60" i="46" l="1"/>
  <c r="V84" i="46"/>
  <c r="Z84" i="46"/>
  <c r="W84" i="46"/>
  <c r="V83" i="46"/>
  <c r="Y84" i="46"/>
  <c r="V85" i="46"/>
  <c r="Y85" i="46"/>
  <c r="Z85" i="46"/>
  <c r="W85" i="46"/>
  <c r="W83" i="46"/>
  <c r="Z66" i="46"/>
  <c r="Z82" i="46" s="1"/>
  <c r="W66" i="46"/>
  <c r="W82" i="46" s="1"/>
  <c r="V66" i="46"/>
  <c r="V82" i="46" s="1"/>
  <c r="W60" i="46"/>
  <c r="P12" i="46"/>
  <c r="P59" i="46" s="1"/>
  <c r="O12" i="46"/>
  <c r="O59" i="46" s="1"/>
  <c r="N12" i="46"/>
  <c r="N59" i="46" s="1"/>
  <c r="M12" i="46"/>
  <c r="M59" i="46" s="1"/>
  <c r="L12" i="46"/>
  <c r="L59" i="46" s="1"/>
  <c r="K12" i="46"/>
  <c r="K59" i="46" s="1"/>
  <c r="J12" i="46"/>
  <c r="J59" i="46" s="1"/>
  <c r="I12" i="46"/>
  <c r="I59" i="46" s="1"/>
  <c r="H12" i="46"/>
  <c r="H59" i="46" s="1"/>
  <c r="G12" i="46"/>
  <c r="G59" i="46" s="1"/>
  <c r="F12" i="46"/>
  <c r="F59" i="46" s="1"/>
  <c r="E12" i="46"/>
  <c r="E59" i="46" s="1"/>
  <c r="D12" i="46"/>
  <c r="D59" i="46" s="1"/>
  <c r="C12" i="46"/>
  <c r="C59" i="46" s="1"/>
  <c r="B12" i="46"/>
  <c r="B59" i="46" s="1"/>
  <c r="P11" i="46"/>
  <c r="P58" i="46" s="1"/>
  <c r="O11" i="46"/>
  <c r="O58" i="46" s="1"/>
  <c r="N11" i="46"/>
  <c r="N58" i="46" s="1"/>
  <c r="M11" i="46"/>
  <c r="M58" i="46" s="1"/>
  <c r="L11" i="46"/>
  <c r="L58" i="46" s="1"/>
  <c r="K11" i="46"/>
  <c r="K58" i="46" s="1"/>
  <c r="J11" i="46"/>
  <c r="J58" i="46" s="1"/>
  <c r="I11" i="46"/>
  <c r="I58" i="46" s="1"/>
  <c r="H11" i="46"/>
  <c r="H58" i="46" s="1"/>
  <c r="G11" i="46"/>
  <c r="G58" i="46" s="1"/>
  <c r="F11" i="46"/>
  <c r="F58" i="46" s="1"/>
  <c r="E11" i="46"/>
  <c r="E58" i="46" s="1"/>
  <c r="D11" i="46"/>
  <c r="D58" i="46" s="1"/>
  <c r="C11" i="46"/>
  <c r="C58" i="46" s="1"/>
  <c r="B11" i="46"/>
  <c r="B58" i="46" s="1"/>
  <c r="P10" i="46"/>
  <c r="P57" i="46" s="1"/>
  <c r="O10" i="46"/>
  <c r="O57" i="46" s="1"/>
  <c r="N10" i="46"/>
  <c r="N57" i="46" s="1"/>
  <c r="M10" i="46"/>
  <c r="M57" i="46" s="1"/>
  <c r="L10" i="46"/>
  <c r="L57" i="46" s="1"/>
  <c r="K10" i="46"/>
  <c r="K57" i="46" s="1"/>
  <c r="J10" i="46"/>
  <c r="J57" i="46" s="1"/>
  <c r="I10" i="46"/>
  <c r="I57" i="46" s="1"/>
  <c r="H10" i="46"/>
  <c r="H57" i="46" s="1"/>
  <c r="G10" i="46"/>
  <c r="G57" i="46" s="1"/>
  <c r="F10" i="46"/>
  <c r="F57" i="46" s="1"/>
  <c r="E10" i="46"/>
  <c r="E57" i="46" s="1"/>
  <c r="D10" i="46"/>
  <c r="D57" i="46" s="1"/>
  <c r="C10" i="46"/>
  <c r="C57" i="46" s="1"/>
  <c r="B10" i="46"/>
  <c r="B57" i="46" s="1"/>
  <c r="P9" i="46"/>
  <c r="P56" i="46" s="1"/>
  <c r="O9" i="46"/>
  <c r="O56" i="46" s="1"/>
  <c r="N9" i="46"/>
  <c r="N56" i="46" s="1"/>
  <c r="M9" i="46"/>
  <c r="M56" i="46" s="1"/>
  <c r="L9" i="46"/>
  <c r="L56" i="46" s="1"/>
  <c r="K9" i="46"/>
  <c r="K56" i="46" s="1"/>
  <c r="J9" i="46"/>
  <c r="J56" i="46" s="1"/>
  <c r="I9" i="46"/>
  <c r="I56" i="46" s="1"/>
  <c r="H9" i="46"/>
  <c r="H56" i="46" s="1"/>
  <c r="G9" i="46"/>
  <c r="G56" i="46" s="1"/>
  <c r="F9" i="46"/>
  <c r="F56" i="46" s="1"/>
  <c r="E9" i="46"/>
  <c r="E56" i="46" s="1"/>
  <c r="D9" i="46"/>
  <c r="D56" i="46" s="1"/>
  <c r="C9" i="46"/>
  <c r="C56" i="46" s="1"/>
  <c r="B9" i="46"/>
  <c r="B56" i="46" s="1"/>
  <c r="P8" i="46"/>
  <c r="O8" i="46"/>
  <c r="N8" i="46"/>
  <c r="M8" i="46"/>
  <c r="L8" i="46"/>
  <c r="K8" i="46"/>
  <c r="K55" i="46" s="1"/>
  <c r="J8" i="46"/>
  <c r="J55" i="46" s="1"/>
  <c r="I8" i="46"/>
  <c r="I55" i="46" s="1"/>
  <c r="H8" i="46"/>
  <c r="H55" i="46" s="1"/>
  <c r="G8" i="46"/>
  <c r="G55" i="46" s="1"/>
  <c r="F8" i="46"/>
  <c r="F55" i="46" s="1"/>
  <c r="E8" i="46"/>
  <c r="E55" i="46" s="1"/>
  <c r="D8" i="46"/>
  <c r="D55" i="46" s="1"/>
  <c r="C8" i="46"/>
  <c r="C55" i="46" s="1"/>
  <c r="B8" i="46"/>
  <c r="B55" i="46" s="1"/>
  <c r="P7" i="46"/>
  <c r="O7" i="46"/>
  <c r="N7" i="46"/>
  <c r="M7" i="46"/>
  <c r="L7" i="46"/>
  <c r="K7" i="46"/>
  <c r="K54" i="46" s="1"/>
  <c r="K69" i="46" s="1"/>
  <c r="J7" i="46"/>
  <c r="J54" i="46" s="1"/>
  <c r="J69" i="46" s="1"/>
  <c r="I7" i="46"/>
  <c r="I54" i="46" s="1"/>
  <c r="I69" i="46" s="1"/>
  <c r="H7" i="46"/>
  <c r="H54" i="46" s="1"/>
  <c r="H69" i="46" s="1"/>
  <c r="G7" i="46"/>
  <c r="G54" i="46" s="1"/>
  <c r="G69" i="46" s="1"/>
  <c r="F7" i="46"/>
  <c r="F54" i="46" s="1"/>
  <c r="F69" i="46" s="1"/>
  <c r="E7" i="46"/>
  <c r="E54" i="46" s="1"/>
  <c r="E69" i="46" s="1"/>
  <c r="D7" i="46"/>
  <c r="D54" i="46" s="1"/>
  <c r="D69" i="46" s="1"/>
  <c r="C7" i="46"/>
  <c r="C54" i="46" s="1"/>
  <c r="C69" i="46" s="1"/>
  <c r="B7" i="46"/>
  <c r="B54" i="46" s="1"/>
  <c r="B69" i="46" s="1"/>
  <c r="P6" i="46"/>
  <c r="O6" i="46"/>
  <c r="N6" i="46"/>
  <c r="M6" i="46"/>
  <c r="L6" i="46"/>
  <c r="K6" i="46"/>
  <c r="K53" i="46" s="1"/>
  <c r="K68" i="46" s="1"/>
  <c r="J6" i="46"/>
  <c r="J53" i="46" s="1"/>
  <c r="J68" i="46" s="1"/>
  <c r="I6" i="46"/>
  <c r="I53" i="46" s="1"/>
  <c r="I68" i="46" s="1"/>
  <c r="H6" i="46"/>
  <c r="H53" i="46" s="1"/>
  <c r="H68" i="46" s="1"/>
  <c r="G6" i="46"/>
  <c r="G53" i="46" s="1"/>
  <c r="G68" i="46" s="1"/>
  <c r="F6" i="46"/>
  <c r="F53" i="46" s="1"/>
  <c r="F68" i="46" s="1"/>
  <c r="E6" i="46"/>
  <c r="E53" i="46" s="1"/>
  <c r="E68" i="46" s="1"/>
  <c r="D6" i="46"/>
  <c r="D53" i="46" s="1"/>
  <c r="D68" i="46" s="1"/>
  <c r="C6" i="46"/>
  <c r="C53" i="46" s="1"/>
  <c r="C68" i="46" s="1"/>
  <c r="B6" i="46"/>
  <c r="B53" i="46" s="1"/>
  <c r="B68" i="46" s="1"/>
  <c r="P5" i="46"/>
  <c r="O5" i="46"/>
  <c r="N5" i="46"/>
  <c r="M5" i="46"/>
  <c r="L5" i="46"/>
  <c r="K5" i="46"/>
  <c r="K52" i="46" s="1"/>
  <c r="K67" i="46" s="1"/>
  <c r="J5" i="46"/>
  <c r="J52" i="46" s="1"/>
  <c r="J67" i="46" s="1"/>
  <c r="I5" i="46"/>
  <c r="I52" i="46" s="1"/>
  <c r="I67" i="46" s="1"/>
  <c r="H5" i="46"/>
  <c r="H52" i="46" s="1"/>
  <c r="H67" i="46" s="1"/>
  <c r="G5" i="46"/>
  <c r="G52" i="46" s="1"/>
  <c r="G67" i="46" s="1"/>
  <c r="F5" i="46"/>
  <c r="F52" i="46" s="1"/>
  <c r="F67" i="46" s="1"/>
  <c r="E5" i="46"/>
  <c r="E52" i="46" s="1"/>
  <c r="E67" i="46" s="1"/>
  <c r="D5" i="46"/>
  <c r="D52" i="46" s="1"/>
  <c r="D67" i="46" s="1"/>
  <c r="C5" i="46"/>
  <c r="C52" i="46" s="1"/>
  <c r="C67" i="46" s="1"/>
  <c r="B5" i="46"/>
  <c r="B52" i="46" s="1"/>
  <c r="B67" i="46" s="1"/>
  <c r="P4" i="46"/>
  <c r="O4" i="46"/>
  <c r="N4" i="46"/>
  <c r="M4" i="46"/>
  <c r="L4" i="46"/>
  <c r="K4" i="46"/>
  <c r="J4" i="46"/>
  <c r="I4" i="46"/>
  <c r="H4" i="46"/>
  <c r="G4" i="46"/>
  <c r="F4" i="46"/>
  <c r="E4" i="46"/>
  <c r="BI20" i="1" l="1"/>
  <c r="AB20" i="7" s="1"/>
  <c r="AA19" i="7"/>
  <c r="BD13" i="13"/>
  <c r="AA13" i="15" s="1"/>
  <c r="N3" i="46"/>
  <c r="M3" i="46"/>
  <c r="O3" i="46"/>
  <c r="L3" i="46"/>
  <c r="P3" i="46"/>
  <c r="E51" i="46"/>
  <c r="E66" i="46" s="1"/>
  <c r="E3" i="46"/>
  <c r="I51" i="46"/>
  <c r="I66" i="46" s="1"/>
  <c r="I3" i="46"/>
  <c r="F51" i="46"/>
  <c r="F66" i="46" s="1"/>
  <c r="F3" i="46"/>
  <c r="J51" i="46"/>
  <c r="J66" i="46" s="1"/>
  <c r="J3" i="46"/>
  <c r="G51" i="46"/>
  <c r="G66" i="46" s="1"/>
  <c r="G3" i="46"/>
  <c r="K51" i="46"/>
  <c r="K66" i="46" s="1"/>
  <c r="K3" i="46"/>
  <c r="H51" i="46"/>
  <c r="H66" i="46" s="1"/>
  <c r="H3" i="46"/>
  <c r="AL27" i="1"/>
  <c r="AK27" i="1"/>
  <c r="AO13" i="13"/>
  <c r="X19" i="7"/>
  <c r="O51" i="46"/>
  <c r="O66" i="46" s="1"/>
  <c r="L52" i="46"/>
  <c r="P52" i="46"/>
  <c r="P67" i="46" s="1"/>
  <c r="M53" i="46"/>
  <c r="M68" i="46" s="1"/>
  <c r="N54" i="46"/>
  <c r="N69" i="46" s="1"/>
  <c r="O55" i="46"/>
  <c r="O70" i="46" s="1"/>
  <c r="L51" i="46"/>
  <c r="L66" i="46" s="1"/>
  <c r="P51" i="46"/>
  <c r="P66" i="46" s="1"/>
  <c r="M52" i="46"/>
  <c r="M67" i="46" s="1"/>
  <c r="N53" i="46"/>
  <c r="N68" i="46" s="1"/>
  <c r="O54" i="46"/>
  <c r="O69" i="46" s="1"/>
  <c r="L55" i="46"/>
  <c r="P55" i="46"/>
  <c r="P70" i="46" s="1"/>
  <c r="M51" i="46"/>
  <c r="M66" i="46" s="1"/>
  <c r="N52" i="46"/>
  <c r="N67" i="46" s="1"/>
  <c r="O53" i="46"/>
  <c r="O68" i="46" s="1"/>
  <c r="L54" i="46"/>
  <c r="L69" i="46" s="1"/>
  <c r="P54" i="46"/>
  <c r="M55" i="46"/>
  <c r="M70" i="46" s="1"/>
  <c r="N51" i="46"/>
  <c r="N66" i="46" s="1"/>
  <c r="O52" i="46"/>
  <c r="O67" i="46" s="1"/>
  <c r="L53" i="46"/>
  <c r="P53" i="46"/>
  <c r="P68" i="46" s="1"/>
  <c r="M54" i="46"/>
  <c r="N55" i="46"/>
  <c r="N70" i="46" s="1"/>
  <c r="BI27" i="1" l="1"/>
  <c r="AA13" i="7"/>
  <c r="I60" i="46"/>
  <c r="E60" i="46"/>
  <c r="G60" i="46"/>
  <c r="F60" i="46"/>
  <c r="H60" i="46"/>
  <c r="J60" i="46"/>
  <c r="K60" i="46"/>
  <c r="X13" i="7"/>
  <c r="X41" i="7" s="1"/>
  <c r="X13" i="15"/>
  <c r="O60" i="46"/>
  <c r="M60" i="46"/>
  <c r="M69" i="46"/>
  <c r="L60" i="46"/>
  <c r="L68" i="46"/>
  <c r="N60" i="46"/>
  <c r="P60" i="46"/>
  <c r="P69" i="46"/>
  <c r="AA4" i="1"/>
  <c r="AA4" i="2"/>
  <c r="G64" i="47" l="1"/>
  <c r="H64" i="47"/>
  <c r="I64" i="47"/>
  <c r="K64" i="47"/>
  <c r="O64" i="47"/>
  <c r="P64" i="47"/>
  <c r="E64" i="47"/>
  <c r="H63" i="47"/>
  <c r="I63" i="47"/>
  <c r="J63" i="47"/>
  <c r="M63" i="47"/>
  <c r="P63" i="47"/>
  <c r="F63" i="47"/>
  <c r="E63" i="47"/>
  <c r="D63" i="47"/>
  <c r="B63" i="47"/>
  <c r="C63" i="47"/>
  <c r="G62" i="47"/>
  <c r="H62" i="47"/>
  <c r="I62" i="47"/>
  <c r="J62" i="47"/>
  <c r="K62" i="47"/>
  <c r="L62" i="47"/>
  <c r="M62" i="47"/>
  <c r="N62" i="47"/>
  <c r="O62" i="47"/>
  <c r="P62" i="47"/>
  <c r="D62" i="47"/>
  <c r="E62" i="47"/>
  <c r="F62" i="47"/>
  <c r="C62" i="47"/>
  <c r="B62" i="47"/>
  <c r="B4" i="47"/>
  <c r="C4" i="47"/>
  <c r="D4" i="47"/>
  <c r="E4" i="47"/>
  <c r="F4" i="47"/>
  <c r="G4" i="47"/>
  <c r="H4" i="47"/>
  <c r="I4" i="47"/>
  <c r="J4" i="47"/>
  <c r="K4" i="47"/>
  <c r="L4" i="47"/>
  <c r="M4" i="47"/>
  <c r="N4" i="47"/>
  <c r="O4" i="47"/>
  <c r="P4" i="47"/>
  <c r="B5" i="47"/>
  <c r="C5" i="47"/>
  <c r="D5" i="47"/>
  <c r="E5" i="47"/>
  <c r="F5" i="47"/>
  <c r="G5" i="47"/>
  <c r="H5" i="47"/>
  <c r="I5" i="47"/>
  <c r="J5" i="47"/>
  <c r="K5" i="47"/>
  <c r="L5" i="47"/>
  <c r="M5" i="47"/>
  <c r="N5" i="47"/>
  <c r="O5" i="47"/>
  <c r="P5" i="47"/>
  <c r="B6" i="47"/>
  <c r="C6" i="47"/>
  <c r="D6" i="47"/>
  <c r="E6" i="47"/>
  <c r="F6" i="47"/>
  <c r="G6" i="47"/>
  <c r="H6" i="47"/>
  <c r="I6" i="47"/>
  <c r="J6" i="47"/>
  <c r="K6" i="47"/>
  <c r="L6" i="47"/>
  <c r="M6" i="47"/>
  <c r="N6" i="47"/>
  <c r="O6" i="47"/>
  <c r="P6" i="47"/>
  <c r="B7" i="47"/>
  <c r="C7" i="47"/>
  <c r="D7" i="47"/>
  <c r="E7" i="47"/>
  <c r="F7" i="47"/>
  <c r="G7" i="47"/>
  <c r="H7" i="47"/>
  <c r="I7" i="47"/>
  <c r="J7" i="47"/>
  <c r="K7" i="47"/>
  <c r="L7" i="47"/>
  <c r="M7" i="47"/>
  <c r="N7" i="47"/>
  <c r="O7" i="47"/>
  <c r="P7" i="47"/>
  <c r="B8" i="47"/>
  <c r="C8" i="47"/>
  <c r="D8" i="47"/>
  <c r="E8" i="47"/>
  <c r="F8" i="47"/>
  <c r="G8" i="47"/>
  <c r="H8" i="47"/>
  <c r="I8" i="47"/>
  <c r="J8" i="47"/>
  <c r="K8" i="47"/>
  <c r="L8" i="47"/>
  <c r="M8" i="47"/>
  <c r="N8" i="47"/>
  <c r="O8" i="47"/>
  <c r="P8" i="47"/>
  <c r="B9" i="47"/>
  <c r="C9" i="47"/>
  <c r="D9" i="47"/>
  <c r="E9" i="47"/>
  <c r="F9" i="47"/>
  <c r="G9" i="47"/>
  <c r="H9" i="47"/>
  <c r="I9" i="47"/>
  <c r="J9" i="47"/>
  <c r="K9" i="47"/>
  <c r="L9" i="47"/>
  <c r="M9" i="47"/>
  <c r="N9" i="47"/>
  <c r="O9" i="47"/>
  <c r="P9" i="47"/>
  <c r="B10" i="47"/>
  <c r="C10" i="47"/>
  <c r="D10" i="47"/>
  <c r="E10" i="47"/>
  <c r="F10" i="47"/>
  <c r="G10" i="47"/>
  <c r="H10" i="47"/>
  <c r="I10" i="47"/>
  <c r="J10" i="47"/>
  <c r="K10" i="47"/>
  <c r="L10" i="47"/>
  <c r="M10" i="47"/>
  <c r="N10" i="47"/>
  <c r="O10" i="47"/>
  <c r="P10" i="47"/>
  <c r="C11" i="47"/>
  <c r="D11" i="47"/>
  <c r="E11" i="47"/>
  <c r="F11" i="47"/>
  <c r="G11" i="47"/>
  <c r="H11" i="47"/>
  <c r="I11" i="47"/>
  <c r="J11" i="47"/>
  <c r="K11" i="47"/>
  <c r="L11" i="47"/>
  <c r="M11" i="47"/>
  <c r="N11" i="47"/>
  <c r="O11" i="47"/>
  <c r="P11" i="47"/>
  <c r="B12" i="47"/>
  <c r="C12" i="47"/>
  <c r="D12" i="47"/>
  <c r="E12" i="47"/>
  <c r="F12" i="47"/>
  <c r="G12" i="47"/>
  <c r="H12" i="47"/>
  <c r="I12" i="47"/>
  <c r="J12" i="47"/>
  <c r="K12" i="47"/>
  <c r="L12" i="47"/>
  <c r="M12" i="47"/>
  <c r="N12" i="47"/>
  <c r="O12" i="47"/>
  <c r="P12" i="47"/>
  <c r="B13" i="47"/>
  <c r="C13" i="47"/>
  <c r="D13" i="47"/>
  <c r="E13" i="47"/>
  <c r="F13" i="47"/>
  <c r="G13" i="47"/>
  <c r="H13" i="47"/>
  <c r="I13" i="47"/>
  <c r="J13" i="47"/>
  <c r="K13" i="47"/>
  <c r="L13" i="47"/>
  <c r="M13" i="47"/>
  <c r="N13" i="47"/>
  <c r="O13" i="47"/>
  <c r="P13" i="47"/>
  <c r="B14" i="47"/>
  <c r="C14" i="47"/>
  <c r="D14" i="47"/>
  <c r="E14" i="47"/>
  <c r="F14" i="47"/>
  <c r="G14" i="47"/>
  <c r="H14" i="47"/>
  <c r="I14" i="47"/>
  <c r="J14" i="47"/>
  <c r="K14" i="47"/>
  <c r="L14" i="47"/>
  <c r="M14" i="47"/>
  <c r="N14" i="47"/>
  <c r="O14" i="47"/>
  <c r="P14" i="47"/>
  <c r="B15" i="47"/>
  <c r="C15" i="47"/>
  <c r="D15" i="47"/>
  <c r="E15" i="47"/>
  <c r="F15" i="47"/>
  <c r="G15" i="47"/>
  <c r="H15" i="47"/>
  <c r="I15" i="47"/>
  <c r="J15" i="47"/>
  <c r="K15" i="47"/>
  <c r="L15" i="47"/>
  <c r="M15" i="47"/>
  <c r="N15" i="47"/>
  <c r="O15" i="47"/>
  <c r="P15" i="47"/>
  <c r="B16" i="47"/>
  <c r="C16" i="47"/>
  <c r="D16" i="47"/>
  <c r="E16" i="47"/>
  <c r="F16" i="47"/>
  <c r="G16" i="47"/>
  <c r="H16" i="47"/>
  <c r="I16" i="47"/>
  <c r="J16" i="47"/>
  <c r="K16" i="47"/>
  <c r="L16" i="47"/>
  <c r="M16" i="47"/>
  <c r="N16" i="47"/>
  <c r="O16" i="47"/>
  <c r="P16" i="47"/>
  <c r="C53" i="47"/>
  <c r="Z37" i="47"/>
  <c r="AA37" i="47" s="1"/>
  <c r="AB37" i="47" s="1"/>
  <c r="AC37" i="47" s="1"/>
  <c r="AD37" i="47" s="1"/>
  <c r="AE37" i="47" s="1"/>
  <c r="AF37" i="47" s="1"/>
  <c r="X37" i="47"/>
  <c r="W37" i="47" s="1"/>
  <c r="V37" i="47" s="1"/>
  <c r="U37" i="47" s="1"/>
  <c r="T37" i="47" s="1"/>
  <c r="S37" i="47" s="1"/>
  <c r="R37" i="47" s="1"/>
  <c r="Q37" i="47" s="1"/>
  <c r="P37" i="47" s="1"/>
  <c r="O37" i="47" s="1"/>
  <c r="N37" i="47" s="1"/>
  <c r="M37" i="47" s="1"/>
  <c r="L37" i="47" s="1"/>
  <c r="K37" i="47" s="1"/>
  <c r="J37" i="47" s="1"/>
  <c r="I37" i="47" s="1"/>
  <c r="H37" i="47" s="1"/>
  <c r="G37" i="47" s="1"/>
  <c r="F37" i="47" s="1"/>
  <c r="E37" i="47" s="1"/>
  <c r="D37" i="47" s="1"/>
  <c r="C37" i="47" s="1"/>
  <c r="B37" i="47" s="1"/>
  <c r="Y36" i="47"/>
  <c r="Z36" i="47" s="1"/>
  <c r="AA36" i="47" s="1"/>
  <c r="AB36" i="47" s="1"/>
  <c r="AC36" i="47" s="1"/>
  <c r="AD36" i="47" s="1"/>
  <c r="AE36" i="47" s="1"/>
  <c r="AF36" i="47" s="1"/>
  <c r="W36" i="47"/>
  <c r="V36" i="47" s="1"/>
  <c r="U36" i="47" s="1"/>
  <c r="T36" i="47" s="1"/>
  <c r="S36" i="47" s="1"/>
  <c r="R36" i="47" s="1"/>
  <c r="Q36" i="47" s="1"/>
  <c r="P36" i="47" s="1"/>
  <c r="O36" i="47" s="1"/>
  <c r="N36" i="47" s="1"/>
  <c r="M36" i="47" s="1"/>
  <c r="L36" i="47" s="1"/>
  <c r="K36" i="47" s="1"/>
  <c r="J36" i="47" s="1"/>
  <c r="I36" i="47" s="1"/>
  <c r="H36" i="47" s="1"/>
  <c r="G36" i="47" s="1"/>
  <c r="F36" i="47" s="1"/>
  <c r="E36" i="47" s="1"/>
  <c r="D36" i="47" s="1"/>
  <c r="C36" i="47" s="1"/>
  <c r="B36" i="47" s="1"/>
  <c r="V35" i="47"/>
  <c r="W35" i="47" s="1"/>
  <c r="X35" i="47" s="1"/>
  <c r="Y35" i="47" s="1"/>
  <c r="Z35" i="47" s="1"/>
  <c r="AA35" i="47" s="1"/>
  <c r="AB35" i="47" s="1"/>
  <c r="T35" i="47"/>
  <c r="S35" i="47" s="1"/>
  <c r="R35" i="47" s="1"/>
  <c r="Q35" i="47" s="1"/>
  <c r="P35" i="47" s="1"/>
  <c r="O35" i="47" s="1"/>
  <c r="N35" i="47" s="1"/>
  <c r="M35" i="47" s="1"/>
  <c r="L35" i="47" s="1"/>
  <c r="K35" i="47" s="1"/>
  <c r="J35" i="47" s="1"/>
  <c r="I35" i="47" s="1"/>
  <c r="H35" i="47" s="1"/>
  <c r="G35" i="47" s="1"/>
  <c r="F35" i="47" s="1"/>
  <c r="E35" i="47" s="1"/>
  <c r="D35" i="47" s="1"/>
  <c r="C35" i="47" s="1"/>
  <c r="B35" i="47" s="1"/>
  <c r="V34" i="47"/>
  <c r="W34" i="47" s="1"/>
  <c r="X34" i="47" s="1"/>
  <c r="Y34" i="47" s="1"/>
  <c r="Z34" i="47" s="1"/>
  <c r="AA34" i="47" s="1"/>
  <c r="AB34" i="47" s="1"/>
  <c r="T34" i="47"/>
  <c r="S34" i="47" s="1"/>
  <c r="R34" i="47" s="1"/>
  <c r="Q34" i="47" s="1"/>
  <c r="P34" i="47" s="1"/>
  <c r="O34" i="47" s="1"/>
  <c r="N34" i="47" s="1"/>
  <c r="M34" i="47" s="1"/>
  <c r="L34" i="47" s="1"/>
  <c r="K34" i="47" s="1"/>
  <c r="J34" i="47" s="1"/>
  <c r="I34" i="47" s="1"/>
  <c r="H34" i="47" s="1"/>
  <c r="G34" i="47" s="1"/>
  <c r="F34" i="47" s="1"/>
  <c r="E34" i="47" s="1"/>
  <c r="D34" i="47" s="1"/>
  <c r="C34" i="47" s="1"/>
  <c r="B34" i="47" s="1"/>
  <c r="V33" i="47"/>
  <c r="W33" i="47" s="1"/>
  <c r="X33" i="47" s="1"/>
  <c r="Y33" i="47" s="1"/>
  <c r="Z33" i="47" s="1"/>
  <c r="T33" i="47"/>
  <c r="S33" i="47" s="1"/>
  <c r="R33" i="47" s="1"/>
  <c r="Q33" i="47" s="1"/>
  <c r="P33" i="47" s="1"/>
  <c r="O33" i="47" s="1"/>
  <c r="N33" i="47" s="1"/>
  <c r="M33" i="47" s="1"/>
  <c r="L33" i="47" s="1"/>
  <c r="K33" i="47" s="1"/>
  <c r="J33" i="47" s="1"/>
  <c r="I33" i="47" s="1"/>
  <c r="H33" i="47" s="1"/>
  <c r="G33" i="47" s="1"/>
  <c r="F33" i="47" s="1"/>
  <c r="E33" i="47" s="1"/>
  <c r="D33" i="47" s="1"/>
  <c r="C33" i="47" s="1"/>
  <c r="B33" i="47" s="1"/>
  <c r="T32" i="47"/>
  <c r="S32" i="47" s="1"/>
  <c r="R32" i="47" s="1"/>
  <c r="Q32" i="47" s="1"/>
  <c r="P32" i="47" s="1"/>
  <c r="O32" i="47" s="1"/>
  <c r="N32" i="47" s="1"/>
  <c r="M32" i="47" s="1"/>
  <c r="L32" i="47" s="1"/>
  <c r="K32" i="47" s="1"/>
  <c r="J32" i="47" s="1"/>
  <c r="I32" i="47" s="1"/>
  <c r="H32" i="47" s="1"/>
  <c r="G32" i="47" s="1"/>
  <c r="F32" i="47" s="1"/>
  <c r="E32" i="47" s="1"/>
  <c r="D32" i="47" s="1"/>
  <c r="C32" i="47" s="1"/>
  <c r="B32" i="47" s="1"/>
  <c r="T31" i="47"/>
  <c r="S31" i="47" s="1"/>
  <c r="R31" i="47" s="1"/>
  <c r="Q31" i="47" s="1"/>
  <c r="P31" i="47" s="1"/>
  <c r="O31" i="47" s="1"/>
  <c r="N31" i="47" s="1"/>
  <c r="M31" i="47" s="1"/>
  <c r="L31" i="47" s="1"/>
  <c r="K31" i="47" s="1"/>
  <c r="J31" i="47" s="1"/>
  <c r="I31" i="47" s="1"/>
  <c r="H31" i="47" s="1"/>
  <c r="G31" i="47" s="1"/>
  <c r="F31" i="47" s="1"/>
  <c r="E31" i="47" s="1"/>
  <c r="D31" i="47" s="1"/>
  <c r="C31" i="47" s="1"/>
  <c r="B31" i="47" s="1"/>
  <c r="S30" i="47"/>
  <c r="R30" i="47" s="1"/>
  <c r="Q30" i="47" s="1"/>
  <c r="P30" i="47" s="1"/>
  <c r="O30" i="47" s="1"/>
  <c r="N30" i="47" s="1"/>
  <c r="M30" i="47" s="1"/>
  <c r="L30" i="47" s="1"/>
  <c r="K30" i="47" s="1"/>
  <c r="J30" i="47" s="1"/>
  <c r="I30" i="47" s="1"/>
  <c r="H30" i="47" s="1"/>
  <c r="G30" i="47" s="1"/>
  <c r="F30" i="47" s="1"/>
  <c r="E30" i="47" s="1"/>
  <c r="D30" i="47" s="1"/>
  <c r="C30" i="47" s="1"/>
  <c r="B30" i="47" s="1"/>
  <c r="Y29" i="47"/>
  <c r="U28" i="47"/>
  <c r="T28" i="47" s="1"/>
  <c r="S28" i="47" s="1"/>
  <c r="R28" i="47" s="1"/>
  <c r="Q28" i="47" s="1"/>
  <c r="P28" i="47" s="1"/>
  <c r="O28" i="47" s="1"/>
  <c r="N28" i="47" s="1"/>
  <c r="M28" i="47" s="1"/>
  <c r="L28" i="47" s="1"/>
  <c r="K28" i="47" s="1"/>
  <c r="J28" i="47" s="1"/>
  <c r="I28" i="47" s="1"/>
  <c r="H28" i="47" s="1"/>
  <c r="G28" i="47" s="1"/>
  <c r="F28" i="47" s="1"/>
  <c r="E28" i="47" s="1"/>
  <c r="D28" i="47" s="1"/>
  <c r="C28" i="47" s="1"/>
  <c r="B28" i="47" s="1"/>
  <c r="U27" i="47"/>
  <c r="T26" i="47"/>
  <c r="L25" i="47"/>
  <c r="P24" i="47"/>
  <c r="O24" i="47" s="1"/>
  <c r="N24" i="47" s="1"/>
  <c r="M24" i="47" s="1"/>
  <c r="L24" i="47" s="1"/>
  <c r="K24" i="47" s="1"/>
  <c r="J24" i="47" s="1"/>
  <c r="I24" i="47" s="1"/>
  <c r="H24" i="47" s="1"/>
  <c r="G24" i="47" s="1"/>
  <c r="F24" i="47" s="1"/>
  <c r="E24" i="47" s="1"/>
  <c r="D24" i="47" s="1"/>
  <c r="C24" i="47" s="1"/>
  <c r="B24" i="47" s="1"/>
  <c r="O23" i="47"/>
  <c r="N23" i="47" s="1"/>
  <c r="M23" i="47" s="1"/>
  <c r="L23" i="47" s="1"/>
  <c r="K23" i="47" s="1"/>
  <c r="J23" i="47" s="1"/>
  <c r="I23" i="47" s="1"/>
  <c r="H23" i="47" s="1"/>
  <c r="G23" i="47" s="1"/>
  <c r="F23" i="47" s="1"/>
  <c r="E23" i="47" s="1"/>
  <c r="AJ30" i="5"/>
  <c r="V44" i="46"/>
  <c r="W13" i="46"/>
  <c r="P30" i="46"/>
  <c r="P44" i="46" s="1"/>
  <c r="P45" i="7" s="1"/>
  <c r="P44" i="7" s="1"/>
  <c r="P47" i="7" s="1"/>
  <c r="O30" i="46"/>
  <c r="O44" i="46" s="1"/>
  <c r="O45" i="7" s="1"/>
  <c r="O44" i="7" s="1"/>
  <c r="O47" i="7" s="1"/>
  <c r="N30" i="46"/>
  <c r="M30" i="46"/>
  <c r="L30" i="46"/>
  <c r="L44" i="46" s="1"/>
  <c r="L45" i="7" s="1"/>
  <c r="L44" i="7" s="1"/>
  <c r="L47" i="7" s="1"/>
  <c r="K30" i="46"/>
  <c r="K44" i="46" s="1"/>
  <c r="K45" i="7" s="1"/>
  <c r="K44" i="7" s="1"/>
  <c r="K47" i="7" s="1"/>
  <c r="J30" i="46"/>
  <c r="I30" i="46"/>
  <c r="H30" i="46"/>
  <c r="H44" i="46" s="1"/>
  <c r="H45" i="7" s="1"/>
  <c r="H44" i="7" s="1"/>
  <c r="H47" i="7" s="1"/>
  <c r="G30" i="46"/>
  <c r="G44" i="46" s="1"/>
  <c r="G45" i="7" s="1"/>
  <c r="G44" i="7" s="1"/>
  <c r="G47" i="7" s="1"/>
  <c r="F30" i="46"/>
  <c r="E30" i="46"/>
  <c r="G53" i="47" l="1"/>
  <c r="D50" i="47"/>
  <c r="H53" i="47"/>
  <c r="C52" i="47"/>
  <c r="E20" i="47"/>
  <c r="P65" i="47"/>
  <c r="P53" i="47"/>
  <c r="L20" i="47"/>
  <c r="C65" i="47"/>
  <c r="H65" i="47"/>
  <c r="N50" i="47"/>
  <c r="C50" i="47"/>
  <c r="AE49" i="1"/>
  <c r="AD49" i="1" s="1"/>
  <c r="AC49" i="1" s="1"/>
  <c r="V45" i="7"/>
  <c r="D20" i="47"/>
  <c r="E65" i="47"/>
  <c r="B65" i="47"/>
  <c r="O50" i="47"/>
  <c r="I65" i="47"/>
  <c r="M52" i="47"/>
  <c r="L63" i="47"/>
  <c r="D53" i="47"/>
  <c r="D64" i="47"/>
  <c r="D65" i="47" s="1"/>
  <c r="O53" i="47"/>
  <c r="N64" i="47"/>
  <c r="K53" i="47"/>
  <c r="J64" i="47"/>
  <c r="J65" i="47" s="1"/>
  <c r="O52" i="47"/>
  <c r="O63" i="47"/>
  <c r="O65" i="47" s="1"/>
  <c r="K52" i="47"/>
  <c r="K63" i="47"/>
  <c r="K65" i="47" s="1"/>
  <c r="G52" i="47"/>
  <c r="G63" i="47"/>
  <c r="G65" i="47" s="1"/>
  <c r="N53" i="47"/>
  <c r="M64" i="47"/>
  <c r="M65" i="47" s="1"/>
  <c r="N52" i="47"/>
  <c r="N63" i="47"/>
  <c r="F53" i="47"/>
  <c r="F64" i="47"/>
  <c r="F65" i="47" s="1"/>
  <c r="L53" i="47"/>
  <c r="L64" i="47"/>
  <c r="N20" i="47"/>
  <c r="F20" i="47"/>
  <c r="P50" i="47"/>
  <c r="H50" i="47"/>
  <c r="K50" i="47"/>
  <c r="E50" i="47"/>
  <c r="L50" i="47"/>
  <c r="M50" i="47"/>
  <c r="K25" i="47"/>
  <c r="X29" i="47"/>
  <c r="X41" i="47" s="1"/>
  <c r="J53" i="47"/>
  <c r="S26" i="47"/>
  <c r="L52" i="47"/>
  <c r="T27" i="47"/>
  <c r="AA33" i="47"/>
  <c r="AB33" i="47" s="1"/>
  <c r="AC33" i="47" s="1"/>
  <c r="AD33" i="47" s="1"/>
  <c r="AE33" i="47" s="1"/>
  <c r="AF33" i="47" s="1"/>
  <c r="D52" i="47"/>
  <c r="Y20" i="47"/>
  <c r="F50" i="47"/>
  <c r="E52" i="47"/>
  <c r="J52" i="47"/>
  <c r="W44" i="46"/>
  <c r="M31" i="46"/>
  <c r="M44" i="46"/>
  <c r="M45" i="7" s="1"/>
  <c r="M44" i="7" s="1"/>
  <c r="M47" i="7" s="1"/>
  <c r="E31" i="46"/>
  <c r="E44" i="46"/>
  <c r="E45" i="7" s="1"/>
  <c r="E44" i="7" s="1"/>
  <c r="E47" i="7" s="1"/>
  <c r="F31" i="46"/>
  <c r="F44" i="46"/>
  <c r="F45" i="7" s="1"/>
  <c r="F44" i="7" s="1"/>
  <c r="F47" i="7" s="1"/>
  <c r="J31" i="46"/>
  <c r="J44" i="46"/>
  <c r="J45" i="7" s="1"/>
  <c r="J44" i="7" s="1"/>
  <c r="J47" i="7" s="1"/>
  <c r="N31" i="46"/>
  <c r="N44" i="46"/>
  <c r="N45" i="7" s="1"/>
  <c r="N44" i="7" s="1"/>
  <c r="N47" i="7" s="1"/>
  <c r="I31" i="46"/>
  <c r="I44" i="46"/>
  <c r="I45" i="7" s="1"/>
  <c r="I44" i="7" s="1"/>
  <c r="I47" i="7" s="1"/>
  <c r="G31" i="46"/>
  <c r="K31" i="46"/>
  <c r="O31" i="46"/>
  <c r="H31" i="46"/>
  <c r="L31" i="46"/>
  <c r="P31" i="46"/>
  <c r="I52" i="47"/>
  <c r="F52" i="47"/>
  <c r="G50" i="47"/>
  <c r="D23" i="47"/>
  <c r="C23" i="47" s="1"/>
  <c r="B23" i="47" s="1"/>
  <c r="J20" i="47"/>
  <c r="H20" i="47"/>
  <c r="P20" i="47"/>
  <c r="X20" i="47"/>
  <c r="Y41" i="47"/>
  <c r="I20" i="47"/>
  <c r="M20" i="47"/>
  <c r="M53" i="47"/>
  <c r="C20" i="47"/>
  <c r="G20" i="47"/>
  <c r="K20" i="47"/>
  <c r="O20" i="47"/>
  <c r="W20" i="47"/>
  <c r="I53" i="47"/>
  <c r="E53" i="47"/>
  <c r="I50" i="47"/>
  <c r="H52" i="47"/>
  <c r="P52" i="47"/>
  <c r="J50" i="47"/>
  <c r="H13" i="46"/>
  <c r="L13" i="46"/>
  <c r="P13" i="46"/>
  <c r="E13" i="46"/>
  <c r="I13" i="46"/>
  <c r="M13" i="46"/>
  <c r="F13" i="46"/>
  <c r="J13" i="46"/>
  <c r="N13" i="46"/>
  <c r="G13" i="46"/>
  <c r="K13" i="46"/>
  <c r="O13" i="46"/>
  <c r="AO49" i="1" l="1"/>
  <c r="AN49" i="1" s="1"/>
  <c r="AN48" i="1" s="1"/>
  <c r="AN51" i="1" s="1"/>
  <c r="AT49" i="1"/>
  <c r="AS49" i="1" s="1"/>
  <c r="AM26" i="1"/>
  <c r="AH26" i="1"/>
  <c r="AG26" i="1"/>
  <c r="AF26" i="1"/>
  <c r="AB26" i="1"/>
  <c r="AC26" i="1"/>
  <c r="L65" i="47"/>
  <c r="AJ27" i="41"/>
  <c r="W27" i="40" s="1"/>
  <c r="N65" i="47"/>
  <c r="W45" i="7"/>
  <c r="AJ49" i="1"/>
  <c r="AI49" i="1" s="1"/>
  <c r="AH49" i="1" s="1"/>
  <c r="AH48" i="1" s="1"/>
  <c r="AH51" i="1" s="1"/>
  <c r="AB49" i="1"/>
  <c r="AB48" i="1" s="1"/>
  <c r="S27" i="47"/>
  <c r="R26" i="47"/>
  <c r="W29" i="47"/>
  <c r="J25" i="47"/>
  <c r="AE4" i="1"/>
  <c r="AM49" i="1" l="1"/>
  <c r="AM48" i="1" s="1"/>
  <c r="AM51" i="1" s="1"/>
  <c r="AL26" i="1"/>
  <c r="X4" i="7"/>
  <c r="AK26" i="1"/>
  <c r="AO3" i="13"/>
  <c r="X3" i="7"/>
  <c r="X8" i="7"/>
  <c r="AG49" i="1"/>
  <c r="AG48" i="1" s="1"/>
  <c r="AG51" i="1" s="1"/>
  <c r="AC48" i="1"/>
  <c r="AA49" i="1"/>
  <c r="AA48" i="1" s="1"/>
  <c r="AB51" i="1"/>
  <c r="I25" i="47"/>
  <c r="V29" i="47"/>
  <c r="W41" i="47"/>
  <c r="R27" i="47"/>
  <c r="Q26" i="47"/>
  <c r="AD48" i="1"/>
  <c r="AL49" i="1" l="1"/>
  <c r="AL48" i="1" s="1"/>
  <c r="AL51" i="1" s="1"/>
  <c r="N32" i="52"/>
  <c r="M40" i="52" s="1"/>
  <c r="X32" i="46"/>
  <c r="AO26" i="1"/>
  <c r="N52" i="52"/>
  <c r="N53" i="52" s="1"/>
  <c r="AL3" i="13"/>
  <c r="AL31" i="5"/>
  <c r="AL32" i="5" s="1"/>
  <c r="AM3" i="13"/>
  <c r="AM31" i="5"/>
  <c r="AM32" i="5" s="1"/>
  <c r="X22" i="7"/>
  <c r="X42" i="7"/>
  <c r="AK3" i="13"/>
  <c r="AK31" i="5"/>
  <c r="AK32" i="5" s="1"/>
  <c r="X3" i="15"/>
  <c r="AF49" i="1"/>
  <c r="AF48" i="1" s="1"/>
  <c r="AF51" i="1" s="1"/>
  <c r="AE48" i="1"/>
  <c r="AA51" i="1"/>
  <c r="Q27" i="47"/>
  <c r="U29" i="47"/>
  <c r="H25" i="47"/>
  <c r="P26" i="47"/>
  <c r="L38" i="52" l="1"/>
  <c r="AK49" i="1"/>
  <c r="AK48" i="1" s="1"/>
  <c r="AK51" i="1" s="1"/>
  <c r="AO51" i="1" s="1"/>
  <c r="N54" i="52"/>
  <c r="R19" i="52"/>
  <c r="R28" i="52" s="1"/>
  <c r="AN3" i="13"/>
  <c r="AI27" i="41"/>
  <c r="AH27" i="41"/>
  <c r="O26" i="47"/>
  <c r="P27" i="47"/>
  <c r="G25" i="47"/>
  <c r="T29" i="47"/>
  <c r="AO48" i="1" l="1"/>
  <c r="Q38" i="52"/>
  <c r="Q39" i="52"/>
  <c r="R40" i="52"/>
  <c r="R41" i="52"/>
  <c r="AN13" i="13"/>
  <c r="S29" i="47"/>
  <c r="O27" i="47"/>
  <c r="N26" i="47"/>
  <c r="F25" i="47"/>
  <c r="T38" i="52" l="1"/>
  <c r="T40" i="52"/>
  <c r="T39" i="52"/>
  <c r="T41" i="52"/>
  <c r="U19" i="52"/>
  <c r="U28" i="52" s="1"/>
  <c r="U57" i="52" s="1"/>
  <c r="V58" i="52" s="1"/>
  <c r="S38" i="52"/>
  <c r="S39" i="52"/>
  <c r="S40" i="52"/>
  <c r="S41" i="52"/>
  <c r="R38" i="52"/>
  <c r="R39" i="52"/>
  <c r="E25" i="47"/>
  <c r="M26" i="47"/>
  <c r="N27" i="47"/>
  <c r="R29" i="47"/>
  <c r="T37" i="52" l="1"/>
  <c r="T57" i="52" s="1"/>
  <c r="U58" i="52" s="1"/>
  <c r="S37" i="52"/>
  <c r="S57" i="52" s="1"/>
  <c r="R37" i="52"/>
  <c r="R57" i="52" s="1"/>
  <c r="M27" i="47"/>
  <c r="L26" i="47"/>
  <c r="Q29" i="47"/>
  <c r="D25" i="47"/>
  <c r="T58" i="52" l="1"/>
  <c r="S58" i="52"/>
  <c r="K26" i="47"/>
  <c r="L27" i="47"/>
  <c r="C25" i="47"/>
  <c r="P29" i="47"/>
  <c r="B25" i="47" l="1"/>
  <c r="K27" i="47"/>
  <c r="J26" i="47"/>
  <c r="O29" i="47"/>
  <c r="P41" i="47"/>
  <c r="P42" i="47" l="1"/>
  <c r="I26" i="47"/>
  <c r="J27" i="47"/>
  <c r="N29" i="47"/>
  <c r="O41" i="47"/>
  <c r="AB137" i="31"/>
  <c r="O42" i="47" l="1"/>
  <c r="I27" i="47"/>
  <c r="M29" i="47"/>
  <c r="N41" i="47"/>
  <c r="H26" i="47"/>
  <c r="N42" i="47" l="1"/>
  <c r="P51" i="47"/>
  <c r="L29" i="47"/>
  <c r="M41" i="47"/>
  <c r="H27" i="47"/>
  <c r="G26" i="47"/>
  <c r="Z44" i="13"/>
  <c r="W44" i="13"/>
  <c r="S44" i="13"/>
  <c r="I44" i="13"/>
  <c r="H44" i="13"/>
  <c r="M42" i="47" l="1"/>
  <c r="N51" i="47" s="1"/>
  <c r="O51" i="47"/>
  <c r="K29" i="47"/>
  <c r="L41" i="47"/>
  <c r="F26" i="47"/>
  <c r="G27" i="47"/>
  <c r="P132" i="31"/>
  <c r="AB130" i="31"/>
  <c r="L42" i="47" l="1"/>
  <c r="F27" i="47"/>
  <c r="J29" i="47"/>
  <c r="K41" i="47"/>
  <c r="E26" i="47"/>
  <c r="AD85" i="14"/>
  <c r="AD93" i="13" s="1"/>
  <c r="AC85" i="14"/>
  <c r="AC93" i="13" s="1"/>
  <c r="AG85" i="14"/>
  <c r="AG93" i="13" s="1"/>
  <c r="AC59" i="13" l="1"/>
  <c r="K42" i="47"/>
  <c r="L51" i="47" s="1"/>
  <c r="M51" i="47"/>
  <c r="D26" i="47"/>
  <c r="E27" i="47"/>
  <c r="I29" i="47"/>
  <c r="J41" i="47"/>
  <c r="J42" i="47" l="1"/>
  <c r="C26" i="47"/>
  <c r="H29" i="47"/>
  <c r="I41" i="47"/>
  <c r="D27" i="47"/>
  <c r="Z138" i="13"/>
  <c r="U138" i="13"/>
  <c r="P138" i="13"/>
  <c r="K138" i="13"/>
  <c r="F138" i="13"/>
  <c r="I42" i="47" l="1"/>
  <c r="J51" i="47" s="1"/>
  <c r="K51" i="47"/>
  <c r="G29" i="47"/>
  <c r="H41" i="47"/>
  <c r="C27" i="47"/>
  <c r="B26" i="47"/>
  <c r="H42" i="47" l="1"/>
  <c r="F29" i="47"/>
  <c r="G41" i="47"/>
  <c r="B27" i="47"/>
  <c r="G42" i="47" l="1"/>
  <c r="H51" i="47" s="1"/>
  <c r="I51" i="47"/>
  <c r="E29" i="47"/>
  <c r="F41" i="47"/>
  <c r="B80" i="15"/>
  <c r="B77" i="15"/>
  <c r="A64" i="15"/>
  <c r="B85" i="16"/>
  <c r="B75" i="16"/>
  <c r="B69" i="16"/>
  <c r="Z173" i="13"/>
  <c r="X173" i="13" s="1"/>
  <c r="U173" i="13"/>
  <c r="T173" i="13" s="1"/>
  <c r="P173" i="13"/>
  <c r="O173" i="13" s="1"/>
  <c r="J173" i="13"/>
  <c r="I173" i="13"/>
  <c r="H173" i="13"/>
  <c r="G173" i="13"/>
  <c r="E173" i="13"/>
  <c r="D173" i="13"/>
  <c r="C173" i="13"/>
  <c r="B173" i="13"/>
  <c r="N171" i="15"/>
  <c r="M171" i="15"/>
  <c r="L171" i="15"/>
  <c r="K171" i="15"/>
  <c r="J171" i="15"/>
  <c r="I171" i="15"/>
  <c r="H171" i="15"/>
  <c r="G171" i="15"/>
  <c r="F171" i="15"/>
  <c r="E171" i="15"/>
  <c r="F42" i="47" l="1"/>
  <c r="G51" i="47" s="1"/>
  <c r="D29" i="47"/>
  <c r="E41" i="47"/>
  <c r="Q173" i="13"/>
  <c r="L173" i="13"/>
  <c r="Y173" i="13"/>
  <c r="M173" i="13"/>
  <c r="N173" i="13"/>
  <c r="AE173" i="13"/>
  <c r="V173" i="13"/>
  <c r="R173" i="13"/>
  <c r="S173" i="13"/>
  <c r="W173" i="13"/>
  <c r="E42" i="47" l="1"/>
  <c r="F51" i="47" s="1"/>
  <c r="C29" i="47"/>
  <c r="D41" i="47"/>
  <c r="AJ173" i="13"/>
  <c r="W171" i="15" s="1"/>
  <c r="X171" i="15" s="1"/>
  <c r="AA173" i="13"/>
  <c r="AD173" i="13"/>
  <c r="AC173" i="13"/>
  <c r="AB173" i="13"/>
  <c r="A71" i="16"/>
  <c r="U167" i="15"/>
  <c r="T167" i="15"/>
  <c r="S167" i="15"/>
  <c r="R167" i="15"/>
  <c r="Q167" i="15"/>
  <c r="U166" i="15"/>
  <c r="T166" i="15"/>
  <c r="S166" i="15"/>
  <c r="R166" i="15"/>
  <c r="Q166" i="15"/>
  <c r="U165" i="15"/>
  <c r="T165" i="15"/>
  <c r="S165" i="15"/>
  <c r="R165" i="15"/>
  <c r="Q165" i="15"/>
  <c r="U164" i="15"/>
  <c r="T164" i="15"/>
  <c r="S164" i="15"/>
  <c r="R164" i="15"/>
  <c r="Q164" i="15"/>
  <c r="U163" i="15"/>
  <c r="T163" i="15"/>
  <c r="S163" i="15"/>
  <c r="R163" i="15"/>
  <c r="Q163" i="15"/>
  <c r="U162" i="15"/>
  <c r="T162" i="15"/>
  <c r="S162" i="15"/>
  <c r="R162" i="15"/>
  <c r="Q162" i="15"/>
  <c r="U161" i="15"/>
  <c r="T161" i="15"/>
  <c r="S161" i="15"/>
  <c r="R161" i="15"/>
  <c r="Q161" i="15"/>
  <c r="U160" i="15"/>
  <c r="T160" i="15"/>
  <c r="S160" i="15"/>
  <c r="R160" i="15"/>
  <c r="Q160" i="15"/>
  <c r="U157" i="15"/>
  <c r="T157" i="15"/>
  <c r="S157" i="15"/>
  <c r="R157" i="15"/>
  <c r="Q157" i="15"/>
  <c r="U156" i="15"/>
  <c r="T156" i="15"/>
  <c r="S156" i="15"/>
  <c r="R156" i="15"/>
  <c r="Q156" i="15"/>
  <c r="U155" i="15"/>
  <c r="T155" i="15"/>
  <c r="S155" i="15"/>
  <c r="R155" i="15"/>
  <c r="Q155" i="15"/>
  <c r="U154" i="15"/>
  <c r="T154" i="15"/>
  <c r="S154" i="15"/>
  <c r="R154" i="15"/>
  <c r="Q154" i="15"/>
  <c r="U153" i="15"/>
  <c r="T153" i="15"/>
  <c r="S153" i="15"/>
  <c r="R153" i="15"/>
  <c r="Q153" i="15"/>
  <c r="U152" i="15"/>
  <c r="T152" i="15"/>
  <c r="S152" i="15"/>
  <c r="R152" i="15"/>
  <c r="Q152" i="15"/>
  <c r="U151" i="15"/>
  <c r="T151" i="15"/>
  <c r="S151" i="15"/>
  <c r="R151" i="15"/>
  <c r="Q151" i="15"/>
  <c r="U150" i="15"/>
  <c r="T150" i="15"/>
  <c r="S150" i="15"/>
  <c r="R150" i="15"/>
  <c r="Q150" i="15"/>
  <c r="U147" i="15"/>
  <c r="T147" i="15"/>
  <c r="S147" i="15"/>
  <c r="R147" i="15"/>
  <c r="Q147" i="15"/>
  <c r="U146" i="15"/>
  <c r="T146" i="15"/>
  <c r="S146" i="15"/>
  <c r="R146" i="15"/>
  <c r="Q146" i="15"/>
  <c r="U145" i="15"/>
  <c r="T145" i="15"/>
  <c r="S145" i="15"/>
  <c r="R145" i="15"/>
  <c r="Q145" i="15"/>
  <c r="U144" i="15"/>
  <c r="T144" i="15"/>
  <c r="S144" i="15"/>
  <c r="R144" i="15"/>
  <c r="Q144" i="15"/>
  <c r="U143" i="15"/>
  <c r="T143" i="15"/>
  <c r="S143" i="15"/>
  <c r="R143" i="15"/>
  <c r="Q143" i="15"/>
  <c r="U142" i="15"/>
  <c r="T142" i="15"/>
  <c r="S142" i="15"/>
  <c r="R142" i="15"/>
  <c r="Q142" i="15"/>
  <c r="U141" i="15"/>
  <c r="T141" i="15"/>
  <c r="S141" i="15"/>
  <c r="R141" i="15"/>
  <c r="Q141" i="15"/>
  <c r="U140" i="15"/>
  <c r="T140" i="15"/>
  <c r="S140" i="15"/>
  <c r="R140" i="15"/>
  <c r="Q140" i="15"/>
  <c r="A167" i="15"/>
  <c r="A166" i="15"/>
  <c r="A157" i="15"/>
  <c r="A156" i="15"/>
  <c r="A147" i="15"/>
  <c r="A146" i="15"/>
  <c r="E169" i="13"/>
  <c r="E168" i="13"/>
  <c r="E167" i="13"/>
  <c r="E166" i="13"/>
  <c r="E165" i="13"/>
  <c r="E164" i="13"/>
  <c r="E163" i="13"/>
  <c r="E162" i="13"/>
  <c r="E159" i="13"/>
  <c r="E158" i="13"/>
  <c r="E157" i="13"/>
  <c r="E156" i="13"/>
  <c r="E155" i="13"/>
  <c r="E154" i="13"/>
  <c r="E153" i="13"/>
  <c r="E152" i="13"/>
  <c r="E149" i="13"/>
  <c r="E148" i="13"/>
  <c r="E147" i="13"/>
  <c r="E145" i="13"/>
  <c r="E144" i="13"/>
  <c r="E143" i="13"/>
  <c r="E142" i="13"/>
  <c r="J169" i="13"/>
  <c r="J168" i="13"/>
  <c r="J167" i="13"/>
  <c r="J166" i="13"/>
  <c r="J165" i="13"/>
  <c r="J164" i="13"/>
  <c r="J163" i="13"/>
  <c r="J162" i="13"/>
  <c r="J159" i="13"/>
  <c r="J158" i="13"/>
  <c r="J157" i="13"/>
  <c r="J156" i="13"/>
  <c r="J155" i="13"/>
  <c r="J154" i="13"/>
  <c r="J153" i="13"/>
  <c r="J152" i="13"/>
  <c r="J149" i="13"/>
  <c r="J148" i="13"/>
  <c r="J147" i="13"/>
  <c r="J145" i="13"/>
  <c r="J144" i="13"/>
  <c r="J143" i="13"/>
  <c r="J142" i="13"/>
  <c r="O169" i="13"/>
  <c r="O168" i="13"/>
  <c r="O167" i="13"/>
  <c r="O166" i="13"/>
  <c r="O165" i="13"/>
  <c r="O164" i="13"/>
  <c r="O163" i="13"/>
  <c r="O162" i="13"/>
  <c r="O159" i="13"/>
  <c r="O158" i="13"/>
  <c r="O157" i="13"/>
  <c r="O156" i="13"/>
  <c r="O155" i="13"/>
  <c r="O154" i="13"/>
  <c r="O153" i="13"/>
  <c r="O152" i="13"/>
  <c r="O149" i="13"/>
  <c r="O148" i="13"/>
  <c r="O147" i="13"/>
  <c r="O145" i="13"/>
  <c r="O144" i="13"/>
  <c r="O143" i="13"/>
  <c r="O142" i="13"/>
  <c r="T169" i="13"/>
  <c r="T168" i="13"/>
  <c r="T167" i="13"/>
  <c r="T166" i="13"/>
  <c r="T165" i="13"/>
  <c r="T164" i="13"/>
  <c r="T163" i="13"/>
  <c r="T162" i="13"/>
  <c r="T159" i="13"/>
  <c r="T158" i="13"/>
  <c r="T157" i="13"/>
  <c r="T156" i="13"/>
  <c r="T155" i="13"/>
  <c r="T154" i="13"/>
  <c r="T153" i="13"/>
  <c r="T152" i="13"/>
  <c r="T149" i="13"/>
  <c r="T148" i="13"/>
  <c r="T147" i="13"/>
  <c r="T145" i="13"/>
  <c r="T144" i="13"/>
  <c r="T143" i="13"/>
  <c r="T142" i="13"/>
  <c r="Y169" i="13"/>
  <c r="Y168" i="13"/>
  <c r="Y167" i="13"/>
  <c r="Y166" i="13"/>
  <c r="Y165" i="13"/>
  <c r="Y164" i="13"/>
  <c r="Y163" i="13"/>
  <c r="Y162" i="13"/>
  <c r="Y159" i="13"/>
  <c r="Y158" i="13"/>
  <c r="Y157" i="13"/>
  <c r="Y156" i="13"/>
  <c r="Y155" i="13"/>
  <c r="Y154" i="13"/>
  <c r="Y153" i="13"/>
  <c r="Y152" i="13"/>
  <c r="Y149" i="13"/>
  <c r="Y148" i="13"/>
  <c r="Y147" i="13"/>
  <c r="Y145" i="13"/>
  <c r="Y144" i="13"/>
  <c r="Y143" i="13"/>
  <c r="Y142" i="13"/>
  <c r="AO173" i="13" l="1"/>
  <c r="AH173" i="13"/>
  <c r="AF173" i="13"/>
  <c r="D42" i="47"/>
  <c r="E51" i="47" s="1"/>
  <c r="B29" i="47"/>
  <c r="C41" i="47"/>
  <c r="R27" i="10"/>
  <c r="K38" i="2"/>
  <c r="R34" i="10" s="1"/>
  <c r="K37" i="2"/>
  <c r="R33" i="10" s="1"/>
  <c r="K36" i="2"/>
  <c r="R32" i="10" s="1"/>
  <c r="K35" i="2"/>
  <c r="R31" i="10" s="1"/>
  <c r="K32" i="2"/>
  <c r="R28" i="10" s="1"/>
  <c r="K41" i="1"/>
  <c r="R37" i="7" s="1"/>
  <c r="K40" i="1"/>
  <c r="R36" i="7" s="1"/>
  <c r="K39" i="1"/>
  <c r="R35" i="7" s="1"/>
  <c r="K34" i="1"/>
  <c r="R30" i="7" s="1"/>
  <c r="K33" i="1"/>
  <c r="K32" i="1"/>
  <c r="R28" i="7" s="1"/>
  <c r="K31" i="1"/>
  <c r="R27" i="7" s="1"/>
  <c r="T31" i="10"/>
  <c r="Z38" i="2"/>
  <c r="U34" i="10" s="1"/>
  <c r="U38" i="2"/>
  <c r="T34" i="10" s="1"/>
  <c r="P38" i="2"/>
  <c r="S34" i="10" s="1"/>
  <c r="Z37" i="2"/>
  <c r="U33" i="10" s="1"/>
  <c r="U37" i="2"/>
  <c r="T33" i="10" s="1"/>
  <c r="P37" i="2"/>
  <c r="S33" i="10" s="1"/>
  <c r="AA36" i="2"/>
  <c r="AE36" i="2" s="1"/>
  <c r="V32" i="10" s="1"/>
  <c r="V36" i="10" s="1"/>
  <c r="Z36" i="2"/>
  <c r="U32" i="10" s="1"/>
  <c r="U36" i="2"/>
  <c r="T32" i="10" s="1"/>
  <c r="P36" i="2"/>
  <c r="S32" i="10" s="1"/>
  <c r="Z35" i="2"/>
  <c r="U31" i="10" s="1"/>
  <c r="P35" i="2"/>
  <c r="S31" i="10" s="1"/>
  <c r="Z32" i="2"/>
  <c r="U28" i="10" s="1"/>
  <c r="U32" i="2"/>
  <c r="T28" i="10" s="1"/>
  <c r="P32" i="2"/>
  <c r="S28" i="10" s="1"/>
  <c r="Z31" i="2"/>
  <c r="U27" i="10" s="1"/>
  <c r="U31" i="2"/>
  <c r="T27" i="10" s="1"/>
  <c r="P31" i="2"/>
  <c r="S27" i="10" s="1"/>
  <c r="Z41" i="1"/>
  <c r="U37" i="7" s="1"/>
  <c r="U41" i="1"/>
  <c r="T37" i="7" s="1"/>
  <c r="P41" i="1"/>
  <c r="S37" i="7" s="1"/>
  <c r="Z40" i="1"/>
  <c r="U36" i="7" s="1"/>
  <c r="U40" i="1"/>
  <c r="T36" i="7" s="1"/>
  <c r="P40" i="1"/>
  <c r="S36" i="7" s="1"/>
  <c r="Z39" i="1"/>
  <c r="U35" i="7" s="1"/>
  <c r="U39" i="1"/>
  <c r="T35" i="7" s="1"/>
  <c r="P39" i="1"/>
  <c r="S35" i="7" s="1"/>
  <c r="Z34" i="1"/>
  <c r="U30" i="7" s="1"/>
  <c r="U34" i="1"/>
  <c r="T30" i="7" s="1"/>
  <c r="P34" i="1"/>
  <c r="S30" i="7" s="1"/>
  <c r="Z33" i="1"/>
  <c r="U29" i="7" s="1"/>
  <c r="U33" i="1"/>
  <c r="T29" i="7" s="1"/>
  <c r="P33" i="1"/>
  <c r="S29" i="7" s="1"/>
  <c r="Z32" i="1"/>
  <c r="U28" i="7" s="1"/>
  <c r="U32" i="1"/>
  <c r="T28" i="7" s="1"/>
  <c r="P32" i="1"/>
  <c r="S28" i="7" s="1"/>
  <c r="Z31" i="1"/>
  <c r="U27" i="7" s="1"/>
  <c r="U31" i="1"/>
  <c r="T27" i="7" s="1"/>
  <c r="P31" i="1"/>
  <c r="S27" i="7" s="1"/>
  <c r="AN173" i="13" l="1"/>
  <c r="AM173" i="13" s="1"/>
  <c r="AL173" i="13" s="1"/>
  <c r="AK173" i="13" s="1"/>
  <c r="AT173" i="13"/>
  <c r="S36" i="10"/>
  <c r="T36" i="10"/>
  <c r="U36" i="10"/>
  <c r="R36" i="10"/>
  <c r="R38" i="7"/>
  <c r="S38" i="7"/>
  <c r="S32" i="7"/>
  <c r="T38" i="7"/>
  <c r="K36" i="1"/>
  <c r="R29" i="7"/>
  <c r="R32" i="7" s="1"/>
  <c r="T32" i="7"/>
  <c r="U32" i="7"/>
  <c r="U38" i="7"/>
  <c r="U42" i="1"/>
  <c r="K42" i="1"/>
  <c r="U36" i="1"/>
  <c r="P36" i="1"/>
  <c r="Z42" i="1"/>
  <c r="P42" i="1"/>
  <c r="Z36" i="1"/>
  <c r="C42" i="47"/>
  <c r="D51" i="47" s="1"/>
  <c r="AE122" i="13"/>
  <c r="G53" i="15"/>
  <c r="G43" i="15"/>
  <c r="G25" i="15"/>
  <c r="AS173" i="13" l="1"/>
  <c r="AR173" i="13" s="1"/>
  <c r="AQ173" i="13" s="1"/>
  <c r="AP173" i="13" s="1"/>
  <c r="AY173" i="13"/>
  <c r="Z44" i="1"/>
  <c r="Z45" i="1" s="1"/>
  <c r="Z46" i="1" s="1"/>
  <c r="U44" i="1"/>
  <c r="U45" i="1" s="1"/>
  <c r="U46" i="1" s="1"/>
  <c r="S40" i="7"/>
  <c r="K44" i="1"/>
  <c r="K45" i="1" s="1"/>
  <c r="K46" i="1" s="1"/>
  <c r="R40" i="7"/>
  <c r="U40" i="7"/>
  <c r="T40" i="7"/>
  <c r="P44" i="1"/>
  <c r="P45" i="1" s="1"/>
  <c r="P46" i="1" s="1"/>
  <c r="AE120" i="13"/>
  <c r="AB62" i="13"/>
  <c r="AX173" i="13" l="1"/>
  <c r="AW173" i="13" s="1"/>
  <c r="AV173" i="13" s="1"/>
  <c r="AU173" i="13" s="1"/>
  <c r="BD173" i="13"/>
  <c r="AE127" i="13"/>
  <c r="AE129" i="13"/>
  <c r="AE126" i="13"/>
  <c r="BC173" i="13" l="1"/>
  <c r="BB173" i="13" s="1"/>
  <c r="BA173" i="13" s="1"/>
  <c r="AZ173" i="13" s="1"/>
  <c r="BI173" i="13"/>
  <c r="BH173" i="13" s="1"/>
  <c r="BG173" i="13" s="1"/>
  <c r="BF173" i="13" s="1"/>
  <c r="BE173" i="13" s="1"/>
  <c r="AD62" i="13"/>
  <c r="AE119" i="13"/>
  <c r="AC130" i="13"/>
  <c r="AF130" i="13" l="1"/>
  <c r="AF62" i="13" s="1"/>
  <c r="AE128" i="13"/>
  <c r="AE130" i="13" s="1"/>
  <c r="H53" i="15" l="1"/>
  <c r="H43" i="15"/>
  <c r="AE90" i="13"/>
  <c r="F53" i="15"/>
  <c r="F43" i="15"/>
  <c r="F54" i="15"/>
  <c r="A165" i="15"/>
  <c r="A164" i="15"/>
  <c r="A163" i="15"/>
  <c r="A162" i="15"/>
  <c r="A161" i="15"/>
  <c r="A160" i="15"/>
  <c r="A159" i="15"/>
  <c r="A155" i="15"/>
  <c r="A154" i="15"/>
  <c r="A153" i="15"/>
  <c r="A152" i="15"/>
  <c r="A151" i="15"/>
  <c r="A150" i="15"/>
  <c r="A149" i="15"/>
  <c r="A145" i="15"/>
  <c r="A144" i="15"/>
  <c r="A143" i="15"/>
  <c r="A142" i="15"/>
  <c r="A141" i="15"/>
  <c r="A140" i="15"/>
  <c r="A139" i="15"/>
  <c r="A138" i="15"/>
  <c r="C90" i="13" l="1"/>
  <c r="R90" i="13"/>
  <c r="M90" i="13"/>
  <c r="H90" i="13"/>
  <c r="W90" i="13"/>
  <c r="D90" i="13"/>
  <c r="I90" i="13"/>
  <c r="N90" i="13"/>
  <c r="S90" i="13"/>
  <c r="X90" i="13"/>
  <c r="E90" i="13"/>
  <c r="J90" i="13"/>
  <c r="O90" i="13"/>
  <c r="T90" i="13"/>
  <c r="Y90" i="13"/>
  <c r="G90" i="13"/>
  <c r="L90" i="13"/>
  <c r="Q90" i="13"/>
  <c r="V90" i="13"/>
  <c r="E53" i="15"/>
  <c r="E43" i="15"/>
  <c r="E44" i="15" s="1"/>
  <c r="F39" i="15"/>
  <c r="G39" i="15"/>
  <c r="G128" i="15"/>
  <c r="G119" i="15"/>
  <c r="G30" i="15"/>
  <c r="P173" i="15"/>
  <c r="O173" i="15"/>
  <c r="N173" i="15"/>
  <c r="M173" i="15"/>
  <c r="L173" i="15"/>
  <c r="K173" i="15"/>
  <c r="J173" i="15"/>
  <c r="I173" i="15"/>
  <c r="H173" i="15"/>
  <c r="G173" i="15"/>
  <c r="F173" i="15"/>
  <c r="E173" i="15"/>
  <c r="D173" i="15"/>
  <c r="C173" i="15"/>
  <c r="B173" i="15"/>
  <c r="AA175" i="13"/>
  <c r="Z175" i="13"/>
  <c r="V175" i="13"/>
  <c r="U175" i="13"/>
  <c r="Q175" i="13"/>
  <c r="P175" i="13"/>
  <c r="L175" i="13"/>
  <c r="K175" i="13"/>
  <c r="G175" i="13"/>
  <c r="F175" i="13"/>
  <c r="B175" i="13"/>
  <c r="H32" i="15"/>
  <c r="H30" i="15"/>
  <c r="J43" i="15"/>
  <c r="J53" i="15"/>
  <c r="K53" i="15"/>
  <c r="K43" i="15"/>
  <c r="L53" i="15"/>
  <c r="L43" i="15"/>
  <c r="W129" i="15"/>
  <c r="V129" i="15"/>
  <c r="U129" i="15"/>
  <c r="T129" i="15"/>
  <c r="S129" i="15"/>
  <c r="R129" i="15"/>
  <c r="Q129" i="15"/>
  <c r="O128" i="15"/>
  <c r="O129" i="15"/>
  <c r="W122" i="15"/>
  <c r="V122" i="15"/>
  <c r="U122" i="15"/>
  <c r="T122" i="15"/>
  <c r="S122" i="15"/>
  <c r="R122" i="15"/>
  <c r="Q122" i="15"/>
  <c r="AA130" i="13"/>
  <c r="Z130" i="13"/>
  <c r="X130" i="13"/>
  <c r="W130" i="13"/>
  <c r="V130" i="13"/>
  <c r="U130" i="13"/>
  <c r="S130" i="13"/>
  <c r="R130" i="13"/>
  <c r="Q130" i="13"/>
  <c r="N130" i="13"/>
  <c r="M130" i="13"/>
  <c r="L130" i="13"/>
  <c r="L130" i="15"/>
  <c r="K130" i="15"/>
  <c r="J130" i="15"/>
  <c r="I130" i="15"/>
  <c r="H130" i="15"/>
  <c r="F130" i="15"/>
  <c r="E130" i="15"/>
  <c r="D130" i="15"/>
  <c r="C130" i="15"/>
  <c r="B130" i="15"/>
  <c r="Y129" i="13"/>
  <c r="T129" i="13"/>
  <c r="O129" i="13"/>
  <c r="J129" i="13"/>
  <c r="E129" i="13"/>
  <c r="A123" i="15"/>
  <c r="A122" i="15"/>
  <c r="A121" i="15"/>
  <c r="Y122" i="13"/>
  <c r="T122" i="13"/>
  <c r="O122" i="13"/>
  <c r="J122" i="13"/>
  <c r="E122" i="13"/>
  <c r="M128" i="15"/>
  <c r="M130" i="15" s="1"/>
  <c r="M43" i="15"/>
  <c r="M53" i="15"/>
  <c r="O53" i="15"/>
  <c r="O43" i="15"/>
  <c r="O30" i="15"/>
  <c r="N128" i="15"/>
  <c r="N130" i="15" s="1"/>
  <c r="G130" i="15" l="1"/>
  <c r="G62" i="15" s="1"/>
  <c r="O130" i="15"/>
  <c r="P128" i="15"/>
  <c r="P130" i="15" s="1"/>
  <c r="AE62" i="13"/>
  <c r="V62" i="15" s="1"/>
  <c r="AC62" i="13"/>
  <c r="A118" i="15"/>
  <c r="A63" i="15"/>
  <c r="A62" i="15"/>
  <c r="V128" i="15"/>
  <c r="U128" i="15"/>
  <c r="T128" i="15"/>
  <c r="S128" i="15"/>
  <c r="W127" i="15"/>
  <c r="AC127" i="15" s="1"/>
  <c r="AD127" i="15" s="1"/>
  <c r="AE127" i="15" s="1"/>
  <c r="AF127" i="15" s="1"/>
  <c r="V127" i="15"/>
  <c r="U127" i="15"/>
  <c r="T127" i="15"/>
  <c r="S127" i="15"/>
  <c r="R127" i="15"/>
  <c r="Q127" i="15"/>
  <c r="W126" i="15"/>
  <c r="V126" i="15"/>
  <c r="U126" i="15"/>
  <c r="T126" i="15"/>
  <c r="S126" i="15"/>
  <c r="R126" i="15"/>
  <c r="Q126" i="15"/>
  <c r="V120" i="15"/>
  <c r="U120" i="15"/>
  <c r="T120" i="15"/>
  <c r="S120" i="15"/>
  <c r="R120" i="15"/>
  <c r="Q120" i="15"/>
  <c r="V119" i="15"/>
  <c r="U119" i="15"/>
  <c r="T119" i="15"/>
  <c r="R119" i="15"/>
  <c r="Q119" i="15"/>
  <c r="N62" i="15"/>
  <c r="L62" i="15"/>
  <c r="K62" i="15"/>
  <c r="J62" i="15"/>
  <c r="I62" i="15"/>
  <c r="H62" i="15"/>
  <c r="F62" i="15"/>
  <c r="E62" i="15"/>
  <c r="D62" i="15"/>
  <c r="C62" i="15"/>
  <c r="B62" i="15"/>
  <c r="A130" i="15"/>
  <c r="A128" i="15"/>
  <c r="A127" i="15"/>
  <c r="A126" i="15"/>
  <c r="A125" i="15"/>
  <c r="A120" i="15"/>
  <c r="A119" i="15"/>
  <c r="A117" i="15"/>
  <c r="A69" i="15"/>
  <c r="E127" i="13"/>
  <c r="E126" i="13"/>
  <c r="F128" i="13"/>
  <c r="D128" i="13"/>
  <c r="C128" i="13"/>
  <c r="C130" i="13" s="1"/>
  <c r="C62" i="13" s="1"/>
  <c r="B128" i="13"/>
  <c r="B130" i="13" s="1"/>
  <c r="K128" i="13"/>
  <c r="K130" i="13" s="1"/>
  <c r="J127" i="13"/>
  <c r="J126" i="13"/>
  <c r="I128" i="13"/>
  <c r="I130" i="13" s="1"/>
  <c r="H128" i="13"/>
  <c r="H130" i="13" s="1"/>
  <c r="G128" i="13"/>
  <c r="O128" i="13"/>
  <c r="O127" i="13"/>
  <c r="O126" i="13"/>
  <c r="P119" i="13"/>
  <c r="T128" i="13"/>
  <c r="T127" i="13"/>
  <c r="T126" i="13"/>
  <c r="Y128" i="13"/>
  <c r="Y127" i="13"/>
  <c r="Y126" i="13"/>
  <c r="Z62" i="13"/>
  <c r="U62" i="15" s="1"/>
  <c r="X62" i="13"/>
  <c r="W62" i="13"/>
  <c r="V62" i="13"/>
  <c r="U62" i="13"/>
  <c r="T62" i="15" s="1"/>
  <c r="S62" i="13"/>
  <c r="R62" i="13"/>
  <c r="Q62" i="13"/>
  <c r="N62" i="13"/>
  <c r="M62" i="13"/>
  <c r="L62" i="13"/>
  <c r="P62" i="15" l="1"/>
  <c r="S119" i="15"/>
  <c r="S130" i="15" s="1"/>
  <c r="P130" i="13"/>
  <c r="P62" i="13" s="1"/>
  <c r="S62" i="15" s="1"/>
  <c r="Q128" i="15"/>
  <c r="Q130" i="15" s="1"/>
  <c r="F130" i="13"/>
  <c r="F62" i="13" s="1"/>
  <c r="Q62" i="15" s="1"/>
  <c r="D130" i="13"/>
  <c r="D62" i="13" s="1"/>
  <c r="G130" i="13"/>
  <c r="G62" i="13" s="1"/>
  <c r="U130" i="15"/>
  <c r="V130" i="15"/>
  <c r="T130" i="15"/>
  <c r="O62" i="15"/>
  <c r="M62" i="15"/>
  <c r="I62" i="13"/>
  <c r="H62" i="13"/>
  <c r="J128" i="13"/>
  <c r="R128" i="15"/>
  <c r="R130" i="15" s="1"/>
  <c r="K62" i="13"/>
  <c r="R62" i="15" s="1"/>
  <c r="E128" i="13"/>
  <c r="B62" i="13"/>
  <c r="J17" i="1"/>
  <c r="O17" i="1"/>
  <c r="T17" i="1"/>
  <c r="AA7" i="2"/>
  <c r="Z7" i="2"/>
  <c r="X7" i="2"/>
  <c r="W7" i="2"/>
  <c r="V7" i="2"/>
  <c r="U7" i="2"/>
  <c r="S7" i="2"/>
  <c r="R7" i="2"/>
  <c r="Q7" i="2"/>
  <c r="P7" i="2"/>
  <c r="N7" i="2"/>
  <c r="M7" i="2"/>
  <c r="L7" i="2"/>
  <c r="Y17" i="2"/>
  <c r="T17" i="2"/>
  <c r="O17" i="2"/>
  <c r="J17" i="2"/>
  <c r="Y17" i="4"/>
  <c r="T17" i="4"/>
  <c r="O17" i="4"/>
  <c r="J17" i="4"/>
  <c r="U13" i="8"/>
  <c r="U12" i="46" s="1"/>
  <c r="U59" i="46" s="1"/>
  <c r="T13" i="8"/>
  <c r="T12" i="46" s="1"/>
  <c r="T59" i="46" s="1"/>
  <c r="S13" i="8"/>
  <c r="S12" i="46" s="1"/>
  <c r="S59" i="46" s="1"/>
  <c r="R13" i="8"/>
  <c r="R12" i="46" s="1"/>
  <c r="R59" i="46" s="1"/>
  <c r="Q13" i="8"/>
  <c r="Q12" i="46" s="1"/>
  <c r="Q59" i="46" s="1"/>
  <c r="U12" i="8"/>
  <c r="U11" i="46" s="1"/>
  <c r="U58" i="46" s="1"/>
  <c r="T12" i="8"/>
  <c r="T11" i="46" s="1"/>
  <c r="T58" i="46" s="1"/>
  <c r="S12" i="8"/>
  <c r="S11" i="46" s="1"/>
  <c r="S58" i="46" s="1"/>
  <c r="R12" i="8"/>
  <c r="R11" i="46" s="1"/>
  <c r="R58" i="46" s="1"/>
  <c r="Q12" i="8"/>
  <c r="Q11" i="46" s="1"/>
  <c r="Q58" i="46" s="1"/>
  <c r="U11" i="8"/>
  <c r="U10" i="46" s="1"/>
  <c r="U57" i="46" s="1"/>
  <c r="T11" i="8"/>
  <c r="T10" i="46" s="1"/>
  <c r="T57" i="46" s="1"/>
  <c r="S11" i="8"/>
  <c r="S10" i="46" s="1"/>
  <c r="S57" i="46" s="1"/>
  <c r="R11" i="8"/>
  <c r="R10" i="46" s="1"/>
  <c r="R57" i="46" s="1"/>
  <c r="Q11" i="8"/>
  <c r="Q10" i="46" s="1"/>
  <c r="Q57" i="46" s="1"/>
  <c r="U10" i="8"/>
  <c r="U9" i="46" s="1"/>
  <c r="U56" i="46" s="1"/>
  <c r="T10" i="8"/>
  <c r="T9" i="46" s="1"/>
  <c r="T56" i="46" s="1"/>
  <c r="S10" i="8"/>
  <c r="S9" i="46" s="1"/>
  <c r="S56" i="46" s="1"/>
  <c r="R10" i="8"/>
  <c r="R9" i="46" s="1"/>
  <c r="R56" i="46" s="1"/>
  <c r="Q10" i="8"/>
  <c r="Q9" i="46" s="1"/>
  <c r="Q56" i="46" s="1"/>
  <c r="P14" i="8"/>
  <c r="O14" i="8"/>
  <c r="N14" i="8"/>
  <c r="M14" i="8"/>
  <c r="L14" i="8"/>
  <c r="K14" i="8"/>
  <c r="J14" i="8"/>
  <c r="I14" i="8"/>
  <c r="H14" i="8"/>
  <c r="G14" i="8"/>
  <c r="F14" i="8"/>
  <c r="E14" i="8"/>
  <c r="D5" i="8"/>
  <c r="C5" i="8"/>
  <c r="B5" i="8"/>
  <c r="A13" i="8"/>
  <c r="A12" i="8"/>
  <c r="A11" i="8"/>
  <c r="A10" i="8"/>
  <c r="AA13" i="5"/>
  <c r="Z13" i="5"/>
  <c r="X13" i="5"/>
  <c r="W13" i="5"/>
  <c r="V13" i="5"/>
  <c r="U13" i="5"/>
  <c r="S13" i="5"/>
  <c r="R13" i="5"/>
  <c r="Q13" i="5"/>
  <c r="P13" i="5"/>
  <c r="N13" i="5"/>
  <c r="M13" i="5"/>
  <c r="L13" i="5"/>
  <c r="K13" i="5"/>
  <c r="I13" i="5"/>
  <c r="H13" i="5"/>
  <c r="G13" i="5"/>
  <c r="F13" i="5"/>
  <c r="D13" i="5"/>
  <c r="C13" i="5"/>
  <c r="B13" i="5"/>
  <c r="Y12" i="5"/>
  <c r="T12" i="5"/>
  <c r="O12" i="5"/>
  <c r="J12" i="5"/>
  <c r="E12" i="5"/>
  <c r="Y11" i="5"/>
  <c r="T11" i="5"/>
  <c r="O11" i="5"/>
  <c r="J11" i="5"/>
  <c r="E11" i="5"/>
  <c r="Y10" i="5"/>
  <c r="T10" i="5"/>
  <c r="O10" i="5"/>
  <c r="J10" i="5"/>
  <c r="E10" i="5"/>
  <c r="Y9" i="5"/>
  <c r="T9" i="5"/>
  <c r="O9" i="5"/>
  <c r="J9" i="5"/>
  <c r="E9" i="5"/>
  <c r="Y8" i="5"/>
  <c r="BK6" i="48" s="1"/>
  <c r="T8" i="5"/>
  <c r="BG6" i="48" s="1"/>
  <c r="O8" i="5"/>
  <c r="BC6" i="48" s="1"/>
  <c r="J8" i="5"/>
  <c r="AY6" i="48" s="1"/>
  <c r="E8" i="5"/>
  <c r="AU6" i="48" s="1"/>
  <c r="Y7" i="5"/>
  <c r="BK105" i="48" s="1"/>
  <c r="T7" i="5"/>
  <c r="BG105" i="48" s="1"/>
  <c r="O7" i="5"/>
  <c r="BC105" i="48" s="1"/>
  <c r="J7" i="5"/>
  <c r="AY105" i="48" s="1"/>
  <c r="E7" i="5"/>
  <c r="AU105" i="48" s="1"/>
  <c r="Y6" i="5"/>
  <c r="BK91" i="48" s="1"/>
  <c r="T6" i="5"/>
  <c r="BG91" i="48" s="1"/>
  <c r="O6" i="5"/>
  <c r="BC91" i="48" s="1"/>
  <c r="J6" i="5"/>
  <c r="AY91" i="48" s="1"/>
  <c r="E6" i="5"/>
  <c r="AU91" i="48" s="1"/>
  <c r="Y5" i="5"/>
  <c r="BK77" i="48" s="1"/>
  <c r="T5" i="5"/>
  <c r="BG77" i="48" s="1"/>
  <c r="O5" i="5"/>
  <c r="BC77" i="48" s="1"/>
  <c r="J5" i="5"/>
  <c r="AY77" i="48" s="1"/>
  <c r="E5" i="5"/>
  <c r="AU77" i="48" s="1"/>
  <c r="Y4" i="5"/>
  <c r="BK42" i="48" s="1"/>
  <c r="T4" i="5"/>
  <c r="BG42" i="48" s="1"/>
  <c r="O4" i="5"/>
  <c r="J4" i="5"/>
  <c r="AY42" i="48" s="1"/>
  <c r="E4" i="5"/>
  <c r="AU42" i="48" s="1"/>
  <c r="U26" i="40"/>
  <c r="T26" i="40"/>
  <c r="S26" i="40"/>
  <c r="R26" i="40"/>
  <c r="Q26" i="40"/>
  <c r="U25" i="40"/>
  <c r="T25" i="40"/>
  <c r="S25" i="40"/>
  <c r="R25" i="40"/>
  <c r="Q25" i="40"/>
  <c r="U18" i="40"/>
  <c r="U16" i="47" s="1"/>
  <c r="T18" i="40"/>
  <c r="T16" i="47" s="1"/>
  <c r="S18" i="40"/>
  <c r="S16" i="47" s="1"/>
  <c r="R18" i="40"/>
  <c r="R16" i="47" s="1"/>
  <c r="Q18" i="40"/>
  <c r="Q16" i="47" s="1"/>
  <c r="U17" i="40"/>
  <c r="U15" i="47" s="1"/>
  <c r="T17" i="40"/>
  <c r="T15" i="47" s="1"/>
  <c r="S17" i="40"/>
  <c r="S15" i="47" s="1"/>
  <c r="R17" i="40"/>
  <c r="R15" i="47" s="1"/>
  <c r="Q17" i="40"/>
  <c r="Q15" i="47" s="1"/>
  <c r="U16" i="40"/>
  <c r="U14" i="47" s="1"/>
  <c r="T16" i="40"/>
  <c r="T14" i="47" s="1"/>
  <c r="S16" i="40"/>
  <c r="S14" i="47" s="1"/>
  <c r="R16" i="40"/>
  <c r="R14" i="47" s="1"/>
  <c r="Q16" i="40"/>
  <c r="Q14" i="47" s="1"/>
  <c r="P27" i="40"/>
  <c r="O27" i="40"/>
  <c r="N27" i="40"/>
  <c r="M27" i="40"/>
  <c r="L27" i="40"/>
  <c r="K27" i="40"/>
  <c r="J27" i="40"/>
  <c r="I27" i="40"/>
  <c r="H27" i="40"/>
  <c r="G27" i="40"/>
  <c r="F27" i="40"/>
  <c r="D27" i="40"/>
  <c r="C27" i="40"/>
  <c r="E24" i="40"/>
  <c r="E27" i="40" s="1"/>
  <c r="B13" i="40"/>
  <c r="B11" i="47" s="1"/>
  <c r="A26" i="40"/>
  <c r="A25" i="40"/>
  <c r="A17" i="40"/>
  <c r="A16" i="40"/>
  <c r="Z27" i="41"/>
  <c r="X27" i="41"/>
  <c r="W27" i="41"/>
  <c r="V27" i="41"/>
  <c r="U27" i="41"/>
  <c r="S27" i="41"/>
  <c r="R27" i="41"/>
  <c r="Q27" i="41"/>
  <c r="P27" i="41"/>
  <c r="N27" i="41"/>
  <c r="M27" i="41"/>
  <c r="L27" i="41"/>
  <c r="K27" i="41"/>
  <c r="I27" i="41"/>
  <c r="H27" i="41"/>
  <c r="G27" i="41"/>
  <c r="F27" i="41"/>
  <c r="D27" i="41"/>
  <c r="C27" i="41"/>
  <c r="B27" i="41"/>
  <c r="Y26" i="41"/>
  <c r="T26" i="41"/>
  <c r="O26" i="41"/>
  <c r="J26" i="41"/>
  <c r="E26" i="41"/>
  <c r="Y25" i="41"/>
  <c r="T25" i="41"/>
  <c r="O25" i="41"/>
  <c r="J25" i="41"/>
  <c r="E25" i="41"/>
  <c r="Y24" i="41"/>
  <c r="T24" i="41"/>
  <c r="O24" i="41"/>
  <c r="J24" i="41"/>
  <c r="E24" i="41"/>
  <c r="Y23" i="41"/>
  <c r="T23" i="41"/>
  <c r="O23" i="41"/>
  <c r="J23" i="41"/>
  <c r="E23" i="41"/>
  <c r="Y18" i="41"/>
  <c r="T18" i="41"/>
  <c r="O18" i="41"/>
  <c r="J18" i="41"/>
  <c r="E18" i="41"/>
  <c r="Y17" i="41"/>
  <c r="T17" i="41"/>
  <c r="O17" i="41"/>
  <c r="J17" i="41"/>
  <c r="E17" i="41"/>
  <c r="Y16" i="41"/>
  <c r="T16" i="41"/>
  <c r="O16" i="41"/>
  <c r="J16" i="41"/>
  <c r="E16" i="41"/>
  <c r="Y15" i="41"/>
  <c r="T15" i="41"/>
  <c r="O15" i="41"/>
  <c r="J15" i="41"/>
  <c r="E15" i="41"/>
  <c r="Y14" i="41"/>
  <c r="T14" i="41"/>
  <c r="O14" i="41"/>
  <c r="J14" i="41"/>
  <c r="E14" i="41"/>
  <c r="Y13" i="41"/>
  <c r="T13" i="41"/>
  <c r="O13" i="41"/>
  <c r="J13" i="41"/>
  <c r="E13" i="41"/>
  <c r="Y12" i="41"/>
  <c r="T12" i="41"/>
  <c r="O12" i="41"/>
  <c r="J12" i="41"/>
  <c r="E12" i="41"/>
  <c r="Y11" i="41"/>
  <c r="T11" i="41"/>
  <c r="O11" i="41"/>
  <c r="J11" i="41"/>
  <c r="E11" i="41"/>
  <c r="Y10" i="41"/>
  <c r="T10" i="41"/>
  <c r="O10" i="41"/>
  <c r="J10" i="41"/>
  <c r="E10" i="41"/>
  <c r="Y9" i="41"/>
  <c r="T9" i="41"/>
  <c r="O9" i="41"/>
  <c r="J9" i="41"/>
  <c r="E9" i="41"/>
  <c r="Y8" i="41"/>
  <c r="T8" i="41"/>
  <c r="O8" i="41"/>
  <c r="J8" i="41"/>
  <c r="E8" i="41"/>
  <c r="Y7" i="41"/>
  <c r="T7" i="41"/>
  <c r="O7" i="41"/>
  <c r="J7" i="41"/>
  <c r="E7" i="41"/>
  <c r="Y6" i="41"/>
  <c r="T6" i="41"/>
  <c r="O6" i="41"/>
  <c r="J6" i="41"/>
  <c r="E6" i="41"/>
  <c r="G42" i="48" l="1"/>
  <c r="AU71" i="48"/>
  <c r="AU43" i="48"/>
  <c r="AU70" i="48"/>
  <c r="AU69" i="48"/>
  <c r="AY76" i="48"/>
  <c r="H77" i="48"/>
  <c r="BC92" i="48"/>
  <c r="I91" i="48"/>
  <c r="I92" i="48" s="1"/>
  <c r="BG106" i="48"/>
  <c r="J105" i="48"/>
  <c r="J106" i="48" s="1"/>
  <c r="BK7" i="48"/>
  <c r="BK34" i="48"/>
  <c r="K6" i="48"/>
  <c r="BK35" i="48"/>
  <c r="BK36" i="48"/>
  <c r="AY69" i="48"/>
  <c r="AY70" i="48"/>
  <c r="AY43" i="48"/>
  <c r="H42" i="48"/>
  <c r="AY71" i="48"/>
  <c r="BC76" i="48"/>
  <c r="I77" i="48"/>
  <c r="BG92" i="48"/>
  <c r="J91" i="48"/>
  <c r="J92" i="48" s="1"/>
  <c r="BK106" i="48"/>
  <c r="K105" i="48"/>
  <c r="K106" i="48" s="1"/>
  <c r="O13" i="5"/>
  <c r="BC42" i="48"/>
  <c r="BG76" i="48"/>
  <c r="J77" i="48"/>
  <c r="K91" i="48"/>
  <c r="K92" i="48" s="1"/>
  <c r="BK92" i="48"/>
  <c r="AU7" i="48"/>
  <c r="AU36" i="48"/>
  <c r="AU35" i="48"/>
  <c r="G6" i="48"/>
  <c r="AU34" i="48"/>
  <c r="O27" i="41"/>
  <c r="BG43" i="48"/>
  <c r="BG69" i="48"/>
  <c r="J42" i="48"/>
  <c r="BG70" i="48"/>
  <c r="BG71" i="48"/>
  <c r="BK76" i="48"/>
  <c r="K77" i="48"/>
  <c r="G105" i="48"/>
  <c r="G106" i="48" s="1"/>
  <c r="AU106" i="48"/>
  <c r="AY7" i="48"/>
  <c r="AY34" i="48"/>
  <c r="AY36" i="48"/>
  <c r="AY35" i="48"/>
  <c r="H6" i="48"/>
  <c r="BK69" i="48"/>
  <c r="BK70" i="48"/>
  <c r="BK71" i="48"/>
  <c r="BK43" i="48"/>
  <c r="K42" i="48"/>
  <c r="AU90" i="48"/>
  <c r="G91" i="48"/>
  <c r="H105" i="48"/>
  <c r="H106" i="48" s="1"/>
  <c r="AY106" i="48"/>
  <c r="BC7" i="48"/>
  <c r="BC35" i="48"/>
  <c r="I6" i="48"/>
  <c r="BC34" i="48"/>
  <c r="BC36" i="48"/>
  <c r="AU76" i="48"/>
  <c r="G77" i="48"/>
  <c r="AY92" i="48"/>
  <c r="H91" i="48"/>
  <c r="H92" i="48" s="1"/>
  <c r="BC106" i="48"/>
  <c r="I105" i="48"/>
  <c r="I106" i="48" s="1"/>
  <c r="BG7" i="48"/>
  <c r="BG34" i="48"/>
  <c r="BG35" i="48"/>
  <c r="J6" i="48"/>
  <c r="BG36" i="48"/>
  <c r="B20" i="47"/>
  <c r="B41" i="47"/>
  <c r="B42" i="47" s="1"/>
  <c r="C51" i="47" s="1"/>
  <c r="C14" i="8"/>
  <c r="C4" i="46"/>
  <c r="D14" i="8"/>
  <c r="D4" i="46"/>
  <c r="B27" i="40"/>
  <c r="B14" i="8"/>
  <c r="B4" i="46"/>
  <c r="T27" i="41"/>
  <c r="T13" i="5"/>
  <c r="E27" i="41"/>
  <c r="E13" i="5"/>
  <c r="Y13" i="5"/>
  <c r="Y27" i="41"/>
  <c r="J27" i="41"/>
  <c r="J13" i="5"/>
  <c r="D3" i="46" l="1"/>
  <c r="J34" i="48"/>
  <c r="J7" i="48"/>
  <c r="J36" i="48"/>
  <c r="J37" i="48" s="1"/>
  <c r="J35" i="48"/>
  <c r="I7" i="48"/>
  <c r="I35" i="48"/>
  <c r="I34" i="48"/>
  <c r="I36" i="48"/>
  <c r="I37" i="48" s="1"/>
  <c r="AU92" i="48"/>
  <c r="G90" i="48"/>
  <c r="G92" i="48" s="1"/>
  <c r="H7" i="48"/>
  <c r="H36" i="48"/>
  <c r="H37" i="48" s="1"/>
  <c r="H35" i="48"/>
  <c r="H34" i="48"/>
  <c r="BC71" i="48"/>
  <c r="I42" i="48"/>
  <c r="BC43" i="48"/>
  <c r="BC70" i="48"/>
  <c r="BC69" i="48"/>
  <c r="AY78" i="48"/>
  <c r="H76" i="48"/>
  <c r="H78" i="48" s="1"/>
  <c r="K70" i="48"/>
  <c r="K69" i="48"/>
  <c r="K71" i="48"/>
  <c r="K43" i="48"/>
  <c r="BC78" i="48"/>
  <c r="I76" i="48"/>
  <c r="I78" i="48" s="1"/>
  <c r="K76" i="48"/>
  <c r="K78" i="48" s="1"/>
  <c r="BK78" i="48"/>
  <c r="G76" i="48"/>
  <c r="G78" i="48" s="1"/>
  <c r="AU78" i="48"/>
  <c r="H69" i="48"/>
  <c r="H43" i="48"/>
  <c r="H70" i="48"/>
  <c r="H71" i="48"/>
  <c r="K34" i="48"/>
  <c r="K36" i="48"/>
  <c r="K37" i="48" s="1"/>
  <c r="K35" i="48"/>
  <c r="K7" i="48"/>
  <c r="J69" i="48"/>
  <c r="J70" i="48"/>
  <c r="J71" i="48"/>
  <c r="J43" i="48"/>
  <c r="BG78" i="48"/>
  <c r="J76" i="48"/>
  <c r="J78" i="48" s="1"/>
  <c r="G7" i="48"/>
  <c r="G34" i="48"/>
  <c r="G36" i="48"/>
  <c r="G37" i="48" s="1"/>
  <c r="G35" i="48"/>
  <c r="G43" i="48"/>
  <c r="G69" i="48"/>
  <c r="G70" i="48"/>
  <c r="G71" i="48"/>
  <c r="C51" i="46"/>
  <c r="C66" i="46" s="1"/>
  <c r="C30" i="46"/>
  <c r="C13" i="46"/>
  <c r="D51" i="46"/>
  <c r="D66" i="46" s="1"/>
  <c r="D30" i="46"/>
  <c r="D13" i="46"/>
  <c r="B51" i="46"/>
  <c r="B66" i="46" s="1"/>
  <c r="B30" i="46"/>
  <c r="B13" i="46"/>
  <c r="I43" i="48" l="1"/>
  <c r="I70" i="48"/>
  <c r="I69" i="48"/>
  <c r="I71" i="48"/>
  <c r="D60" i="46"/>
  <c r="B60" i="46"/>
  <c r="C60" i="46"/>
  <c r="B31" i="46"/>
  <c r="B44" i="46"/>
  <c r="B45" i="7" s="1"/>
  <c r="B44" i="7" s="1"/>
  <c r="B47" i="7" s="1"/>
  <c r="C44" i="46"/>
  <c r="C45" i="7" s="1"/>
  <c r="C44" i="7" s="1"/>
  <c r="C47" i="7" s="1"/>
  <c r="C31" i="46"/>
  <c r="D44" i="46"/>
  <c r="D45" i="7" s="1"/>
  <c r="D44" i="7" s="1"/>
  <c r="D47" i="7" s="1"/>
  <c r="D31" i="46"/>
  <c r="AC126" i="15" l="1"/>
  <c r="AD126" i="15" l="1"/>
  <c r="AE126" i="15" l="1"/>
  <c r="AF126" i="15" l="1"/>
  <c r="S137" i="32"/>
  <c r="U135" i="32"/>
  <c r="T135" i="32"/>
  <c r="S135" i="32"/>
  <c r="U134" i="32"/>
  <c r="T134" i="32"/>
  <c r="S134" i="32"/>
  <c r="U133" i="32"/>
  <c r="T133" i="32"/>
  <c r="S133" i="32"/>
  <c r="U132" i="32"/>
  <c r="T132" i="32"/>
  <c r="S132" i="32"/>
  <c r="U131" i="32"/>
  <c r="T131" i="32"/>
  <c r="S131" i="32"/>
  <c r="U130" i="32"/>
  <c r="T130" i="32"/>
  <c r="S130" i="32"/>
  <c r="U129" i="32"/>
  <c r="T129" i="32"/>
  <c r="S129" i="32"/>
  <c r="U128" i="32"/>
  <c r="T128" i="32"/>
  <c r="S128" i="32"/>
  <c r="U127" i="32"/>
  <c r="T127" i="32"/>
  <c r="S127" i="32"/>
  <c r="U126" i="32"/>
  <c r="T126" i="32"/>
  <c r="S126" i="32"/>
  <c r="U125" i="32"/>
  <c r="T125" i="32"/>
  <c r="S125" i="32"/>
  <c r="U124" i="32"/>
  <c r="T124" i="32"/>
  <c r="S124" i="32"/>
  <c r="U123" i="32"/>
  <c r="T123" i="32"/>
  <c r="S123" i="32"/>
  <c r="U122" i="32"/>
  <c r="T122" i="32"/>
  <c r="S122" i="32"/>
  <c r="U121" i="32"/>
  <c r="T121" i="32"/>
  <c r="S121" i="32"/>
  <c r="U120" i="32"/>
  <c r="T120" i="32"/>
  <c r="S120" i="32"/>
  <c r="U119" i="32"/>
  <c r="T119" i="32"/>
  <c r="S119" i="32"/>
  <c r="U118" i="32"/>
  <c r="T118" i="32"/>
  <c r="S118" i="32"/>
  <c r="U117" i="32"/>
  <c r="T117" i="32"/>
  <c r="S117" i="32"/>
  <c r="U116" i="32"/>
  <c r="T116" i="32"/>
  <c r="S116" i="32"/>
  <c r="U115" i="32"/>
  <c r="T115" i="32"/>
  <c r="S115" i="32"/>
  <c r="U114" i="32"/>
  <c r="T114" i="32"/>
  <c r="S114" i="32"/>
  <c r="U113" i="32"/>
  <c r="T113" i="32"/>
  <c r="S113" i="32"/>
  <c r="U112" i="32"/>
  <c r="T112" i="32"/>
  <c r="S112" i="32"/>
  <c r="U111" i="32"/>
  <c r="T111" i="32"/>
  <c r="S111" i="32"/>
  <c r="U110" i="32"/>
  <c r="T110" i="32"/>
  <c r="S110" i="32"/>
  <c r="U109" i="32"/>
  <c r="T109" i="32"/>
  <c r="S109" i="32"/>
  <c r="U108" i="32"/>
  <c r="T108" i="32"/>
  <c r="S108" i="32"/>
  <c r="U107" i="32"/>
  <c r="T107" i="32"/>
  <c r="S107" i="32"/>
  <c r="U106" i="32"/>
  <c r="T106" i="32"/>
  <c r="S106" i="32"/>
  <c r="U105" i="32"/>
  <c r="T105" i="32"/>
  <c r="S105" i="32"/>
  <c r="U104" i="32"/>
  <c r="T104" i="32"/>
  <c r="S104" i="32"/>
  <c r="U103" i="32"/>
  <c r="T103" i="32"/>
  <c r="S103" i="32"/>
  <c r="U102" i="32"/>
  <c r="T102" i="32"/>
  <c r="S102" i="32"/>
  <c r="U101" i="32"/>
  <c r="T101" i="32"/>
  <c r="S101" i="32"/>
  <c r="U100" i="32"/>
  <c r="T100" i="32"/>
  <c r="S100" i="32"/>
  <c r="U99" i="32"/>
  <c r="T99" i="32"/>
  <c r="S99" i="32"/>
  <c r="U98" i="32"/>
  <c r="T98" i="32"/>
  <c r="S98" i="32"/>
  <c r="U97" i="32"/>
  <c r="T97" i="32"/>
  <c r="S97" i="32"/>
  <c r="U96" i="32"/>
  <c r="T96" i="32"/>
  <c r="S96" i="32"/>
  <c r="U95" i="32"/>
  <c r="T95" i="32"/>
  <c r="S95" i="32"/>
  <c r="U94" i="32"/>
  <c r="T94" i="32"/>
  <c r="S94" i="32"/>
  <c r="U90" i="32"/>
  <c r="T90" i="32"/>
  <c r="S90" i="32"/>
  <c r="U89" i="32"/>
  <c r="T89" i="32"/>
  <c r="S89" i="32"/>
  <c r="U88" i="32"/>
  <c r="T88" i="32"/>
  <c r="S88" i="32"/>
  <c r="U87" i="32"/>
  <c r="T87" i="32"/>
  <c r="S87" i="32"/>
  <c r="U86" i="32"/>
  <c r="T86" i="32"/>
  <c r="S86" i="32"/>
  <c r="U85" i="32"/>
  <c r="T85" i="32"/>
  <c r="S85" i="32"/>
  <c r="U84" i="32"/>
  <c r="T84" i="32"/>
  <c r="S84" i="32"/>
  <c r="U83" i="32"/>
  <c r="T83" i="32"/>
  <c r="S83" i="32"/>
  <c r="U82" i="32"/>
  <c r="T82" i="32"/>
  <c r="S82" i="32"/>
  <c r="U80" i="32"/>
  <c r="T80" i="32"/>
  <c r="S80" i="32"/>
  <c r="U79" i="32"/>
  <c r="T79" i="32"/>
  <c r="S79" i="32"/>
  <c r="U77" i="32"/>
  <c r="T77" i="32"/>
  <c r="S77" i="32"/>
  <c r="U64" i="32"/>
  <c r="T64" i="32"/>
  <c r="S64" i="32"/>
  <c r="U63" i="32"/>
  <c r="T63" i="32"/>
  <c r="S63" i="32"/>
  <c r="U62" i="32"/>
  <c r="T62" i="32"/>
  <c r="S62" i="32"/>
  <c r="U61" i="32"/>
  <c r="T61" i="32"/>
  <c r="S61" i="32"/>
  <c r="U60" i="32"/>
  <c r="T60" i="32"/>
  <c r="S60" i="32"/>
  <c r="U59" i="32"/>
  <c r="T59" i="32"/>
  <c r="S59" i="32"/>
  <c r="U58" i="32"/>
  <c r="T58" i="32"/>
  <c r="S58" i="32"/>
  <c r="U57" i="32"/>
  <c r="T57" i="32"/>
  <c r="S57" i="32"/>
  <c r="U56" i="32"/>
  <c r="T56" i="32"/>
  <c r="S56" i="32"/>
  <c r="U55" i="32"/>
  <c r="T55" i="32"/>
  <c r="S55" i="32"/>
  <c r="U54" i="32"/>
  <c r="T54" i="32"/>
  <c r="S54" i="32"/>
  <c r="U53" i="32"/>
  <c r="T53" i="32"/>
  <c r="S53" i="32"/>
  <c r="U52" i="32"/>
  <c r="T52" i="32"/>
  <c r="S52" i="32"/>
  <c r="U51" i="32"/>
  <c r="T51" i="32"/>
  <c r="S51" i="32"/>
  <c r="U50" i="32"/>
  <c r="T50" i="32"/>
  <c r="S50" i="32"/>
  <c r="U49" i="32"/>
  <c r="T49" i="32"/>
  <c r="S49" i="32"/>
  <c r="U48" i="32"/>
  <c r="T48" i="32"/>
  <c r="S48" i="32"/>
  <c r="U47" i="32"/>
  <c r="T47" i="32"/>
  <c r="S47" i="32"/>
  <c r="U46" i="32"/>
  <c r="T46" i="32"/>
  <c r="S46" i="32"/>
  <c r="U45" i="32"/>
  <c r="T45" i="32"/>
  <c r="S45" i="32"/>
  <c r="U44" i="32"/>
  <c r="T44" i="32"/>
  <c r="S44" i="32"/>
  <c r="U43" i="32"/>
  <c r="T43" i="32"/>
  <c r="S43" i="32"/>
  <c r="U42" i="32"/>
  <c r="T42" i="32"/>
  <c r="S42" i="32"/>
  <c r="U41" i="32"/>
  <c r="T41" i="32"/>
  <c r="S41" i="32"/>
  <c r="U40" i="32"/>
  <c r="T40" i="32"/>
  <c r="S40" i="32"/>
  <c r="U39" i="32"/>
  <c r="T39" i="32"/>
  <c r="S39" i="32"/>
  <c r="U38" i="32"/>
  <c r="T38" i="32"/>
  <c r="S38" i="32"/>
  <c r="U37" i="32"/>
  <c r="T37" i="32"/>
  <c r="S37" i="32"/>
  <c r="U36" i="32"/>
  <c r="T36" i="32"/>
  <c r="S36" i="32"/>
  <c r="U35" i="32"/>
  <c r="T35" i="32"/>
  <c r="S35" i="32"/>
  <c r="U34" i="32"/>
  <c r="T34" i="32"/>
  <c r="S34" i="32"/>
  <c r="U33" i="32"/>
  <c r="T33" i="32"/>
  <c r="S33" i="32"/>
  <c r="U32" i="32"/>
  <c r="T32" i="32"/>
  <c r="S32" i="32"/>
  <c r="U31" i="32"/>
  <c r="T31" i="32"/>
  <c r="S31" i="32"/>
  <c r="U30" i="32"/>
  <c r="T30" i="32"/>
  <c r="S30" i="32"/>
  <c r="U29" i="32"/>
  <c r="T29" i="32"/>
  <c r="S29" i="32"/>
  <c r="U28" i="32"/>
  <c r="T28" i="32"/>
  <c r="S28" i="32"/>
  <c r="U27" i="32"/>
  <c r="T27" i="32"/>
  <c r="S27" i="32"/>
  <c r="U26" i="32"/>
  <c r="T26" i="32"/>
  <c r="S26" i="32"/>
  <c r="U25" i="32"/>
  <c r="T25" i="32"/>
  <c r="S25" i="32"/>
  <c r="U24" i="32"/>
  <c r="T24" i="32"/>
  <c r="S24" i="32"/>
  <c r="U23" i="32"/>
  <c r="T23" i="32"/>
  <c r="S23" i="32"/>
  <c r="U19" i="32"/>
  <c r="T19" i="32"/>
  <c r="S19" i="32"/>
  <c r="U18" i="32"/>
  <c r="T18" i="32"/>
  <c r="S18" i="32"/>
  <c r="U17" i="32"/>
  <c r="T17" i="32"/>
  <c r="S17" i="32"/>
  <c r="U16" i="32"/>
  <c r="T16" i="32"/>
  <c r="S16" i="32"/>
  <c r="U15" i="32"/>
  <c r="T15" i="32"/>
  <c r="S15" i="32"/>
  <c r="U14" i="32"/>
  <c r="T14" i="32"/>
  <c r="S14" i="32"/>
  <c r="U13" i="32"/>
  <c r="T13" i="32"/>
  <c r="S13" i="32"/>
  <c r="U12" i="32"/>
  <c r="T12" i="32"/>
  <c r="S12" i="32"/>
  <c r="U11" i="32"/>
  <c r="T11" i="32"/>
  <c r="S11" i="32"/>
  <c r="U9" i="32"/>
  <c r="T9" i="32"/>
  <c r="S9" i="32"/>
  <c r="U8" i="32"/>
  <c r="T8" i="32"/>
  <c r="S8" i="32"/>
  <c r="U6" i="32"/>
  <c r="T6" i="32"/>
  <c r="S6" i="32"/>
  <c r="AA2" i="32"/>
  <c r="Z2" i="32"/>
  <c r="X2" i="32"/>
  <c r="W2" i="32"/>
  <c r="V2" i="32"/>
  <c r="U2" i="32"/>
  <c r="T2" i="32"/>
  <c r="S2" i="32"/>
  <c r="R2" i="32"/>
  <c r="Q2" i="32"/>
  <c r="A199" i="32"/>
  <c r="A198" i="32"/>
  <c r="A197" i="32"/>
  <c r="A196" i="32"/>
  <c r="A195" i="32"/>
  <c r="A194" i="32"/>
  <c r="A193" i="32"/>
  <c r="A192" i="32"/>
  <c r="A191" i="32"/>
  <c r="A190" i="32"/>
  <c r="A189" i="32"/>
  <c r="A188" i="32"/>
  <c r="A187" i="32"/>
  <c r="A186" i="32"/>
  <c r="A185" i="32"/>
  <c r="A184" i="32"/>
  <c r="A183" i="32"/>
  <c r="A182" i="32"/>
  <c r="A181" i="32"/>
  <c r="A180" i="32"/>
  <c r="A179" i="32"/>
  <c r="A178" i="32"/>
  <c r="A177" i="32"/>
  <c r="A176" i="32"/>
  <c r="A175" i="32"/>
  <c r="A174" i="32"/>
  <c r="A173" i="32"/>
  <c r="A172" i="32"/>
  <c r="A171" i="32"/>
  <c r="A170" i="32"/>
  <c r="A169" i="32"/>
  <c r="A168" i="32"/>
  <c r="A167" i="32"/>
  <c r="A166" i="32"/>
  <c r="A165" i="32"/>
  <c r="A164" i="32"/>
  <c r="A163" i="32"/>
  <c r="A162" i="32"/>
  <c r="A137" i="32"/>
  <c r="A135" i="32"/>
  <c r="A134" i="32"/>
  <c r="A133" i="32"/>
  <c r="A132" i="32"/>
  <c r="A131" i="32"/>
  <c r="A130" i="32"/>
  <c r="A129" i="32"/>
  <c r="A128" i="32"/>
  <c r="A127" i="32"/>
  <c r="A126" i="32"/>
  <c r="A125" i="32"/>
  <c r="A124" i="32"/>
  <c r="A123" i="32"/>
  <c r="A122" i="32"/>
  <c r="A121" i="32"/>
  <c r="A120" i="32"/>
  <c r="A119" i="32"/>
  <c r="A118" i="32"/>
  <c r="A117" i="32"/>
  <c r="A116" i="32"/>
  <c r="A115" i="32"/>
  <c r="A114" i="32"/>
  <c r="A113" i="32"/>
  <c r="A112" i="32"/>
  <c r="A111" i="32"/>
  <c r="A110" i="32"/>
  <c r="A109" i="32"/>
  <c r="A108" i="32"/>
  <c r="A107" i="32"/>
  <c r="A106" i="32"/>
  <c r="A105" i="32"/>
  <c r="A104" i="32"/>
  <c r="A103" i="32"/>
  <c r="A102" i="32"/>
  <c r="A101" i="32"/>
  <c r="A100" i="32"/>
  <c r="A99" i="32"/>
  <c r="A98" i="32"/>
  <c r="A97" i="32"/>
  <c r="A96" i="32"/>
  <c r="A95" i="32"/>
  <c r="A94" i="32"/>
  <c r="A90" i="32"/>
  <c r="A89" i="32"/>
  <c r="A88" i="32"/>
  <c r="A87" i="32"/>
  <c r="A86" i="32"/>
  <c r="A85" i="32"/>
  <c r="A84" i="32"/>
  <c r="A83" i="32"/>
  <c r="A82" i="32"/>
  <c r="A80" i="32"/>
  <c r="A79" i="32"/>
  <c r="A77" i="32"/>
  <c r="A63" i="32"/>
  <c r="A62" i="32"/>
  <c r="A61" i="32"/>
  <c r="A60" i="32"/>
  <c r="A59" i="32"/>
  <c r="A58" i="32"/>
  <c r="A57" i="32"/>
  <c r="A56" i="32"/>
  <c r="A55" i="32"/>
  <c r="A54" i="32"/>
  <c r="A53" i="32"/>
  <c r="A52" i="32"/>
  <c r="A51" i="32"/>
  <c r="A50" i="32"/>
  <c r="A49" i="32"/>
  <c r="A48" i="32"/>
  <c r="A47" i="32"/>
  <c r="A46" i="32"/>
  <c r="A45" i="32"/>
  <c r="A44" i="32"/>
  <c r="A43" i="32"/>
  <c r="A42" i="32"/>
  <c r="A41" i="32"/>
  <c r="A40" i="32"/>
  <c r="A39" i="32"/>
  <c r="A38" i="32"/>
  <c r="A37" i="32"/>
  <c r="A36" i="32"/>
  <c r="A35" i="32"/>
  <c r="A34" i="32"/>
  <c r="A33" i="32"/>
  <c r="A32" i="32"/>
  <c r="A31" i="32"/>
  <c r="A30" i="32"/>
  <c r="A29" i="32"/>
  <c r="A28" i="32"/>
  <c r="A27" i="32"/>
  <c r="A26" i="32"/>
  <c r="P200" i="31"/>
  <c r="S200" i="32" s="1"/>
  <c r="P199" i="31"/>
  <c r="S199" i="32" s="1"/>
  <c r="P198" i="31"/>
  <c r="S198" i="32" s="1"/>
  <c r="P197" i="31"/>
  <c r="S197" i="32" s="1"/>
  <c r="P196" i="31"/>
  <c r="S196" i="32" s="1"/>
  <c r="P195" i="31"/>
  <c r="S195" i="32" s="1"/>
  <c r="P194" i="31"/>
  <c r="S194" i="32" s="1"/>
  <c r="P193" i="31"/>
  <c r="S193" i="32" s="1"/>
  <c r="P192" i="31"/>
  <c r="S192" i="32" s="1"/>
  <c r="P191" i="31"/>
  <c r="S191" i="32" s="1"/>
  <c r="P190" i="31"/>
  <c r="S190" i="32" s="1"/>
  <c r="P189" i="31"/>
  <c r="S189" i="32" s="1"/>
  <c r="P188" i="31"/>
  <c r="S188" i="32" s="1"/>
  <c r="P187" i="31"/>
  <c r="S187" i="32" s="1"/>
  <c r="P186" i="31"/>
  <c r="S186" i="32" s="1"/>
  <c r="P185" i="31"/>
  <c r="S185" i="32" s="1"/>
  <c r="P184" i="31"/>
  <c r="S184" i="32" s="1"/>
  <c r="P183" i="31"/>
  <c r="S183" i="32" s="1"/>
  <c r="P182" i="31"/>
  <c r="S182" i="32" s="1"/>
  <c r="P181" i="31"/>
  <c r="S181" i="32" s="1"/>
  <c r="P180" i="31"/>
  <c r="S180" i="32" s="1"/>
  <c r="P179" i="31"/>
  <c r="S179" i="32" s="1"/>
  <c r="P178" i="31"/>
  <c r="S178" i="32" s="1"/>
  <c r="P177" i="31"/>
  <c r="S177" i="32" s="1"/>
  <c r="P176" i="31"/>
  <c r="S176" i="32" s="1"/>
  <c r="P175" i="31"/>
  <c r="S175" i="32" s="1"/>
  <c r="P174" i="31"/>
  <c r="S174" i="32" s="1"/>
  <c r="P173" i="31"/>
  <c r="S173" i="32" s="1"/>
  <c r="P172" i="31"/>
  <c r="S172" i="32" s="1"/>
  <c r="P171" i="31"/>
  <c r="S171" i="32" s="1"/>
  <c r="P170" i="31"/>
  <c r="S170" i="32" s="1"/>
  <c r="P169" i="31"/>
  <c r="S169" i="32" s="1"/>
  <c r="P168" i="31"/>
  <c r="S168" i="32" s="1"/>
  <c r="P167" i="31"/>
  <c r="S167" i="32" s="1"/>
  <c r="P166" i="31"/>
  <c r="S166" i="32" s="1"/>
  <c r="P165" i="31"/>
  <c r="S165" i="32" s="1"/>
  <c r="P164" i="31"/>
  <c r="S164" i="32" s="1"/>
  <c r="P163" i="31"/>
  <c r="S163" i="32" s="1"/>
  <c r="P162" i="31"/>
  <c r="S162" i="32" s="1"/>
  <c r="P161" i="31"/>
  <c r="S161" i="32" s="1"/>
  <c r="P160" i="31"/>
  <c r="S160" i="32" s="1"/>
  <c r="P159" i="31"/>
  <c r="S159" i="32" s="1"/>
  <c r="P155" i="31"/>
  <c r="S155" i="32" s="1"/>
  <c r="P154" i="31"/>
  <c r="S154" i="32" s="1"/>
  <c r="P153" i="31"/>
  <c r="S153" i="32" s="1"/>
  <c r="P152" i="31"/>
  <c r="S152" i="32" s="1"/>
  <c r="P151" i="31"/>
  <c r="S151" i="32" s="1"/>
  <c r="P150" i="31"/>
  <c r="S150" i="32" s="1"/>
  <c r="P149" i="31"/>
  <c r="S149" i="32" s="1"/>
  <c r="P148" i="31"/>
  <c r="S148" i="32" s="1"/>
  <c r="P147" i="31"/>
  <c r="S147" i="32" s="1"/>
  <c r="P145" i="31"/>
  <c r="S145" i="32" s="1"/>
  <c r="P144" i="31"/>
  <c r="S144" i="32" s="1"/>
  <c r="P142" i="31"/>
  <c r="S142" i="32" s="1"/>
  <c r="P140" i="31"/>
  <c r="AA137" i="31"/>
  <c r="Y137" i="31"/>
  <c r="X137" i="31"/>
  <c r="W137" i="31"/>
  <c r="V137" i="31"/>
  <c r="T137" i="31"/>
  <c r="S137" i="31"/>
  <c r="R137" i="31"/>
  <c r="Q137" i="31"/>
  <c r="AA135" i="31"/>
  <c r="Y135" i="31"/>
  <c r="T135" i="31"/>
  <c r="AA134" i="31"/>
  <c r="Y134" i="31"/>
  <c r="X134" i="31" s="1"/>
  <c r="T134" i="31"/>
  <c r="S134" i="31" s="1"/>
  <c r="AA133" i="31"/>
  <c r="Y133" i="31"/>
  <c r="T133" i="31"/>
  <c r="AA132" i="31"/>
  <c r="AB132" i="31" s="1"/>
  <c r="Y132" i="31"/>
  <c r="X132" i="31" s="1"/>
  <c r="T132" i="31"/>
  <c r="S132" i="31" s="1"/>
  <c r="R132" i="31" s="1"/>
  <c r="AA131" i="31"/>
  <c r="Y131" i="31"/>
  <c r="T131" i="31"/>
  <c r="Y130" i="31"/>
  <c r="X130" i="31" s="1"/>
  <c r="W130" i="31" s="1"/>
  <c r="T130" i="31"/>
  <c r="AA129" i="31"/>
  <c r="Y129" i="31"/>
  <c r="T129" i="31"/>
  <c r="AA128" i="31"/>
  <c r="AA193" i="31" s="1"/>
  <c r="Y128" i="31"/>
  <c r="T128" i="31"/>
  <c r="S128" i="31" s="1"/>
  <c r="AA127" i="31"/>
  <c r="Y127" i="31"/>
  <c r="T127" i="31"/>
  <c r="AA126" i="31"/>
  <c r="AA191" i="31" s="1"/>
  <c r="Y126" i="31"/>
  <c r="X126" i="31" s="1"/>
  <c r="T126" i="31"/>
  <c r="S126" i="31" s="1"/>
  <c r="AA125" i="31"/>
  <c r="Y125" i="31"/>
  <c r="T125" i="31"/>
  <c r="AA124" i="31"/>
  <c r="AA189" i="31" s="1"/>
  <c r="Y124" i="31"/>
  <c r="X124" i="31" s="1"/>
  <c r="T124" i="31"/>
  <c r="S124" i="31" s="1"/>
  <c r="AA123" i="31"/>
  <c r="Y123" i="31"/>
  <c r="T123" i="31"/>
  <c r="AA122" i="31"/>
  <c r="AA187" i="31" s="1"/>
  <c r="Y122" i="31"/>
  <c r="X122" i="31" s="1"/>
  <c r="T122" i="31"/>
  <c r="S122" i="31" s="1"/>
  <c r="AA121" i="31"/>
  <c r="Y121" i="31"/>
  <c r="T121" i="31"/>
  <c r="AA120" i="31"/>
  <c r="AA185" i="31" s="1"/>
  <c r="Y120" i="31"/>
  <c r="T120" i="31"/>
  <c r="S120" i="31" s="1"/>
  <c r="AA119" i="31"/>
  <c r="Y119" i="31"/>
  <c r="T119" i="31"/>
  <c r="AA118" i="31"/>
  <c r="AA183" i="31" s="1"/>
  <c r="Y118" i="31"/>
  <c r="T118" i="31"/>
  <c r="S118" i="31" s="1"/>
  <c r="AA117" i="31"/>
  <c r="Y117" i="31"/>
  <c r="T117" i="31"/>
  <c r="AA116" i="31"/>
  <c r="AA181" i="31" s="1"/>
  <c r="Y116" i="31"/>
  <c r="X116" i="31" s="1"/>
  <c r="T116" i="31"/>
  <c r="S116" i="31" s="1"/>
  <c r="AA115" i="31"/>
  <c r="Y115" i="31"/>
  <c r="T115" i="31"/>
  <c r="AA114" i="31"/>
  <c r="AA179" i="31" s="1"/>
  <c r="Y114" i="31"/>
  <c r="X114" i="31" s="1"/>
  <c r="T114" i="31"/>
  <c r="S114" i="31" s="1"/>
  <c r="AA113" i="31"/>
  <c r="Y113" i="31"/>
  <c r="T113" i="31"/>
  <c r="S113" i="31" s="1"/>
  <c r="AA112" i="31"/>
  <c r="AA177" i="31" s="1"/>
  <c r="Y112" i="31"/>
  <c r="T112" i="31"/>
  <c r="S112" i="31" s="1"/>
  <c r="AA111" i="31"/>
  <c r="Y111" i="31"/>
  <c r="T111" i="31"/>
  <c r="AA110" i="31"/>
  <c r="AA175" i="31" s="1"/>
  <c r="Y110" i="31"/>
  <c r="T110" i="31"/>
  <c r="S110" i="31" s="1"/>
  <c r="AA109" i="31"/>
  <c r="AB109" i="31" s="1"/>
  <c r="Y109" i="31"/>
  <c r="T109" i="31"/>
  <c r="S109" i="31" s="1"/>
  <c r="AA108" i="31"/>
  <c r="AA173" i="31" s="1"/>
  <c r="Y108" i="31"/>
  <c r="X108" i="31" s="1"/>
  <c r="T108" i="31"/>
  <c r="S108" i="31" s="1"/>
  <c r="R108" i="31" s="1"/>
  <c r="AA107" i="31"/>
  <c r="Y107" i="31"/>
  <c r="T107" i="31"/>
  <c r="AA106" i="31"/>
  <c r="AA171" i="31" s="1"/>
  <c r="Y106" i="31"/>
  <c r="X106" i="31" s="1"/>
  <c r="T106" i="31"/>
  <c r="S106" i="31" s="1"/>
  <c r="AA105" i="31"/>
  <c r="AB105" i="31" s="1"/>
  <c r="Y105" i="31"/>
  <c r="T105" i="31"/>
  <c r="AA104" i="31"/>
  <c r="AA169" i="31" s="1"/>
  <c r="Y104" i="31"/>
  <c r="X104" i="31" s="1"/>
  <c r="W104" i="31" s="1"/>
  <c r="T104" i="31"/>
  <c r="AA103" i="31"/>
  <c r="Y103" i="31"/>
  <c r="T103" i="31"/>
  <c r="AA102" i="31"/>
  <c r="AA167" i="31" s="1"/>
  <c r="Y102" i="31"/>
  <c r="X102" i="31" s="1"/>
  <c r="T102" i="31"/>
  <c r="S102" i="31" s="1"/>
  <c r="AA101" i="31"/>
  <c r="AB101" i="31" s="1"/>
  <c r="Y101" i="31"/>
  <c r="T101" i="31"/>
  <c r="AA100" i="31"/>
  <c r="AA165" i="31" s="1"/>
  <c r="Y100" i="31"/>
  <c r="X100" i="31" s="1"/>
  <c r="T100" i="31"/>
  <c r="S100" i="31" s="1"/>
  <c r="AA99" i="31"/>
  <c r="Y99" i="31"/>
  <c r="T99" i="31"/>
  <c r="AA98" i="31"/>
  <c r="AA163" i="31" s="1"/>
  <c r="Y98" i="31"/>
  <c r="T98" i="31"/>
  <c r="S98" i="31" s="1"/>
  <c r="AA97" i="31"/>
  <c r="AB97" i="31" s="1"/>
  <c r="Y97" i="31"/>
  <c r="T97" i="31"/>
  <c r="S97" i="31" s="1"/>
  <c r="AA96" i="31"/>
  <c r="AA161" i="31" s="1"/>
  <c r="Y96" i="31"/>
  <c r="X96" i="31" s="1"/>
  <c r="W96" i="31" s="1"/>
  <c r="T96" i="31"/>
  <c r="AA95" i="31"/>
  <c r="Y95" i="31"/>
  <c r="T95" i="31"/>
  <c r="AA94" i="31"/>
  <c r="AA159" i="31" s="1"/>
  <c r="Y94" i="31"/>
  <c r="T94" i="31"/>
  <c r="S94" i="31" s="1"/>
  <c r="AA90" i="31"/>
  <c r="AB90" i="31" s="1"/>
  <c r="Y90" i="31"/>
  <c r="T90" i="31"/>
  <c r="AA89" i="31"/>
  <c r="AA154" i="31" s="1"/>
  <c r="Y89" i="31"/>
  <c r="X89" i="31" s="1"/>
  <c r="T89" i="31"/>
  <c r="S89" i="31" s="1"/>
  <c r="R89" i="31" s="1"/>
  <c r="AA88" i="31"/>
  <c r="Y88" i="31"/>
  <c r="T88" i="31"/>
  <c r="AA87" i="31"/>
  <c r="AA152" i="31" s="1"/>
  <c r="Y87" i="31"/>
  <c r="X87" i="31" s="1"/>
  <c r="T87" i="31"/>
  <c r="S87" i="31" s="1"/>
  <c r="AA86" i="31"/>
  <c r="Y86" i="31"/>
  <c r="T86" i="31"/>
  <c r="AA85" i="31"/>
  <c r="AA150" i="31" s="1"/>
  <c r="Y85" i="31"/>
  <c r="T85" i="31"/>
  <c r="S85" i="31" s="1"/>
  <c r="AA84" i="31"/>
  <c r="Y84" i="31"/>
  <c r="T84" i="31"/>
  <c r="AA83" i="31"/>
  <c r="AA148" i="31" s="1"/>
  <c r="Y83" i="31"/>
  <c r="X83" i="31" s="1"/>
  <c r="W83" i="31" s="1"/>
  <c r="V83" i="31" s="1"/>
  <c r="T83" i="31"/>
  <c r="S83" i="31" s="1"/>
  <c r="R83" i="31" s="1"/>
  <c r="Q83" i="31" s="1"/>
  <c r="AA82" i="31"/>
  <c r="Y82" i="31"/>
  <c r="X82" i="31" s="1"/>
  <c r="W82" i="31" s="1"/>
  <c r="T82" i="31"/>
  <c r="S82" i="31" s="1"/>
  <c r="R82" i="31" s="1"/>
  <c r="AA80" i="31"/>
  <c r="AB80" i="31" s="1"/>
  <c r="Y80" i="31"/>
  <c r="T80" i="31"/>
  <c r="S80" i="31" s="1"/>
  <c r="AA79" i="31"/>
  <c r="AB79" i="31" s="1"/>
  <c r="AC79" i="31" s="1"/>
  <c r="Y79" i="31"/>
  <c r="T79" i="31"/>
  <c r="AA77" i="31"/>
  <c r="AA142" i="31" s="1"/>
  <c r="Y77" i="31"/>
  <c r="X77" i="31" s="1"/>
  <c r="W77" i="31" s="1"/>
  <c r="V77" i="31" s="1"/>
  <c r="T77" i="31"/>
  <c r="S77" i="31" s="1"/>
  <c r="R77" i="31" s="1"/>
  <c r="Q77" i="31" s="1"/>
  <c r="AI75" i="31"/>
  <c r="AD75" i="31"/>
  <c r="AC75" i="31" s="1"/>
  <c r="Y75" i="31"/>
  <c r="X75" i="31" s="1"/>
  <c r="W75" i="31" s="1"/>
  <c r="V75" i="31" s="1"/>
  <c r="T75" i="31"/>
  <c r="S75" i="31" s="1"/>
  <c r="R75" i="31" s="1"/>
  <c r="Q75" i="31" s="1"/>
  <c r="AJ67" i="31"/>
  <c r="AE67" i="31"/>
  <c r="Z71" i="31"/>
  <c r="U71" i="31"/>
  <c r="AE64" i="31"/>
  <c r="AF64" i="31" s="1"/>
  <c r="Y64" i="31"/>
  <c r="T64" i="31"/>
  <c r="AA63" i="31"/>
  <c r="AB63" i="31" s="1"/>
  <c r="Y63" i="31"/>
  <c r="V63" i="31"/>
  <c r="W63" i="31" s="1"/>
  <c r="X63" i="31" s="1"/>
  <c r="T63" i="31"/>
  <c r="Q63" i="31"/>
  <c r="R63" i="31" s="1"/>
  <c r="S63" i="31" s="1"/>
  <c r="AA62" i="31"/>
  <c r="AB62" i="31" s="1"/>
  <c r="Y62" i="31"/>
  <c r="V62" i="31"/>
  <c r="W62" i="31" s="1"/>
  <c r="X62" i="31" s="1"/>
  <c r="T62" i="31"/>
  <c r="Q62" i="31"/>
  <c r="R62" i="31" s="1"/>
  <c r="S62" i="31" s="1"/>
  <c r="AA61" i="31"/>
  <c r="AB61" i="31" s="1"/>
  <c r="Y61" i="31"/>
  <c r="V61" i="31"/>
  <c r="W61" i="31" s="1"/>
  <c r="X61" i="31" s="1"/>
  <c r="T61" i="31"/>
  <c r="Q61" i="31"/>
  <c r="R61" i="31" s="1"/>
  <c r="S61" i="31" s="1"/>
  <c r="AB60" i="31"/>
  <c r="Y60" i="31"/>
  <c r="T60" i="31"/>
  <c r="Q60" i="31"/>
  <c r="R60" i="31" s="1"/>
  <c r="S60" i="31" s="1"/>
  <c r="AB59" i="31"/>
  <c r="Y59" i="31"/>
  <c r="X59" i="31"/>
  <c r="T59" i="31"/>
  <c r="AB58" i="31"/>
  <c r="Y58" i="31"/>
  <c r="V58" i="31"/>
  <c r="W58" i="31" s="1"/>
  <c r="X58" i="31" s="1"/>
  <c r="T58" i="31"/>
  <c r="Q58" i="31"/>
  <c r="R58" i="31" s="1"/>
  <c r="S58" i="31" s="1"/>
  <c r="AB57" i="31"/>
  <c r="Y57" i="31"/>
  <c r="V57" i="31"/>
  <c r="W57" i="31" s="1"/>
  <c r="X57" i="31" s="1"/>
  <c r="T57" i="31"/>
  <c r="Q57" i="31"/>
  <c r="R57" i="31" s="1"/>
  <c r="S57" i="31" s="1"/>
  <c r="AB56" i="31"/>
  <c r="Y56" i="31"/>
  <c r="V56" i="31"/>
  <c r="W56" i="31" s="1"/>
  <c r="X56" i="31" s="1"/>
  <c r="T56" i="31"/>
  <c r="Q56" i="31"/>
  <c r="R56" i="31" s="1"/>
  <c r="S56" i="31" s="1"/>
  <c r="AB55" i="31"/>
  <c r="Y55" i="31"/>
  <c r="V55" i="31"/>
  <c r="W55" i="31" s="1"/>
  <c r="X55" i="31" s="1"/>
  <c r="T55" i="31"/>
  <c r="Q55" i="31"/>
  <c r="R55" i="31" s="1"/>
  <c r="S55" i="31" s="1"/>
  <c r="AB54" i="31"/>
  <c r="Y54" i="31"/>
  <c r="V54" i="31"/>
  <c r="W54" i="31" s="1"/>
  <c r="X54" i="31" s="1"/>
  <c r="T54" i="31"/>
  <c r="Q54" i="31"/>
  <c r="R54" i="31" s="1"/>
  <c r="S54" i="31" s="1"/>
  <c r="AB53" i="31"/>
  <c r="Y53" i="31"/>
  <c r="V53" i="31"/>
  <c r="W53" i="31" s="1"/>
  <c r="X53" i="31" s="1"/>
  <c r="T53" i="31"/>
  <c r="Q53" i="31"/>
  <c r="R53" i="31" s="1"/>
  <c r="S53" i="31" s="1"/>
  <c r="AB52" i="31"/>
  <c r="Y52" i="31"/>
  <c r="V52" i="31"/>
  <c r="W52" i="31" s="1"/>
  <c r="X52" i="31" s="1"/>
  <c r="T52" i="31"/>
  <c r="Q52" i="31"/>
  <c r="R52" i="31" s="1"/>
  <c r="S52" i="31" s="1"/>
  <c r="AB51" i="31"/>
  <c r="Y51" i="31"/>
  <c r="V51" i="31"/>
  <c r="W51" i="31" s="1"/>
  <c r="X51" i="31" s="1"/>
  <c r="T51" i="31"/>
  <c r="Q51" i="31"/>
  <c r="R51" i="31" s="1"/>
  <c r="S51" i="31" s="1"/>
  <c r="AB50" i="31"/>
  <c r="Y50" i="31"/>
  <c r="V50" i="31"/>
  <c r="W50" i="31" s="1"/>
  <c r="X50" i="31" s="1"/>
  <c r="T50" i="31"/>
  <c r="Q50" i="31"/>
  <c r="R50" i="31" s="1"/>
  <c r="S50" i="31" s="1"/>
  <c r="AB49" i="31"/>
  <c r="Y49" i="31"/>
  <c r="V49" i="31"/>
  <c r="W49" i="31" s="1"/>
  <c r="X49" i="31" s="1"/>
  <c r="T49" i="31"/>
  <c r="Q49" i="31"/>
  <c r="R49" i="31" s="1"/>
  <c r="S49" i="31" s="1"/>
  <c r="AB48" i="31"/>
  <c r="Y48" i="31"/>
  <c r="V48" i="31"/>
  <c r="W48" i="31" s="1"/>
  <c r="X48" i="31" s="1"/>
  <c r="T48" i="31"/>
  <c r="Q48" i="31"/>
  <c r="R48" i="31" s="1"/>
  <c r="S48" i="31" s="1"/>
  <c r="AB47" i="31"/>
  <c r="Y47" i="31"/>
  <c r="V47" i="31"/>
  <c r="W47" i="31" s="1"/>
  <c r="X47" i="31" s="1"/>
  <c r="T47" i="31"/>
  <c r="Q47" i="31"/>
  <c r="R47" i="31" s="1"/>
  <c r="S47" i="31" s="1"/>
  <c r="AB46" i="31"/>
  <c r="Y46" i="31"/>
  <c r="V46" i="31"/>
  <c r="W46" i="31" s="1"/>
  <c r="X46" i="31" s="1"/>
  <c r="T46" i="31"/>
  <c r="Q46" i="31"/>
  <c r="R46" i="31" s="1"/>
  <c r="S46" i="31" s="1"/>
  <c r="AB45" i="31"/>
  <c r="Y45" i="31"/>
  <c r="V45" i="31"/>
  <c r="W45" i="31" s="1"/>
  <c r="X45" i="31" s="1"/>
  <c r="T45" i="31"/>
  <c r="Q45" i="31"/>
  <c r="R45" i="31" s="1"/>
  <c r="S45" i="31" s="1"/>
  <c r="AB44" i="31"/>
  <c r="Y44" i="31"/>
  <c r="V44" i="31"/>
  <c r="W44" i="31" s="1"/>
  <c r="T44" i="31"/>
  <c r="Q44" i="31"/>
  <c r="R44" i="31" s="1"/>
  <c r="S44" i="31" s="1"/>
  <c r="AB43" i="31"/>
  <c r="Y43" i="31"/>
  <c r="X43" i="31"/>
  <c r="V43" i="31"/>
  <c r="T43" i="31"/>
  <c r="Q43" i="31"/>
  <c r="R43" i="31" s="1"/>
  <c r="S43" i="31" s="1"/>
  <c r="AB42" i="31"/>
  <c r="Y42" i="31"/>
  <c r="V42" i="31"/>
  <c r="W42" i="31" s="1"/>
  <c r="X42" i="31" s="1"/>
  <c r="T42" i="31"/>
  <c r="Q42" i="31"/>
  <c r="R42" i="31" s="1"/>
  <c r="S42" i="31" s="1"/>
  <c r="AB41" i="31"/>
  <c r="Y41" i="31"/>
  <c r="W41" i="31"/>
  <c r="X41" i="31" s="1"/>
  <c r="T41" i="31"/>
  <c r="Q41" i="31"/>
  <c r="R41" i="31" s="1"/>
  <c r="S41" i="31" s="1"/>
  <c r="AB40" i="31"/>
  <c r="Y40" i="31"/>
  <c r="V40" i="31"/>
  <c r="W40" i="31" s="1"/>
  <c r="T40" i="31"/>
  <c r="Q40" i="31"/>
  <c r="R40" i="31" s="1"/>
  <c r="S40" i="31" s="1"/>
  <c r="AB39" i="31"/>
  <c r="Y39" i="31"/>
  <c r="V39" i="31"/>
  <c r="W39" i="31" s="1"/>
  <c r="X39" i="31" s="1"/>
  <c r="T39" i="31"/>
  <c r="Q39" i="31"/>
  <c r="R39" i="31" s="1"/>
  <c r="S39" i="31" s="1"/>
  <c r="AB38" i="31"/>
  <c r="Y38" i="31"/>
  <c r="V38" i="31"/>
  <c r="W38" i="31" s="1"/>
  <c r="X38" i="31" s="1"/>
  <c r="T38" i="31"/>
  <c r="R38" i="31"/>
  <c r="S38" i="31" s="1"/>
  <c r="AB37" i="31"/>
  <c r="Y37" i="31"/>
  <c r="X37" i="31"/>
  <c r="V37" i="31"/>
  <c r="T37" i="31"/>
  <c r="Q37" i="31"/>
  <c r="R37" i="31" s="1"/>
  <c r="S37" i="31" s="1"/>
  <c r="AB36" i="31"/>
  <c r="Y36" i="31"/>
  <c r="V36" i="31"/>
  <c r="W36" i="31" s="1"/>
  <c r="X36" i="31" s="1"/>
  <c r="T36" i="31"/>
  <c r="R36" i="31"/>
  <c r="S36" i="31" s="1"/>
  <c r="AB35" i="31"/>
  <c r="Y35" i="31"/>
  <c r="V35" i="31"/>
  <c r="W35" i="31" s="1"/>
  <c r="X35" i="31" s="1"/>
  <c r="T35" i="31"/>
  <c r="Q35" i="31"/>
  <c r="R35" i="31" s="1"/>
  <c r="S35" i="31" s="1"/>
  <c r="AB34" i="31"/>
  <c r="Y34" i="31"/>
  <c r="W34" i="31"/>
  <c r="X34" i="31" s="1"/>
  <c r="T34" i="31"/>
  <c r="Q34" i="31"/>
  <c r="R34" i="31" s="1"/>
  <c r="S34" i="31" s="1"/>
  <c r="AB33" i="31"/>
  <c r="Y33" i="31"/>
  <c r="V33" i="31"/>
  <c r="W33" i="31" s="1"/>
  <c r="X33" i="31" s="1"/>
  <c r="T33" i="31"/>
  <c r="Q33" i="31"/>
  <c r="R33" i="31" s="1"/>
  <c r="S33" i="31" s="1"/>
  <c r="AB32" i="31"/>
  <c r="Y32" i="31"/>
  <c r="V32" i="31"/>
  <c r="W32" i="31" s="1"/>
  <c r="X32" i="31" s="1"/>
  <c r="T32" i="31"/>
  <c r="Q32" i="31"/>
  <c r="R32" i="31" s="1"/>
  <c r="S32" i="31" s="1"/>
  <c r="AB31" i="31"/>
  <c r="Y31" i="31"/>
  <c r="V31" i="31"/>
  <c r="W31" i="31" s="1"/>
  <c r="X31" i="31" s="1"/>
  <c r="T31" i="31"/>
  <c r="Q31" i="31"/>
  <c r="R31" i="31" s="1"/>
  <c r="S31" i="31" s="1"/>
  <c r="AB30" i="31"/>
  <c r="Y30" i="31"/>
  <c r="V30" i="31"/>
  <c r="W30" i="31" s="1"/>
  <c r="X30" i="31" s="1"/>
  <c r="T30" i="31"/>
  <c r="R30" i="31"/>
  <c r="S30" i="31" s="1"/>
  <c r="AB29" i="31"/>
  <c r="Y29" i="31"/>
  <c r="V29" i="31"/>
  <c r="W29" i="31" s="1"/>
  <c r="T29" i="31"/>
  <c r="Q29" i="31"/>
  <c r="R29" i="31" s="1"/>
  <c r="S29" i="31" s="1"/>
  <c r="AB28" i="31"/>
  <c r="Y28" i="31"/>
  <c r="W28" i="31"/>
  <c r="X28" i="31" s="1"/>
  <c r="T28" i="31"/>
  <c r="Q28" i="31"/>
  <c r="R28" i="31" s="1"/>
  <c r="S28" i="31" s="1"/>
  <c r="AB27" i="31"/>
  <c r="Y27" i="31"/>
  <c r="X27" i="31"/>
  <c r="V27" i="31"/>
  <c r="T27" i="31"/>
  <c r="Q27" i="31"/>
  <c r="R27" i="31" s="1"/>
  <c r="S27" i="31" s="1"/>
  <c r="AB26" i="31"/>
  <c r="Y26" i="31"/>
  <c r="V26" i="31"/>
  <c r="W26" i="31" s="1"/>
  <c r="T26" i="31"/>
  <c r="Q26" i="31"/>
  <c r="R26" i="31" s="1"/>
  <c r="S26" i="31" s="1"/>
  <c r="AB25" i="31"/>
  <c r="Y25" i="31"/>
  <c r="V25" i="31"/>
  <c r="W25" i="31" s="1"/>
  <c r="X25" i="31" s="1"/>
  <c r="T25" i="31"/>
  <c r="Q25" i="31"/>
  <c r="R25" i="31" s="1"/>
  <c r="S25" i="31" s="1"/>
  <c r="AB24" i="31"/>
  <c r="Y24" i="31"/>
  <c r="V24" i="31"/>
  <c r="W24" i="31" s="1"/>
  <c r="X24" i="31" s="1"/>
  <c r="T24" i="31"/>
  <c r="Q24" i="31"/>
  <c r="R24" i="31" s="1"/>
  <c r="S24" i="31" s="1"/>
  <c r="AB23" i="31"/>
  <c r="Y23" i="31"/>
  <c r="V23" i="31"/>
  <c r="W23" i="31" s="1"/>
  <c r="X23" i="31" s="1"/>
  <c r="T23" i="31"/>
  <c r="R23" i="31"/>
  <c r="S23" i="31" s="1"/>
  <c r="AB19" i="31"/>
  <c r="Y19" i="31"/>
  <c r="W19" i="31"/>
  <c r="X19" i="31" s="1"/>
  <c r="T19" i="31"/>
  <c r="Q19" i="31"/>
  <c r="R19" i="31" s="1"/>
  <c r="S19" i="31" s="1"/>
  <c r="AB18" i="31"/>
  <c r="Y18" i="31"/>
  <c r="X18" i="31"/>
  <c r="V18" i="31"/>
  <c r="T18" i="31"/>
  <c r="Q18" i="31"/>
  <c r="R18" i="31" s="1"/>
  <c r="S18" i="31" s="1"/>
  <c r="AB17" i="31"/>
  <c r="Y17" i="31"/>
  <c r="V17" i="31"/>
  <c r="W17" i="31" s="1"/>
  <c r="T17" i="31"/>
  <c r="Q17" i="31"/>
  <c r="R17" i="31" s="1"/>
  <c r="S17" i="31" s="1"/>
  <c r="AB16" i="31"/>
  <c r="Y16" i="31"/>
  <c r="V16" i="31"/>
  <c r="W16" i="31" s="1"/>
  <c r="X16" i="31" s="1"/>
  <c r="T16" i="31"/>
  <c r="Q16" i="31"/>
  <c r="R16" i="31" s="1"/>
  <c r="S16" i="31" s="1"/>
  <c r="AB15" i="31"/>
  <c r="Y15" i="31"/>
  <c r="V15" i="31"/>
  <c r="W15" i="31" s="1"/>
  <c r="X15" i="31" s="1"/>
  <c r="T15" i="31"/>
  <c r="Q15" i="31"/>
  <c r="R15" i="31" s="1"/>
  <c r="S15" i="31" s="1"/>
  <c r="AB14" i="31"/>
  <c r="Y14" i="31"/>
  <c r="V14" i="31"/>
  <c r="W14" i="31" s="1"/>
  <c r="X14" i="31" s="1"/>
  <c r="T14" i="31"/>
  <c r="Q14" i="31"/>
  <c r="R14" i="31" s="1"/>
  <c r="S14" i="31" s="1"/>
  <c r="AB13" i="31"/>
  <c r="Y13" i="31"/>
  <c r="V13" i="31"/>
  <c r="W13" i="31" s="1"/>
  <c r="Q13" i="31"/>
  <c r="R13" i="31" s="1"/>
  <c r="S13" i="31" s="1"/>
  <c r="T13" i="31" s="1"/>
  <c r="AB12" i="31"/>
  <c r="Y12" i="31"/>
  <c r="V12" i="31"/>
  <c r="W12" i="31" s="1"/>
  <c r="X12" i="31" s="1"/>
  <c r="T12" i="31"/>
  <c r="Q12" i="31"/>
  <c r="R12" i="31" s="1"/>
  <c r="S12" i="31" s="1"/>
  <c r="AB11" i="31"/>
  <c r="Y11" i="31"/>
  <c r="V11" i="31"/>
  <c r="W11" i="31" s="1"/>
  <c r="X11" i="31" s="1"/>
  <c r="T11" i="31"/>
  <c r="Q11" i="31"/>
  <c r="R11" i="31" s="1"/>
  <c r="S11" i="31" s="1"/>
  <c r="AB9" i="31"/>
  <c r="Y9" i="31"/>
  <c r="V9" i="31"/>
  <c r="W9" i="31" s="1"/>
  <c r="X9" i="31" s="1"/>
  <c r="T9" i="31"/>
  <c r="Q9" i="31"/>
  <c r="R9" i="31" s="1"/>
  <c r="S9" i="31" s="1"/>
  <c r="AB8" i="31"/>
  <c r="Y8" i="31"/>
  <c r="V8" i="31"/>
  <c r="W8" i="31" s="1"/>
  <c r="X8" i="31" s="1"/>
  <c r="T8" i="31"/>
  <c r="Q8" i="31"/>
  <c r="R8" i="31" s="1"/>
  <c r="S8" i="31" s="1"/>
  <c r="AB6" i="31"/>
  <c r="AC6" i="31" s="1"/>
  <c r="Y6" i="31"/>
  <c r="V6" i="31"/>
  <c r="W6" i="31" s="1"/>
  <c r="X6" i="31" s="1"/>
  <c r="T6" i="31"/>
  <c r="Q6" i="31"/>
  <c r="R6" i="31" s="1"/>
  <c r="AB4" i="31"/>
  <c r="AC4" i="31" s="1"/>
  <c r="Y4" i="31"/>
  <c r="V4" i="31"/>
  <c r="T4" i="31"/>
  <c r="Q4" i="31"/>
  <c r="P66" i="31"/>
  <c r="P65" i="31" s="1"/>
  <c r="Q66" i="31"/>
  <c r="R66" i="31"/>
  <c r="S66" i="31"/>
  <c r="U66" i="31"/>
  <c r="U65" i="31" s="1"/>
  <c r="T65" i="32" s="1"/>
  <c r="V66" i="31"/>
  <c r="W66" i="31"/>
  <c r="X66" i="31"/>
  <c r="Z66" i="31"/>
  <c r="Z65" i="31" s="1"/>
  <c r="AA66" i="31"/>
  <c r="P67" i="31"/>
  <c r="Q67" i="31"/>
  <c r="R67" i="31"/>
  <c r="S67" i="31"/>
  <c r="U67" i="31"/>
  <c r="V67" i="31"/>
  <c r="W67" i="31"/>
  <c r="X67" i="31"/>
  <c r="Z67" i="31"/>
  <c r="AA67" i="31"/>
  <c r="AB2" i="31"/>
  <c r="AC2" i="31"/>
  <c r="AD2" i="31"/>
  <c r="AE2" i="31"/>
  <c r="AF2" i="31"/>
  <c r="AG2" i="31"/>
  <c r="AH2" i="31"/>
  <c r="AI2" i="31"/>
  <c r="AJ2" i="31"/>
  <c r="AB110" i="31" l="1"/>
  <c r="AC15" i="31"/>
  <c r="AD15" i="31" s="1"/>
  <c r="AE15" i="31" s="1"/>
  <c r="AC25" i="31"/>
  <c r="AD25" i="31" s="1"/>
  <c r="AE25" i="31" s="1"/>
  <c r="AC28" i="31"/>
  <c r="AD28" i="31" s="1"/>
  <c r="AE28" i="31" s="1"/>
  <c r="AC50" i="31"/>
  <c r="AD50" i="31" s="1"/>
  <c r="AE50" i="31" s="1"/>
  <c r="AC54" i="31"/>
  <c r="AD54" i="31" s="1"/>
  <c r="AE54" i="31" s="1"/>
  <c r="AC60" i="31"/>
  <c r="AD60" i="31" s="1"/>
  <c r="AE60" i="31" s="1"/>
  <c r="AC12" i="31"/>
  <c r="AD12" i="31" s="1"/>
  <c r="AE12" i="31" s="1"/>
  <c r="AC13" i="31"/>
  <c r="AD13" i="31" s="1"/>
  <c r="AE13" i="31" s="1"/>
  <c r="AC17" i="31"/>
  <c r="AD17" i="31" s="1"/>
  <c r="AE17" i="31" s="1"/>
  <c r="AC23" i="31"/>
  <c r="AD23" i="31" s="1"/>
  <c r="AE23" i="31" s="1"/>
  <c r="AC30" i="31"/>
  <c r="AD30" i="31" s="1"/>
  <c r="AE30" i="31" s="1"/>
  <c r="AC34" i="31"/>
  <c r="AD34" i="31" s="1"/>
  <c r="AE34" i="31" s="1"/>
  <c r="AC37" i="31"/>
  <c r="AD37" i="31" s="1"/>
  <c r="AE37" i="31" s="1"/>
  <c r="AC41" i="31"/>
  <c r="AD41" i="31" s="1"/>
  <c r="AE41" i="31" s="1"/>
  <c r="AC44" i="31"/>
  <c r="AD44" i="31" s="1"/>
  <c r="AE44" i="31" s="1"/>
  <c r="AC48" i="31"/>
  <c r="AD48" i="31" s="1"/>
  <c r="AE48" i="31" s="1"/>
  <c r="AC52" i="31"/>
  <c r="AD52" i="31" s="1"/>
  <c r="AE52" i="31" s="1"/>
  <c r="AC56" i="31"/>
  <c r="AD56" i="31" s="1"/>
  <c r="AE56" i="31" s="1"/>
  <c r="AC62" i="31"/>
  <c r="AD62" i="31" s="1"/>
  <c r="AE62" i="31" s="1"/>
  <c r="AB112" i="31"/>
  <c r="AC112" i="31" s="1"/>
  <c r="AD112" i="31" s="1"/>
  <c r="AC8" i="31"/>
  <c r="AD8" i="31" s="1"/>
  <c r="AE8" i="31" s="1"/>
  <c r="AC14" i="31"/>
  <c r="AD14" i="31" s="1"/>
  <c r="AE14" i="31" s="1"/>
  <c r="AC24" i="31"/>
  <c r="AD24" i="31" s="1"/>
  <c r="AE24" i="31" s="1"/>
  <c r="AC27" i="31"/>
  <c r="AD27" i="31" s="1"/>
  <c r="AE27" i="31" s="1"/>
  <c r="AC31" i="31"/>
  <c r="AD31" i="31" s="1"/>
  <c r="AE31" i="31" s="1"/>
  <c r="AC35" i="31"/>
  <c r="AD35" i="31" s="1"/>
  <c r="AE35" i="31" s="1"/>
  <c r="AC38" i="31"/>
  <c r="AD38" i="31" s="1"/>
  <c r="AE38" i="31" s="1"/>
  <c r="AC42" i="31"/>
  <c r="AD42" i="31" s="1"/>
  <c r="AE42" i="31" s="1"/>
  <c r="AC45" i="31"/>
  <c r="AD45" i="31" s="1"/>
  <c r="AE45" i="31" s="1"/>
  <c r="AC49" i="31"/>
  <c r="AD49" i="31" s="1"/>
  <c r="AE49" i="31" s="1"/>
  <c r="AC53" i="31"/>
  <c r="AD53" i="31" s="1"/>
  <c r="AE53" i="31" s="1"/>
  <c r="AC57" i="31"/>
  <c r="AD57" i="31" s="1"/>
  <c r="AE57" i="31" s="1"/>
  <c r="AC63" i="31"/>
  <c r="AD63" i="31" s="1"/>
  <c r="AE63" i="31" s="1"/>
  <c r="AC9" i="31"/>
  <c r="AC36" i="31"/>
  <c r="AD36" i="31" s="1"/>
  <c r="AE36" i="31" s="1"/>
  <c r="AB75" i="31"/>
  <c r="AA75" i="31" s="1"/>
  <c r="AA140" i="31" s="1"/>
  <c r="AC140" i="31"/>
  <c r="AC18" i="31"/>
  <c r="AD18" i="31" s="1"/>
  <c r="AE18" i="31" s="1"/>
  <c r="AC32" i="31"/>
  <c r="AD32" i="31" s="1"/>
  <c r="AE32" i="31" s="1"/>
  <c r="AC39" i="31"/>
  <c r="AD39" i="31" s="1"/>
  <c r="AE39" i="31" s="1"/>
  <c r="AC46" i="31"/>
  <c r="AD46" i="31" s="1"/>
  <c r="AE46" i="31" s="1"/>
  <c r="AC58" i="31"/>
  <c r="AD58" i="31" s="1"/>
  <c r="AE58" i="31" s="1"/>
  <c r="AC59" i="31"/>
  <c r="AD59" i="31" s="1"/>
  <c r="AE59" i="31" s="1"/>
  <c r="AF59" i="31" s="1"/>
  <c r="AC11" i="31"/>
  <c r="AD11" i="31" s="1"/>
  <c r="AE11" i="31" s="1"/>
  <c r="AC16" i="31"/>
  <c r="AD16" i="31" s="1"/>
  <c r="AE16" i="31" s="1"/>
  <c r="AC19" i="31"/>
  <c r="AD19" i="31" s="1"/>
  <c r="AE19" i="31" s="1"/>
  <c r="AC26" i="31"/>
  <c r="AD26" i="31" s="1"/>
  <c r="AE26" i="31" s="1"/>
  <c r="AC29" i="31"/>
  <c r="AD29" i="31" s="1"/>
  <c r="AE29" i="31" s="1"/>
  <c r="AC33" i="31"/>
  <c r="AD33" i="31" s="1"/>
  <c r="AE33" i="31" s="1"/>
  <c r="AC40" i="31"/>
  <c r="AD40" i="31" s="1"/>
  <c r="AE40" i="31" s="1"/>
  <c r="AC43" i="31"/>
  <c r="AD43" i="31" s="1"/>
  <c r="AE43" i="31" s="1"/>
  <c r="AC47" i="31"/>
  <c r="AD47" i="31" s="1"/>
  <c r="AE47" i="31" s="1"/>
  <c r="AC51" i="31"/>
  <c r="AD51" i="31" s="1"/>
  <c r="AE51" i="31" s="1"/>
  <c r="AC55" i="31"/>
  <c r="AD55" i="31" s="1"/>
  <c r="AE55" i="31" s="1"/>
  <c r="AC61" i="31"/>
  <c r="AD61" i="31" s="1"/>
  <c r="AE61" i="31" s="1"/>
  <c r="P68" i="31"/>
  <c r="AB108" i="31"/>
  <c r="AC108" i="31" s="1"/>
  <c r="AD108" i="31" s="1"/>
  <c r="AB128" i="31"/>
  <c r="AC128" i="31" s="1"/>
  <c r="X199" i="31"/>
  <c r="V142" i="31"/>
  <c r="AA68" i="31"/>
  <c r="V68" i="31"/>
  <c r="X189" i="31"/>
  <c r="X68" i="31"/>
  <c r="S68" i="31"/>
  <c r="AD4" i="31"/>
  <c r="AB65" i="31"/>
  <c r="X181" i="31"/>
  <c r="Z68" i="31"/>
  <c r="T159" i="31"/>
  <c r="T171" i="31"/>
  <c r="V140" i="31"/>
  <c r="Y145" i="31"/>
  <c r="Y150" i="31"/>
  <c r="Y159" i="31"/>
  <c r="Y163" i="31"/>
  <c r="S175" i="31"/>
  <c r="S177" i="31"/>
  <c r="T193" i="31"/>
  <c r="T147" i="31"/>
  <c r="W68" i="31"/>
  <c r="R68" i="31"/>
  <c r="Q140" i="31"/>
  <c r="Q142" i="31"/>
  <c r="Q148" i="31"/>
  <c r="T161" i="31"/>
  <c r="AB102" i="31"/>
  <c r="AC102" i="31" s="1"/>
  <c r="AC137" i="31"/>
  <c r="AD137" i="31" s="1"/>
  <c r="AA130" i="31"/>
  <c r="AA195" i="31" s="1"/>
  <c r="T163" i="31"/>
  <c r="T167" i="31"/>
  <c r="T140" i="31"/>
  <c r="AB120" i="31"/>
  <c r="AB185" i="31" s="1"/>
  <c r="AH75" i="31"/>
  <c r="AG75" i="31" s="1"/>
  <c r="AF75" i="31" s="1"/>
  <c r="X80" i="31"/>
  <c r="W80" i="31" s="1"/>
  <c r="X85" i="31"/>
  <c r="X150" i="31" s="1"/>
  <c r="X94" i="31"/>
  <c r="W94" i="31" s="1"/>
  <c r="X98" i="31"/>
  <c r="W98" i="31" s="1"/>
  <c r="Y171" i="31"/>
  <c r="AB118" i="31"/>
  <c r="AC118" i="31" s="1"/>
  <c r="AD118" i="31" s="1"/>
  <c r="S193" i="31"/>
  <c r="T195" i="31"/>
  <c r="T197" i="31"/>
  <c r="Q108" i="31"/>
  <c r="Q173" i="31" s="1"/>
  <c r="R173" i="31"/>
  <c r="AD6" i="31"/>
  <c r="AE6" i="31" s="1"/>
  <c r="AB145" i="31"/>
  <c r="AC80" i="31"/>
  <c r="S189" i="31"/>
  <c r="R124" i="31"/>
  <c r="S181" i="31"/>
  <c r="R116" i="31"/>
  <c r="S191" i="31"/>
  <c r="R126" i="31"/>
  <c r="V130" i="31"/>
  <c r="V195" i="31" s="1"/>
  <c r="W195" i="31"/>
  <c r="X197" i="31"/>
  <c r="W132" i="31"/>
  <c r="T145" i="31"/>
  <c r="V96" i="31"/>
  <c r="V161" i="31" s="1"/>
  <c r="W161" i="31"/>
  <c r="V104" i="31"/>
  <c r="V169" i="31" s="1"/>
  <c r="W169" i="31"/>
  <c r="X173" i="31"/>
  <c r="W108" i="31"/>
  <c r="Y175" i="31"/>
  <c r="S187" i="31"/>
  <c r="R122" i="31"/>
  <c r="Q132" i="31"/>
  <c r="Q197" i="31" s="1"/>
  <c r="R197" i="31"/>
  <c r="S199" i="31"/>
  <c r="R134" i="31"/>
  <c r="U65" i="32"/>
  <c r="Z70" i="31"/>
  <c r="Z72" i="31" s="1"/>
  <c r="S65" i="32"/>
  <c r="U70" i="31"/>
  <c r="U72" i="31" s="1"/>
  <c r="X167" i="31"/>
  <c r="W102" i="31"/>
  <c r="R120" i="31"/>
  <c r="S185" i="31"/>
  <c r="W89" i="31"/>
  <c r="X154" i="31"/>
  <c r="S165" i="31"/>
  <c r="R106" i="31"/>
  <c r="S171" i="31"/>
  <c r="X111" i="31"/>
  <c r="Y176" i="31"/>
  <c r="X113" i="31"/>
  <c r="Y178" i="31"/>
  <c r="S127" i="31"/>
  <c r="T192" i="31"/>
  <c r="AC132" i="31"/>
  <c r="AB197" i="31"/>
  <c r="S135" i="31"/>
  <c r="T200" i="31"/>
  <c r="AB77" i="31"/>
  <c r="AD79" i="31"/>
  <c r="Q82" i="31"/>
  <c r="Q147" i="31" s="1"/>
  <c r="R147" i="31"/>
  <c r="T148" i="31"/>
  <c r="AB83" i="31"/>
  <c r="AB84" i="31"/>
  <c r="AA149" i="31"/>
  <c r="S86" i="31"/>
  <c r="T151" i="31"/>
  <c r="T152" i="31"/>
  <c r="AB87" i="31"/>
  <c r="AB88" i="31"/>
  <c r="AA153" i="31"/>
  <c r="Y154" i="31"/>
  <c r="S90" i="31"/>
  <c r="T155" i="31"/>
  <c r="AB94" i="31"/>
  <c r="AB95" i="31"/>
  <c r="AA160" i="31"/>
  <c r="AB96" i="31"/>
  <c r="AC97" i="31"/>
  <c r="AB162" i="31"/>
  <c r="AB99" i="31"/>
  <c r="AA164" i="31"/>
  <c r="T165" i="31"/>
  <c r="AB100" i="31"/>
  <c r="X101" i="31"/>
  <c r="Y166" i="31"/>
  <c r="X103" i="31"/>
  <c r="Y168" i="31"/>
  <c r="AB104" i="31"/>
  <c r="AC105" i="31"/>
  <c r="AC170" i="31" s="1"/>
  <c r="AB170" i="31"/>
  <c r="AB106" i="31"/>
  <c r="R110" i="31"/>
  <c r="X110" i="31"/>
  <c r="AB111" i="31"/>
  <c r="AA176" i="31"/>
  <c r="T177" i="31"/>
  <c r="AB113" i="31"/>
  <c r="AA178" i="31"/>
  <c r="Y179" i="31"/>
  <c r="S115" i="31"/>
  <c r="T180" i="31"/>
  <c r="Y181" i="31"/>
  <c r="S117" i="31"/>
  <c r="T182" i="31"/>
  <c r="T183" i="31"/>
  <c r="X119" i="31"/>
  <c r="Y184" i="31"/>
  <c r="S121" i="31"/>
  <c r="T186" i="31"/>
  <c r="Y187" i="31"/>
  <c r="S123" i="31"/>
  <c r="T188" i="31"/>
  <c r="Y189" i="31"/>
  <c r="S125" i="31"/>
  <c r="T190" i="31"/>
  <c r="Y191" i="31"/>
  <c r="X127" i="31"/>
  <c r="Y192" i="31"/>
  <c r="AB129" i="31"/>
  <c r="AA194" i="31"/>
  <c r="S133" i="31"/>
  <c r="T198" i="31"/>
  <c r="Y199" i="31"/>
  <c r="X135" i="31"/>
  <c r="Y200" i="31"/>
  <c r="R140" i="31"/>
  <c r="AA144" i="31"/>
  <c r="X147" i="31"/>
  <c r="S148" i="31"/>
  <c r="AA155" i="31"/>
  <c r="AA162" i="31"/>
  <c r="AA166" i="31"/>
  <c r="Y167" i="31"/>
  <c r="AA170" i="31"/>
  <c r="T174" i="31"/>
  <c r="T178" i="31"/>
  <c r="AB183" i="31"/>
  <c r="V64" i="32"/>
  <c r="X79" i="31"/>
  <c r="Y144" i="31"/>
  <c r="X95" i="31"/>
  <c r="Y160" i="31"/>
  <c r="X97" i="31"/>
  <c r="Y162" i="31"/>
  <c r="X99" i="31"/>
  <c r="Y164" i="31"/>
  <c r="S101" i="31"/>
  <c r="T166" i="31"/>
  <c r="T169" i="31"/>
  <c r="X105" i="31"/>
  <c r="Y170" i="31"/>
  <c r="Y183" i="31"/>
  <c r="R148" i="31"/>
  <c r="R80" i="31"/>
  <c r="S145" i="31"/>
  <c r="V82" i="31"/>
  <c r="V147" i="31" s="1"/>
  <c r="W147" i="31"/>
  <c r="V148" i="31"/>
  <c r="R85" i="31"/>
  <c r="S150" i="31"/>
  <c r="X86" i="31"/>
  <c r="Y151" i="31"/>
  <c r="W87" i="31"/>
  <c r="X152" i="31"/>
  <c r="Q89" i="31"/>
  <c r="Q154" i="31" s="1"/>
  <c r="R154" i="31"/>
  <c r="X90" i="31"/>
  <c r="Y155" i="31"/>
  <c r="X161" i="31"/>
  <c r="R97" i="31"/>
  <c r="S162" i="31"/>
  <c r="R98" i="31"/>
  <c r="S163" i="31"/>
  <c r="S99" i="31"/>
  <c r="T164" i="31"/>
  <c r="W100" i="31"/>
  <c r="X165" i="31"/>
  <c r="AC101" i="31"/>
  <c r="AB166" i="31"/>
  <c r="AB103" i="31"/>
  <c r="AA168" i="31"/>
  <c r="X169" i="31"/>
  <c r="S105" i="31"/>
  <c r="T170" i="31"/>
  <c r="W106" i="31"/>
  <c r="X171" i="31"/>
  <c r="X107" i="31"/>
  <c r="Y172" i="31"/>
  <c r="S173" i="31"/>
  <c r="Y173" i="31"/>
  <c r="R109" i="31"/>
  <c r="S174" i="31"/>
  <c r="R114" i="31"/>
  <c r="S179" i="31"/>
  <c r="X115" i="31"/>
  <c r="Y180" i="31"/>
  <c r="T181" i="31"/>
  <c r="X117" i="31"/>
  <c r="Y182" i="31"/>
  <c r="AB119" i="31"/>
  <c r="AA184" i="31"/>
  <c r="T185" i="31"/>
  <c r="X121" i="31"/>
  <c r="Y186" i="31"/>
  <c r="T187" i="31"/>
  <c r="X123" i="31"/>
  <c r="Y188" i="31"/>
  <c r="T189" i="31"/>
  <c r="X125" i="31"/>
  <c r="Y190" i="31"/>
  <c r="T191" i="31"/>
  <c r="AB127" i="31"/>
  <c r="AA192" i="31"/>
  <c r="X195" i="31"/>
  <c r="S131" i="31"/>
  <c r="T196" i="31"/>
  <c r="S197" i="31"/>
  <c r="Y197" i="31"/>
  <c r="X133" i="31"/>
  <c r="Y198" i="31"/>
  <c r="T199" i="31"/>
  <c r="AA199" i="31"/>
  <c r="AA200" i="31"/>
  <c r="S140" i="31"/>
  <c r="W142" i="31"/>
  <c r="AB144" i="31"/>
  <c r="AA145" i="31"/>
  <c r="Y147" i="31"/>
  <c r="W148" i="31"/>
  <c r="S154" i="31"/>
  <c r="AA174" i="31"/>
  <c r="AB177" i="31"/>
  <c r="X84" i="31"/>
  <c r="Y149" i="31"/>
  <c r="R87" i="31"/>
  <c r="S152" i="31"/>
  <c r="X88" i="31"/>
  <c r="Y153" i="31"/>
  <c r="R94" i="31"/>
  <c r="S159" i="31"/>
  <c r="S167" i="31"/>
  <c r="S103" i="31"/>
  <c r="T168" i="31"/>
  <c r="S107" i="31"/>
  <c r="T172" i="31"/>
  <c r="AC109" i="31"/>
  <c r="AB174" i="31"/>
  <c r="AC110" i="31"/>
  <c r="AC175" i="31" s="1"/>
  <c r="AB175" i="31"/>
  <c r="Y177" i="31"/>
  <c r="W114" i="31"/>
  <c r="X179" i="31"/>
  <c r="R118" i="31"/>
  <c r="S183" i="31"/>
  <c r="Y185" i="31"/>
  <c r="X187" i="31"/>
  <c r="X191" i="31"/>
  <c r="Y193" i="31"/>
  <c r="X129" i="31"/>
  <c r="Y194" i="31"/>
  <c r="AB131" i="31"/>
  <c r="AA196" i="31"/>
  <c r="Y142" i="31"/>
  <c r="S79" i="31"/>
  <c r="T144" i="31"/>
  <c r="AB82" i="31"/>
  <c r="AA147" i="31"/>
  <c r="Y148" i="31"/>
  <c r="S84" i="31"/>
  <c r="T149" i="31"/>
  <c r="T150" i="31"/>
  <c r="AB85" i="31"/>
  <c r="AB86" i="31"/>
  <c r="AA151" i="31"/>
  <c r="Y152" i="31"/>
  <c r="S88" i="31"/>
  <c r="T153" i="31"/>
  <c r="T154" i="31"/>
  <c r="AB89" i="31"/>
  <c r="AC90" i="31"/>
  <c r="AB155" i="31"/>
  <c r="S95" i="31"/>
  <c r="T160" i="31"/>
  <c r="S96" i="31"/>
  <c r="Y161" i="31"/>
  <c r="T162" i="31"/>
  <c r="AB98" i="31"/>
  <c r="R100" i="31"/>
  <c r="Y165" i="31"/>
  <c r="R102" i="31"/>
  <c r="S104" i="31"/>
  <c r="Y169" i="31"/>
  <c r="AB107" i="31"/>
  <c r="AA172" i="31"/>
  <c r="T173" i="31"/>
  <c r="X109" i="31"/>
  <c r="Y174" i="31"/>
  <c r="T175" i="31"/>
  <c r="S111" i="31"/>
  <c r="T176" i="31"/>
  <c r="R112" i="31"/>
  <c r="X112" i="31"/>
  <c r="R113" i="31"/>
  <c r="S178" i="31"/>
  <c r="T179" i="31"/>
  <c r="AB114" i="31"/>
  <c r="AB115" i="31"/>
  <c r="AA180" i="31"/>
  <c r="W116" i="31"/>
  <c r="AB116" i="31"/>
  <c r="AB117" i="31"/>
  <c r="AA182" i="31"/>
  <c r="X118" i="31"/>
  <c r="S119" i="31"/>
  <c r="T184" i="31"/>
  <c r="X120" i="31"/>
  <c r="AB121" i="31"/>
  <c r="AA186" i="31"/>
  <c r="W122" i="31"/>
  <c r="AB122" i="31"/>
  <c r="AB123" i="31"/>
  <c r="AA188" i="31"/>
  <c r="W124" i="31"/>
  <c r="AB124" i="31"/>
  <c r="AB125" i="31"/>
  <c r="AA190" i="31"/>
  <c r="W126" i="31"/>
  <c r="AB126" i="31"/>
  <c r="R128" i="31"/>
  <c r="X128" i="31"/>
  <c r="S129" i="31"/>
  <c r="T194" i="31"/>
  <c r="S130" i="31"/>
  <c r="Y195" i="31"/>
  <c r="X131" i="31"/>
  <c r="Y196" i="31"/>
  <c r="AA197" i="31"/>
  <c r="AB133" i="31"/>
  <c r="AA198" i="31"/>
  <c r="W134" i="31"/>
  <c r="AB134" i="31"/>
  <c r="U137" i="31"/>
  <c r="T137" i="32" s="1"/>
  <c r="Z137" i="31"/>
  <c r="U137" i="32" s="1"/>
  <c r="AB140" i="31"/>
  <c r="R142" i="31"/>
  <c r="X142" i="31"/>
  <c r="S147" i="31"/>
  <c r="X148" i="31"/>
  <c r="R65" i="31"/>
  <c r="S6" i="31"/>
  <c r="T142" i="31" s="1"/>
  <c r="V65" i="31"/>
  <c r="V71" i="31" s="1"/>
  <c r="W4" i="31"/>
  <c r="Q65" i="31"/>
  <c r="Q71" i="31" s="1"/>
  <c r="AA65" i="31"/>
  <c r="U68" i="31"/>
  <c r="Q68" i="31"/>
  <c r="X163" i="31" l="1"/>
  <c r="AB193" i="31"/>
  <c r="AC167" i="31"/>
  <c r="AC193" i="31"/>
  <c r="AC120" i="31"/>
  <c r="AC185" i="31" s="1"/>
  <c r="AB173" i="31"/>
  <c r="X159" i="31"/>
  <c r="AB167" i="31"/>
  <c r="X145" i="31"/>
  <c r="AC174" i="31"/>
  <c r="AC162" i="31"/>
  <c r="AC166" i="31"/>
  <c r="V50" i="32"/>
  <c r="AF50" i="31"/>
  <c r="AG50" i="31" s="1"/>
  <c r="AH50" i="31" s="1"/>
  <c r="AI50" i="31" s="1"/>
  <c r="AJ50" i="31" s="1"/>
  <c r="AC155" i="31"/>
  <c r="AG60" i="31"/>
  <c r="AH60" i="31" s="1"/>
  <c r="V60" i="32"/>
  <c r="U140" i="31"/>
  <c r="AF63" i="31"/>
  <c r="AG63" i="31" s="1"/>
  <c r="AH63" i="31" s="1"/>
  <c r="V63" i="32"/>
  <c r="AC177" i="31"/>
  <c r="AC197" i="31"/>
  <c r="W85" i="31"/>
  <c r="W150" i="31" s="1"/>
  <c r="AF53" i="31"/>
  <c r="AG53" i="31" s="1"/>
  <c r="AH53" i="31" s="1"/>
  <c r="AI53" i="31" s="1"/>
  <c r="AJ53" i="31" s="1"/>
  <c r="V53" i="32"/>
  <c r="AC173" i="31"/>
  <c r="AF56" i="31"/>
  <c r="AG56" i="31" s="1"/>
  <c r="AH56" i="31" s="1"/>
  <c r="AI56" i="31" s="1"/>
  <c r="AJ56" i="31" s="1"/>
  <c r="V56" i="32"/>
  <c r="V32" i="32"/>
  <c r="AF32" i="31"/>
  <c r="AG32" i="31" s="1"/>
  <c r="AH32" i="31" s="1"/>
  <c r="AI32" i="31" s="1"/>
  <c r="AJ32" i="31" s="1"/>
  <c r="AF31" i="31"/>
  <c r="AG31" i="31" s="1"/>
  <c r="AH31" i="31" s="1"/>
  <c r="AI31" i="31" s="1"/>
  <c r="AJ31" i="31" s="1"/>
  <c r="V31" i="32"/>
  <c r="AF48" i="31"/>
  <c r="AG48" i="31" s="1"/>
  <c r="AH48" i="31" s="1"/>
  <c r="AI48" i="31" s="1"/>
  <c r="AJ48" i="31" s="1"/>
  <c r="V48" i="32"/>
  <c r="V51" i="32"/>
  <c r="AF51" i="31"/>
  <c r="AG51" i="31" s="1"/>
  <c r="AH51" i="31" s="1"/>
  <c r="AI51" i="31" s="1"/>
  <c r="AJ51" i="31" s="1"/>
  <c r="AC183" i="31"/>
  <c r="AF61" i="31"/>
  <c r="AG61" i="31" s="1"/>
  <c r="AH61" i="31" s="1"/>
  <c r="AJ61" i="31" s="1"/>
  <c r="V61" i="32"/>
  <c r="AF38" i="31"/>
  <c r="AG38" i="31" s="1"/>
  <c r="AH38" i="31" s="1"/>
  <c r="AI38" i="31" s="1"/>
  <c r="AJ38" i="31" s="1"/>
  <c r="V38" i="32"/>
  <c r="AF41" i="31"/>
  <c r="AG41" i="31" s="1"/>
  <c r="AH41" i="31" s="1"/>
  <c r="AI41" i="31" s="1"/>
  <c r="AJ41" i="31" s="1"/>
  <c r="V41" i="32"/>
  <c r="AF43" i="31"/>
  <c r="AG43" i="31" s="1"/>
  <c r="AH43" i="31" s="1"/>
  <c r="AI43" i="31" s="1"/>
  <c r="AJ43" i="31" s="1"/>
  <c r="V43" i="32"/>
  <c r="V26" i="32"/>
  <c r="AF26" i="31"/>
  <c r="AG26" i="31" s="1"/>
  <c r="AH26" i="31" s="1"/>
  <c r="AI26" i="31" s="1"/>
  <c r="AJ26" i="31" s="1"/>
  <c r="V59" i="32"/>
  <c r="V36" i="32"/>
  <c r="AF36" i="31"/>
  <c r="AG36" i="31" s="1"/>
  <c r="AH36" i="31" s="1"/>
  <c r="AI36" i="31" s="1"/>
  <c r="AJ36" i="31" s="1"/>
  <c r="V45" i="32"/>
  <c r="AF45" i="31"/>
  <c r="AG45" i="31" s="1"/>
  <c r="AH45" i="31" s="1"/>
  <c r="AI45" i="31" s="1"/>
  <c r="AJ45" i="31" s="1"/>
  <c r="AF34" i="31"/>
  <c r="AG34" i="31" s="1"/>
  <c r="AH34" i="31" s="1"/>
  <c r="AI34" i="31" s="1"/>
  <c r="AJ34" i="31" s="1"/>
  <c r="V34" i="32"/>
  <c r="V33" i="32"/>
  <c r="AF33" i="31"/>
  <c r="AG33" i="31" s="1"/>
  <c r="AH33" i="31" s="1"/>
  <c r="AI33" i="31" s="1"/>
  <c r="AJ33" i="31" s="1"/>
  <c r="AF46" i="31"/>
  <c r="AG46" i="31" s="1"/>
  <c r="AH46" i="31" s="1"/>
  <c r="AI46" i="31" s="1"/>
  <c r="AJ46" i="31" s="1"/>
  <c r="V46" i="32"/>
  <c r="AG64" i="31"/>
  <c r="V13" i="32"/>
  <c r="AF13" i="31"/>
  <c r="AG13" i="31" s="1"/>
  <c r="AI13" i="31" s="1"/>
  <c r="AJ13" i="31" s="1"/>
  <c r="AC144" i="31"/>
  <c r="AF8" i="31"/>
  <c r="AG8" i="31" s="1"/>
  <c r="AH8" i="31" s="1"/>
  <c r="AI8" i="31" s="1"/>
  <c r="AJ8" i="31" s="1"/>
  <c r="V8" i="32"/>
  <c r="AF16" i="31"/>
  <c r="AG16" i="31" s="1"/>
  <c r="AH16" i="31" s="1"/>
  <c r="AI16" i="31" s="1"/>
  <c r="AJ16" i="31" s="1"/>
  <c r="V16" i="32"/>
  <c r="AF24" i="31"/>
  <c r="AG24" i="31" s="1"/>
  <c r="AH24" i="31" s="1"/>
  <c r="AI24" i="31" s="1"/>
  <c r="AJ24" i="31" s="1"/>
  <c r="V24" i="32"/>
  <c r="AF25" i="31"/>
  <c r="AG25" i="31" s="1"/>
  <c r="AH25" i="31" s="1"/>
  <c r="AI25" i="31" s="1"/>
  <c r="AJ25" i="31" s="1"/>
  <c r="V25" i="32"/>
  <c r="V23" i="32"/>
  <c r="AF23" i="31"/>
  <c r="AG23" i="31" s="1"/>
  <c r="AH23" i="31" s="1"/>
  <c r="AI23" i="31" s="1"/>
  <c r="AJ23" i="31" s="1"/>
  <c r="AC65" i="31"/>
  <c r="AC70" i="31" s="1"/>
  <c r="AE4" i="31"/>
  <c r="AF4" i="31" s="1"/>
  <c r="AF55" i="31"/>
  <c r="AG55" i="31" s="1"/>
  <c r="AH55" i="31" s="1"/>
  <c r="AI55" i="31" s="1"/>
  <c r="AJ55" i="31" s="1"/>
  <c r="V55" i="32"/>
  <c r="V19" i="32"/>
  <c r="AF19" i="31"/>
  <c r="AG19" i="31" s="1"/>
  <c r="AH19" i="31" s="1"/>
  <c r="AI19" i="31" s="1"/>
  <c r="AJ19" i="31" s="1"/>
  <c r="AF18" i="31"/>
  <c r="AG18" i="31" s="1"/>
  <c r="AH18" i="31" s="1"/>
  <c r="AI18" i="31" s="1"/>
  <c r="AJ18" i="31" s="1"/>
  <c r="V18" i="32"/>
  <c r="V49" i="32"/>
  <c r="AF49" i="31"/>
  <c r="AG49" i="31" s="1"/>
  <c r="AH49" i="31" s="1"/>
  <c r="AI49" i="31" s="1"/>
  <c r="AJ49" i="31" s="1"/>
  <c r="AF14" i="31"/>
  <c r="AG14" i="31" s="1"/>
  <c r="AH14" i="31" s="1"/>
  <c r="AJ14" i="31" s="1"/>
  <c r="V14" i="32"/>
  <c r="V62" i="32"/>
  <c r="AF62" i="31"/>
  <c r="AG62" i="31" s="1"/>
  <c r="AH62" i="31" s="1"/>
  <c r="AF30" i="31"/>
  <c r="AG30" i="31" s="1"/>
  <c r="AH30" i="31" s="1"/>
  <c r="AI30" i="31" s="1"/>
  <c r="AJ30" i="31" s="1"/>
  <c r="V30" i="32"/>
  <c r="AF28" i="31"/>
  <c r="AG28" i="31" s="1"/>
  <c r="AH28" i="31" s="1"/>
  <c r="AI28" i="31" s="1"/>
  <c r="AJ28" i="31" s="1"/>
  <c r="V28" i="32"/>
  <c r="AF29" i="31"/>
  <c r="AG29" i="31" s="1"/>
  <c r="AH29" i="31" s="1"/>
  <c r="AI29" i="31" s="1"/>
  <c r="AJ29" i="31" s="1"/>
  <c r="V29" i="32"/>
  <c r="V39" i="32"/>
  <c r="AF39" i="31"/>
  <c r="AG39" i="31" s="1"/>
  <c r="AH39" i="31" s="1"/>
  <c r="AI39" i="31" s="1"/>
  <c r="AJ39" i="31" s="1"/>
  <c r="AF57" i="31"/>
  <c r="AG57" i="31" s="1"/>
  <c r="AH57" i="31" s="1"/>
  <c r="AI57" i="31" s="1"/>
  <c r="AJ57" i="31" s="1"/>
  <c r="V57" i="32"/>
  <c r="AF27" i="31"/>
  <c r="AG27" i="31" s="1"/>
  <c r="AH27" i="31" s="1"/>
  <c r="AI27" i="31" s="1"/>
  <c r="AJ27" i="31" s="1"/>
  <c r="V27" i="32"/>
  <c r="AF37" i="31"/>
  <c r="AG37" i="31" s="1"/>
  <c r="AH37" i="31" s="1"/>
  <c r="AI37" i="31" s="1"/>
  <c r="AJ37" i="31" s="1"/>
  <c r="V37" i="32"/>
  <c r="AF54" i="31"/>
  <c r="AG54" i="31" s="1"/>
  <c r="AH54" i="31" s="1"/>
  <c r="AI54" i="31" s="1"/>
  <c r="AJ54" i="31" s="1"/>
  <c r="V54" i="32"/>
  <c r="AF40" i="31"/>
  <c r="AG40" i="31" s="1"/>
  <c r="AH40" i="31" s="1"/>
  <c r="AI40" i="31" s="1"/>
  <c r="AJ40" i="31" s="1"/>
  <c r="V40" i="32"/>
  <c r="AF58" i="31"/>
  <c r="AG58" i="31" s="1"/>
  <c r="AH58" i="31" s="1"/>
  <c r="AI58" i="31" s="1"/>
  <c r="AJ58" i="31" s="1"/>
  <c r="V58" i="32"/>
  <c r="AF35" i="31"/>
  <c r="AG35" i="31" s="1"/>
  <c r="AH35" i="31" s="1"/>
  <c r="AI35" i="31" s="1"/>
  <c r="AJ35" i="31" s="1"/>
  <c r="V35" i="32"/>
  <c r="AF44" i="31"/>
  <c r="AG44" i="31" s="1"/>
  <c r="AH44" i="31" s="1"/>
  <c r="AI44" i="31" s="1"/>
  <c r="AJ44" i="31" s="1"/>
  <c r="V44" i="32"/>
  <c r="AF12" i="31"/>
  <c r="AG12" i="31" s="1"/>
  <c r="AH12" i="31" s="1"/>
  <c r="AI12" i="31" s="1"/>
  <c r="AJ12" i="31" s="1"/>
  <c r="V12" i="32"/>
  <c r="V47" i="32"/>
  <c r="AF47" i="31"/>
  <c r="AG47" i="31" s="1"/>
  <c r="AH47" i="31" s="1"/>
  <c r="AI47" i="31" s="1"/>
  <c r="AJ47" i="31" s="1"/>
  <c r="V11" i="32"/>
  <c r="AF11" i="31"/>
  <c r="AG11" i="31" s="1"/>
  <c r="AH11" i="31" s="1"/>
  <c r="AI11" i="31" s="1"/>
  <c r="AJ11" i="31" s="1"/>
  <c r="AF42" i="31"/>
  <c r="AG42" i="31" s="1"/>
  <c r="AH42" i="31" s="1"/>
  <c r="AI42" i="31" s="1"/>
  <c r="AJ42" i="31" s="1"/>
  <c r="V42" i="32"/>
  <c r="V52" i="32"/>
  <c r="AF52" i="31"/>
  <c r="AG52" i="31" s="1"/>
  <c r="AH52" i="31" s="1"/>
  <c r="AI52" i="31" s="1"/>
  <c r="AJ52" i="31" s="1"/>
  <c r="AF17" i="31"/>
  <c r="AG17" i="31" s="1"/>
  <c r="AH17" i="31" s="1"/>
  <c r="AI17" i="31" s="1"/>
  <c r="AJ17" i="31" s="1"/>
  <c r="V17" i="32"/>
  <c r="AF15" i="31"/>
  <c r="AG15" i="31" s="1"/>
  <c r="AH15" i="31" s="1"/>
  <c r="AI15" i="31" s="1"/>
  <c r="AJ15" i="31" s="1"/>
  <c r="V15" i="32"/>
  <c r="AD9" i="31"/>
  <c r="AE9" i="31" s="1"/>
  <c r="AC145" i="31"/>
  <c r="AD140" i="31"/>
  <c r="Z147" i="31"/>
  <c r="U147" i="32" s="1"/>
  <c r="AD130" i="31"/>
  <c r="AE137" i="31"/>
  <c r="AE130" i="31" s="1"/>
  <c r="Z142" i="31"/>
  <c r="U142" i="32" s="1"/>
  <c r="Q70" i="31"/>
  <c r="Q72" i="31" s="1"/>
  <c r="AA70" i="31"/>
  <c r="U154" i="31"/>
  <c r="T154" i="32" s="1"/>
  <c r="AC130" i="31"/>
  <c r="AC195" i="31" s="1"/>
  <c r="AA71" i="31"/>
  <c r="S142" i="31"/>
  <c r="U142" i="31" s="1"/>
  <c r="T142" i="32" s="1"/>
  <c r="Z169" i="31"/>
  <c r="U169" i="32" s="1"/>
  <c r="R71" i="31"/>
  <c r="U148" i="31"/>
  <c r="T148" i="32" s="1"/>
  <c r="V134" i="31"/>
  <c r="V199" i="31" s="1"/>
  <c r="W199" i="31"/>
  <c r="AC126" i="31"/>
  <c r="AC191" i="31" s="1"/>
  <c r="AB191" i="31"/>
  <c r="AC124" i="31"/>
  <c r="AC189" i="31" s="1"/>
  <c r="AB189" i="31"/>
  <c r="X183" i="31"/>
  <c r="W118" i="31"/>
  <c r="V116" i="31"/>
  <c r="V181" i="31" s="1"/>
  <c r="W181" i="31"/>
  <c r="Q112" i="31"/>
  <c r="Q177" i="31" s="1"/>
  <c r="R177" i="31"/>
  <c r="W99" i="31"/>
  <c r="X164" i="31"/>
  <c r="W95" i="31"/>
  <c r="X160" i="31"/>
  <c r="W79" i="31"/>
  <c r="X144" i="31"/>
  <c r="W127" i="31"/>
  <c r="X192" i="31"/>
  <c r="W119" i="31"/>
  <c r="X184" i="31"/>
  <c r="R117" i="31"/>
  <c r="S182" i="31"/>
  <c r="Q110" i="31"/>
  <c r="Q175" i="31" s="1"/>
  <c r="R175" i="31"/>
  <c r="AC104" i="31"/>
  <c r="AC169" i="31" s="1"/>
  <c r="AB169" i="31"/>
  <c r="AC96" i="31"/>
  <c r="AC161" i="31" s="1"/>
  <c r="AB161" i="31"/>
  <c r="AC88" i="31"/>
  <c r="AC153" i="31" s="1"/>
  <c r="AB153" i="31"/>
  <c r="R86" i="31"/>
  <c r="S151" i="31"/>
  <c r="AE79" i="31"/>
  <c r="AD144" i="31"/>
  <c r="Q116" i="31"/>
  <c r="Q181" i="31" s="1"/>
  <c r="R181" i="31"/>
  <c r="AD80" i="31"/>
  <c r="W131" i="31"/>
  <c r="X196" i="31"/>
  <c r="R129" i="31"/>
  <c r="S194" i="31"/>
  <c r="V126" i="31"/>
  <c r="V191" i="31" s="1"/>
  <c r="W191" i="31"/>
  <c r="V124" i="31"/>
  <c r="V189" i="31" s="1"/>
  <c r="W189" i="31"/>
  <c r="V122" i="31"/>
  <c r="V187" i="31" s="1"/>
  <c r="W187" i="31"/>
  <c r="W120" i="31"/>
  <c r="X185" i="31"/>
  <c r="Q102" i="31"/>
  <c r="Q167" i="31" s="1"/>
  <c r="R167" i="31"/>
  <c r="R95" i="31"/>
  <c r="S160" i="31"/>
  <c r="AC82" i="31"/>
  <c r="AC147" i="31" s="1"/>
  <c r="AB147" i="31"/>
  <c r="AB70" i="31"/>
  <c r="V70" i="31"/>
  <c r="V72" i="31" s="1"/>
  <c r="W129" i="31"/>
  <c r="X194" i="31"/>
  <c r="V114" i="31"/>
  <c r="V179" i="31" s="1"/>
  <c r="W179" i="31"/>
  <c r="AC127" i="31"/>
  <c r="AC192" i="31" s="1"/>
  <c r="AB192" i="31"/>
  <c r="W125" i="31"/>
  <c r="X190" i="31"/>
  <c r="W123" i="31"/>
  <c r="X188" i="31"/>
  <c r="W121" i="31"/>
  <c r="X186" i="31"/>
  <c r="AC119" i="31"/>
  <c r="AC184" i="31" s="1"/>
  <c r="AB184" i="31"/>
  <c r="W117" i="31"/>
  <c r="X182" i="31"/>
  <c r="W115" i="31"/>
  <c r="X180" i="31"/>
  <c r="AD102" i="31"/>
  <c r="V100" i="31"/>
  <c r="V165" i="31" s="1"/>
  <c r="W165" i="31"/>
  <c r="W90" i="31"/>
  <c r="X155" i="31"/>
  <c r="AE108" i="31"/>
  <c r="AD173" i="31"/>
  <c r="AC129" i="31"/>
  <c r="AC194" i="31" s="1"/>
  <c r="AB194" i="31"/>
  <c r="R121" i="31"/>
  <c r="S186" i="31"/>
  <c r="AB171" i="31"/>
  <c r="AC106" i="31"/>
  <c r="AC171" i="31" s="1"/>
  <c r="W101" i="31"/>
  <c r="X166" i="31"/>
  <c r="AC99" i="31"/>
  <c r="AC164" i="31" s="1"/>
  <c r="AB164" i="31"/>
  <c r="R90" i="31"/>
  <c r="S155" i="31"/>
  <c r="AC87" i="31"/>
  <c r="AC152" i="31" s="1"/>
  <c r="AB152" i="31"/>
  <c r="AB142" i="31"/>
  <c r="AC77" i="31"/>
  <c r="AC142" i="31" s="1"/>
  <c r="R70" i="31"/>
  <c r="AD132" i="31"/>
  <c r="W113" i="31"/>
  <c r="X178" i="31"/>
  <c r="Q106" i="31"/>
  <c r="Q171" i="31" s="1"/>
  <c r="R171" i="31"/>
  <c r="V89" i="31"/>
  <c r="V154" i="31" s="1"/>
  <c r="W154" i="31"/>
  <c r="U197" i="31"/>
  <c r="T197" i="32" s="1"/>
  <c r="V108" i="31"/>
  <c r="V173" i="31" s="1"/>
  <c r="W173" i="31"/>
  <c r="Z195" i="31"/>
  <c r="U195" i="32" s="1"/>
  <c r="AD110" i="31"/>
  <c r="R107" i="31"/>
  <c r="S172" i="31"/>
  <c r="W84" i="31"/>
  <c r="X149" i="31"/>
  <c r="W133" i="31"/>
  <c r="X198" i="31"/>
  <c r="R131" i="31"/>
  <c r="S196" i="31"/>
  <c r="W107" i="31"/>
  <c r="X172" i="31"/>
  <c r="W86" i="31"/>
  <c r="X151" i="31"/>
  <c r="AC133" i="31"/>
  <c r="AC198" i="31" s="1"/>
  <c r="AB198" i="31"/>
  <c r="Q113" i="31"/>
  <c r="Q178" i="31" s="1"/>
  <c r="R178" i="31"/>
  <c r="AC86" i="31"/>
  <c r="AC151" i="31" s="1"/>
  <c r="AB151" i="31"/>
  <c r="AB71" i="31"/>
  <c r="AD109" i="31"/>
  <c r="Q94" i="31"/>
  <c r="Q159" i="31" s="1"/>
  <c r="R159" i="31"/>
  <c r="Q87" i="31"/>
  <c r="Q152" i="31" s="1"/>
  <c r="R152" i="31"/>
  <c r="AE112" i="31"/>
  <c r="AD177" i="31"/>
  <c r="V106" i="31"/>
  <c r="V171" i="31" s="1"/>
  <c r="W171" i="31"/>
  <c r="Q98" i="31"/>
  <c r="Q163" i="31" s="1"/>
  <c r="R163" i="31"/>
  <c r="V87" i="31"/>
  <c r="V152" i="31" s="1"/>
  <c r="W152" i="31"/>
  <c r="R101" i="31"/>
  <c r="S166" i="31"/>
  <c r="W97" i="31"/>
  <c r="X162" i="31"/>
  <c r="R133" i="31"/>
  <c r="S198" i="31"/>
  <c r="R123" i="31"/>
  <c r="S188" i="31"/>
  <c r="AC113" i="31"/>
  <c r="AC178" i="31" s="1"/>
  <c r="AB178" i="31"/>
  <c r="AC111" i="31"/>
  <c r="AC176" i="31" s="1"/>
  <c r="AB176" i="31"/>
  <c r="W103" i="31"/>
  <c r="X168" i="31"/>
  <c r="AC100" i="31"/>
  <c r="AC165" i="31" s="1"/>
  <c r="AB165" i="31"/>
  <c r="AC95" i="31"/>
  <c r="AC160" i="31" s="1"/>
  <c r="AB160" i="31"/>
  <c r="AC84" i="31"/>
  <c r="AC149" i="31" s="1"/>
  <c r="AB149" i="31"/>
  <c r="U147" i="31"/>
  <c r="T147" i="32" s="1"/>
  <c r="Q134" i="31"/>
  <c r="Q199" i="31" s="1"/>
  <c r="R199" i="31"/>
  <c r="Q122" i="31"/>
  <c r="Q187" i="31" s="1"/>
  <c r="R187" i="31"/>
  <c r="Z161" i="31"/>
  <c r="U161" i="32" s="1"/>
  <c r="V132" i="31"/>
  <c r="V197" i="31" s="1"/>
  <c r="W197" i="31"/>
  <c r="Q126" i="31"/>
  <c r="Q191" i="31" s="1"/>
  <c r="R191" i="31"/>
  <c r="Q124" i="31"/>
  <c r="Q189" i="31" s="1"/>
  <c r="R189" i="31"/>
  <c r="U173" i="31"/>
  <c r="T173" i="32" s="1"/>
  <c r="W140" i="31"/>
  <c r="AC122" i="31"/>
  <c r="AC187" i="31" s="1"/>
  <c r="AB187" i="31"/>
  <c r="R104" i="31"/>
  <c r="S169" i="31"/>
  <c r="AB163" i="31"/>
  <c r="AC98" i="31"/>
  <c r="AC163" i="31" s="1"/>
  <c r="AC89" i="31"/>
  <c r="AC154" i="31" s="1"/>
  <c r="AB154" i="31"/>
  <c r="W88" i="31"/>
  <c r="X153" i="31"/>
  <c r="Q114" i="31"/>
  <c r="Q179" i="31" s="1"/>
  <c r="R179" i="31"/>
  <c r="Q109" i="31"/>
  <c r="Q174" i="31" s="1"/>
  <c r="R174" i="31"/>
  <c r="R105" i="31"/>
  <c r="S170" i="31"/>
  <c r="Q97" i="31"/>
  <c r="Q162" i="31" s="1"/>
  <c r="R162" i="31"/>
  <c r="Z148" i="31"/>
  <c r="U148" i="32" s="1"/>
  <c r="Q80" i="31"/>
  <c r="Q145" i="31" s="1"/>
  <c r="R145" i="31"/>
  <c r="V102" i="31"/>
  <c r="V167" i="31" s="1"/>
  <c r="W167" i="31"/>
  <c r="X193" i="31"/>
  <c r="W128" i="31"/>
  <c r="AC117" i="31"/>
  <c r="AC182" i="31" s="1"/>
  <c r="AB182" i="31"/>
  <c r="AC115" i="31"/>
  <c r="AC180" i="31" s="1"/>
  <c r="AB180" i="31"/>
  <c r="R111" i="31"/>
  <c r="S176" i="31"/>
  <c r="W109" i="31"/>
  <c r="X174" i="31"/>
  <c r="AC107" i="31"/>
  <c r="AC172" i="31" s="1"/>
  <c r="AB172" i="31"/>
  <c r="R84" i="31"/>
  <c r="S149" i="31"/>
  <c r="S65" i="31"/>
  <c r="S71" i="31" s="1"/>
  <c r="AC134" i="31"/>
  <c r="AC199" i="31" s="1"/>
  <c r="AB199" i="31"/>
  <c r="S195" i="31"/>
  <c r="R130" i="31"/>
  <c r="Q128" i="31"/>
  <c r="Q193" i="31" s="1"/>
  <c r="R193" i="31"/>
  <c r="AC125" i="31"/>
  <c r="AC190" i="31" s="1"/>
  <c r="AB190" i="31"/>
  <c r="AC123" i="31"/>
  <c r="AC188" i="31" s="1"/>
  <c r="AB188" i="31"/>
  <c r="AC121" i="31"/>
  <c r="AC186" i="31" s="1"/>
  <c r="AB186" i="31"/>
  <c r="R119" i="31"/>
  <c r="S184" i="31"/>
  <c r="AC116" i="31"/>
  <c r="AC181" i="31" s="1"/>
  <c r="AB181" i="31"/>
  <c r="AC114" i="31"/>
  <c r="AC179" i="31" s="1"/>
  <c r="AB179" i="31"/>
  <c r="X177" i="31"/>
  <c r="W112" i="31"/>
  <c r="Q100" i="31"/>
  <c r="Q165" i="31" s="1"/>
  <c r="R165" i="31"/>
  <c r="S161" i="31"/>
  <c r="R96" i="31"/>
  <c r="AD90" i="31"/>
  <c r="R88" i="31"/>
  <c r="S153" i="31"/>
  <c r="AB150" i="31"/>
  <c r="AC85" i="31"/>
  <c r="AC150" i="31" s="1"/>
  <c r="R79" i="31"/>
  <c r="S144" i="31"/>
  <c r="AC131" i="31"/>
  <c r="AC196" i="31" s="1"/>
  <c r="AB196" i="31"/>
  <c r="Q118" i="31"/>
  <c r="Q183" i="31" s="1"/>
  <c r="R183" i="31"/>
  <c r="R103" i="31"/>
  <c r="S168" i="31"/>
  <c r="V98" i="31"/>
  <c r="V163" i="31" s="1"/>
  <c r="W163" i="31"/>
  <c r="V80" i="31"/>
  <c r="V145" i="31" s="1"/>
  <c r="W145" i="31"/>
  <c r="AD128" i="31"/>
  <c r="AE118" i="31"/>
  <c r="AD183" i="31"/>
  <c r="AE183" i="31" s="1"/>
  <c r="V183" i="32" s="1"/>
  <c r="AC103" i="31"/>
  <c r="AC168" i="31" s="1"/>
  <c r="AB168" i="31"/>
  <c r="AD101" i="31"/>
  <c r="R99" i="31"/>
  <c r="S164" i="31"/>
  <c r="V94" i="31"/>
  <c r="V159" i="31" s="1"/>
  <c r="W159" i="31"/>
  <c r="Q85" i="31"/>
  <c r="Q150" i="31" s="1"/>
  <c r="R150" i="31"/>
  <c r="W105" i="31"/>
  <c r="X170" i="31"/>
  <c r="W135" i="31"/>
  <c r="X200" i="31"/>
  <c r="AB195" i="31"/>
  <c r="R125" i="31"/>
  <c r="S190" i="31"/>
  <c r="R115" i="31"/>
  <c r="S180" i="31"/>
  <c r="X175" i="31"/>
  <c r="W110" i="31"/>
  <c r="AD105" i="31"/>
  <c r="AD97" i="31"/>
  <c r="AB159" i="31"/>
  <c r="AC94" i="31"/>
  <c r="AC159" i="31" s="1"/>
  <c r="AC83" i="31"/>
  <c r="AC148" i="31" s="1"/>
  <c r="AB148" i="31"/>
  <c r="R135" i="31"/>
  <c r="S200" i="31"/>
  <c r="R127" i="31"/>
  <c r="S192" i="31"/>
  <c r="W111" i="31"/>
  <c r="X176" i="31"/>
  <c r="Q120" i="31"/>
  <c r="Q185" i="31" s="1"/>
  <c r="R185" i="31"/>
  <c r="AF6" i="31"/>
  <c r="V6" i="32"/>
  <c r="AB68" i="31"/>
  <c r="W65" i="31"/>
  <c r="W71" i="31" s="1"/>
  <c r="X4" i="31"/>
  <c r="V85" i="31" l="1"/>
  <c r="V150" i="31" s="1"/>
  <c r="Z150" i="31" s="1"/>
  <c r="U150" i="32" s="1"/>
  <c r="AD120" i="31"/>
  <c r="AE120" i="31" s="1"/>
  <c r="AE173" i="31"/>
  <c r="V173" i="32" s="1"/>
  <c r="V137" i="32"/>
  <c r="W52" i="32"/>
  <c r="AK52" i="31"/>
  <c r="AL52" i="31" s="1"/>
  <c r="AM52" i="31" s="1"/>
  <c r="AN52" i="31" s="1"/>
  <c r="AO52" i="31" s="1"/>
  <c r="W33" i="32"/>
  <c r="AK33" i="31"/>
  <c r="AL33" i="31" s="1"/>
  <c r="AM33" i="31" s="1"/>
  <c r="AN33" i="31" s="1"/>
  <c r="AO33" i="31" s="1"/>
  <c r="W43" i="32"/>
  <c r="AK43" i="31"/>
  <c r="AL43" i="31" s="1"/>
  <c r="AM43" i="31" s="1"/>
  <c r="AN43" i="31" s="1"/>
  <c r="AO43" i="31" s="1"/>
  <c r="W51" i="32"/>
  <c r="AK51" i="31"/>
  <c r="AL51" i="31" s="1"/>
  <c r="AM51" i="31" s="1"/>
  <c r="AN51" i="31" s="1"/>
  <c r="AO51" i="31" s="1"/>
  <c r="W53" i="32"/>
  <c r="AK53" i="31"/>
  <c r="AL53" i="31" s="1"/>
  <c r="AM53" i="31" s="1"/>
  <c r="AN53" i="31" s="1"/>
  <c r="AO53" i="31" s="1"/>
  <c r="W15" i="32"/>
  <c r="AK15" i="31"/>
  <c r="AL15" i="31" s="1"/>
  <c r="AM15" i="31" s="1"/>
  <c r="AN15" i="31" s="1"/>
  <c r="AO15" i="31" s="1"/>
  <c r="W12" i="32"/>
  <c r="AK12" i="31"/>
  <c r="AL12" i="31" s="1"/>
  <c r="AM12" i="31" s="1"/>
  <c r="AN12" i="31" s="1"/>
  <c r="AO12" i="31" s="1"/>
  <c r="W35" i="32"/>
  <c r="AK35" i="31"/>
  <c r="AL35" i="31" s="1"/>
  <c r="AM35" i="31" s="1"/>
  <c r="AN35" i="31" s="1"/>
  <c r="AO35" i="31" s="1"/>
  <c r="W40" i="32"/>
  <c r="AK40" i="31"/>
  <c r="AL40" i="31" s="1"/>
  <c r="AM40" i="31" s="1"/>
  <c r="AN40" i="31" s="1"/>
  <c r="AO40" i="31" s="1"/>
  <c r="W37" i="32"/>
  <c r="AK37" i="31"/>
  <c r="AL37" i="31" s="1"/>
  <c r="AM37" i="31" s="1"/>
  <c r="AN37" i="31" s="1"/>
  <c r="AO37" i="31" s="1"/>
  <c r="W57" i="32"/>
  <c r="AK57" i="31"/>
  <c r="AL57" i="31" s="1"/>
  <c r="AM57" i="31" s="1"/>
  <c r="AN57" i="31" s="1"/>
  <c r="AO57" i="31" s="1"/>
  <c r="W29" i="32"/>
  <c r="AK29" i="31"/>
  <c r="AL29" i="31" s="1"/>
  <c r="AM29" i="31" s="1"/>
  <c r="AN29" i="31" s="1"/>
  <c r="AO29" i="31" s="1"/>
  <c r="W30" i="32"/>
  <c r="AK30" i="31"/>
  <c r="AL30" i="31" s="1"/>
  <c r="AM30" i="31" s="1"/>
  <c r="AN30" i="31" s="1"/>
  <c r="AO30" i="31" s="1"/>
  <c r="W18" i="32"/>
  <c r="AK18" i="31"/>
  <c r="AM18" i="31" s="1"/>
  <c r="AN18" i="31" s="1"/>
  <c r="AO18" i="31" s="1"/>
  <c r="W55" i="32"/>
  <c r="AK55" i="31"/>
  <c r="AL55" i="31" s="1"/>
  <c r="AM55" i="31" s="1"/>
  <c r="AN55" i="31" s="1"/>
  <c r="AO55" i="31" s="1"/>
  <c r="W24" i="32"/>
  <c r="AK24" i="31"/>
  <c r="AL24" i="31" s="1"/>
  <c r="AM24" i="31" s="1"/>
  <c r="AN24" i="31" s="1"/>
  <c r="AO24" i="31" s="1"/>
  <c r="W8" i="32"/>
  <c r="AK8" i="31"/>
  <c r="AL8" i="31" s="1"/>
  <c r="AM8" i="31" s="1"/>
  <c r="AN8" i="31" s="1"/>
  <c r="AO8" i="31" s="1"/>
  <c r="W26" i="32"/>
  <c r="AK26" i="31"/>
  <c r="AL26" i="31" s="1"/>
  <c r="AM26" i="31" s="1"/>
  <c r="AN26" i="31" s="1"/>
  <c r="AO26" i="31" s="1"/>
  <c r="W31" i="32"/>
  <c r="AK31" i="31"/>
  <c r="AL31" i="31" s="1"/>
  <c r="AM31" i="31" s="1"/>
  <c r="AN31" i="31" s="1"/>
  <c r="AO31" i="31" s="1"/>
  <c r="W56" i="32"/>
  <c r="AK56" i="31"/>
  <c r="AL56" i="31" s="1"/>
  <c r="AM56" i="31" s="1"/>
  <c r="AN56" i="31" s="1"/>
  <c r="AO56" i="31" s="1"/>
  <c r="AI63" i="31"/>
  <c r="AJ63" i="31" s="1"/>
  <c r="W11" i="32"/>
  <c r="AK11" i="31"/>
  <c r="AL11" i="31" s="1"/>
  <c r="W23" i="32"/>
  <c r="AK23" i="31"/>
  <c r="AL23" i="31" s="1"/>
  <c r="AM23" i="31" s="1"/>
  <c r="AN23" i="31" s="1"/>
  <c r="AO23" i="31" s="1"/>
  <c r="W45" i="32"/>
  <c r="AK45" i="31"/>
  <c r="AL45" i="31" s="1"/>
  <c r="AM45" i="31" s="1"/>
  <c r="AN45" i="31" s="1"/>
  <c r="AO45" i="31" s="1"/>
  <c r="W38" i="32"/>
  <c r="AK38" i="31"/>
  <c r="AL38" i="31" s="1"/>
  <c r="AM38" i="31" s="1"/>
  <c r="AN38" i="31" s="1"/>
  <c r="AO38" i="31" s="1"/>
  <c r="W47" i="32"/>
  <c r="AK47" i="31"/>
  <c r="AL47" i="31" s="1"/>
  <c r="AM47" i="31" s="1"/>
  <c r="AN47" i="31" s="1"/>
  <c r="AO47" i="31" s="1"/>
  <c r="W39" i="32"/>
  <c r="AK39" i="31"/>
  <c r="AL39" i="31" s="1"/>
  <c r="AM39" i="31" s="1"/>
  <c r="AN39" i="31" s="1"/>
  <c r="AO39" i="31" s="1"/>
  <c r="AI62" i="31"/>
  <c r="AJ62" i="31" s="1"/>
  <c r="W49" i="32"/>
  <c r="AK49" i="31"/>
  <c r="AL49" i="31" s="1"/>
  <c r="AM49" i="31" s="1"/>
  <c r="AN49" i="31" s="1"/>
  <c r="AO49" i="31" s="1"/>
  <c r="W19" i="32"/>
  <c r="AK19" i="31"/>
  <c r="AL19" i="31" s="1"/>
  <c r="AM19" i="31" s="1"/>
  <c r="AN19" i="31" s="1"/>
  <c r="AO19" i="31" s="1"/>
  <c r="W36" i="32"/>
  <c r="AK36" i="31"/>
  <c r="AL36" i="31" s="1"/>
  <c r="AM36" i="31" s="1"/>
  <c r="AN36" i="31" s="1"/>
  <c r="AO36" i="31" s="1"/>
  <c r="W41" i="32"/>
  <c r="AK41" i="31"/>
  <c r="AL41" i="31" s="1"/>
  <c r="AM41" i="31" s="1"/>
  <c r="AN41" i="31" s="1"/>
  <c r="AO41" i="31" s="1"/>
  <c r="W32" i="32"/>
  <c r="AK32" i="31"/>
  <c r="AL32" i="31" s="1"/>
  <c r="AM32" i="31" s="1"/>
  <c r="AN32" i="31" s="1"/>
  <c r="AO32" i="31" s="1"/>
  <c r="W50" i="32"/>
  <c r="AK50" i="31"/>
  <c r="AL50" i="31" s="1"/>
  <c r="AM50" i="31" s="1"/>
  <c r="AN50" i="31" s="1"/>
  <c r="AO50" i="31" s="1"/>
  <c r="W17" i="32"/>
  <c r="AK17" i="31"/>
  <c r="AL17" i="31" s="1"/>
  <c r="AM17" i="31" s="1"/>
  <c r="AN17" i="31" s="1"/>
  <c r="AO17" i="31" s="1"/>
  <c r="W42" i="32"/>
  <c r="AK42" i="31"/>
  <c r="AL42" i="31" s="1"/>
  <c r="AM42" i="31" s="1"/>
  <c r="AN42" i="31" s="1"/>
  <c r="AO42" i="31" s="1"/>
  <c r="W44" i="32"/>
  <c r="AK44" i="31"/>
  <c r="AL44" i="31" s="1"/>
  <c r="AM44" i="31" s="1"/>
  <c r="AN44" i="31" s="1"/>
  <c r="AO44" i="31" s="1"/>
  <c r="W58" i="32"/>
  <c r="AK58" i="31"/>
  <c r="AL58" i="31" s="1"/>
  <c r="AM58" i="31" s="1"/>
  <c r="AN58" i="31" s="1"/>
  <c r="AO58" i="31" s="1"/>
  <c r="W54" i="32"/>
  <c r="AK54" i="31"/>
  <c r="AL54" i="31" s="1"/>
  <c r="AM54" i="31" s="1"/>
  <c r="AN54" i="31" s="1"/>
  <c r="AO54" i="31" s="1"/>
  <c r="W27" i="32"/>
  <c r="AK27" i="31"/>
  <c r="AL27" i="31" s="1"/>
  <c r="AM27" i="31" s="1"/>
  <c r="AN27" i="31" s="1"/>
  <c r="AO27" i="31" s="1"/>
  <c r="W28" i="32"/>
  <c r="AK28" i="31"/>
  <c r="AL28" i="31" s="1"/>
  <c r="AM28" i="31" s="1"/>
  <c r="AN28" i="31" s="1"/>
  <c r="AO28" i="31" s="1"/>
  <c r="W25" i="32"/>
  <c r="AK25" i="31"/>
  <c r="AL25" i="31" s="1"/>
  <c r="AM25" i="31" s="1"/>
  <c r="AN25" i="31" s="1"/>
  <c r="AO25" i="31" s="1"/>
  <c r="W16" i="32"/>
  <c r="AK16" i="31"/>
  <c r="AL16" i="31" s="1"/>
  <c r="AM16" i="31" s="1"/>
  <c r="AN16" i="31" s="1"/>
  <c r="AO16" i="31" s="1"/>
  <c r="W46" i="32"/>
  <c r="AK46" i="31"/>
  <c r="AL46" i="31" s="1"/>
  <c r="AM46" i="31" s="1"/>
  <c r="AN46" i="31" s="1"/>
  <c r="AO46" i="31" s="1"/>
  <c r="W34" i="32"/>
  <c r="AK34" i="31"/>
  <c r="AL34" i="31" s="1"/>
  <c r="AM34" i="31" s="1"/>
  <c r="AN34" i="31" s="1"/>
  <c r="AO34" i="31" s="1"/>
  <c r="W48" i="32"/>
  <c r="AK48" i="31"/>
  <c r="AL48" i="31" s="1"/>
  <c r="AM48" i="31" s="1"/>
  <c r="AN48" i="31" s="1"/>
  <c r="AO48" i="31" s="1"/>
  <c r="AI60" i="31"/>
  <c r="AJ60" i="31" s="1"/>
  <c r="W61" i="32"/>
  <c r="W13" i="32"/>
  <c r="AK13" i="31"/>
  <c r="W14" i="32"/>
  <c r="AC14" i="32" s="1"/>
  <c r="AD14" i="32" s="1"/>
  <c r="AE14" i="32" s="1"/>
  <c r="AF14" i="32" s="1"/>
  <c r="AH64" i="31"/>
  <c r="AI64" i="31" s="1"/>
  <c r="AE144" i="31"/>
  <c r="V144" i="32" s="1"/>
  <c r="AE177" i="31"/>
  <c r="V177" i="32" s="1"/>
  <c r="AH59" i="31"/>
  <c r="AC71" i="31"/>
  <c r="AC72" i="31" s="1"/>
  <c r="AF137" i="31"/>
  <c r="AE140" i="31"/>
  <c r="AG4" i="31"/>
  <c r="AF140" i="31"/>
  <c r="Z145" i="31"/>
  <c r="U145" i="32" s="1"/>
  <c r="AD65" i="31"/>
  <c r="AE65" i="31" s="1"/>
  <c r="AF9" i="31"/>
  <c r="AG9" i="31" s="1"/>
  <c r="AH9" i="31" s="1"/>
  <c r="AI9" i="31" s="1"/>
  <c r="AJ9" i="31" s="1"/>
  <c r="W9" i="32" s="1"/>
  <c r="AC9" i="32" s="1"/>
  <c r="AD9" i="32" s="1"/>
  <c r="AE9" i="32" s="1"/>
  <c r="AF9" i="32" s="1"/>
  <c r="V9" i="32"/>
  <c r="R72" i="31"/>
  <c r="AE71" i="31"/>
  <c r="Z167" i="31"/>
  <c r="U167" i="32" s="1"/>
  <c r="AA72" i="31"/>
  <c r="U185" i="31"/>
  <c r="T185" i="32" s="1"/>
  <c r="AB72" i="31"/>
  <c r="Z181" i="31"/>
  <c r="U181" i="32" s="1"/>
  <c r="U177" i="31"/>
  <c r="T177" i="32" s="1"/>
  <c r="Z199" i="31"/>
  <c r="U199" i="32" s="1"/>
  <c r="Z152" i="31"/>
  <c r="U152" i="32" s="1"/>
  <c r="Z171" i="31"/>
  <c r="U171" i="32" s="1"/>
  <c r="U150" i="31"/>
  <c r="T150" i="32" s="1"/>
  <c r="U171" i="31"/>
  <c r="T171" i="32" s="1"/>
  <c r="Z165" i="31"/>
  <c r="U165" i="32" s="1"/>
  <c r="U167" i="31"/>
  <c r="T167" i="32" s="1"/>
  <c r="U165" i="31"/>
  <c r="T165" i="32" s="1"/>
  <c r="U193" i="31"/>
  <c r="T193" i="32" s="1"/>
  <c r="U162" i="31"/>
  <c r="T162" i="32" s="1"/>
  <c r="U174" i="31"/>
  <c r="T174" i="32" s="1"/>
  <c r="U199" i="31"/>
  <c r="T199" i="32" s="1"/>
  <c r="U178" i="31"/>
  <c r="T178" i="32" s="1"/>
  <c r="Z179" i="31"/>
  <c r="U179" i="32" s="1"/>
  <c r="U181" i="31"/>
  <c r="T181" i="32" s="1"/>
  <c r="U191" i="31"/>
  <c r="T191" i="32" s="1"/>
  <c r="U159" i="31"/>
  <c r="T159" i="32" s="1"/>
  <c r="Z173" i="31"/>
  <c r="U173" i="32" s="1"/>
  <c r="Q115" i="31"/>
  <c r="Q180" i="31" s="1"/>
  <c r="R180" i="31"/>
  <c r="Q99" i="31"/>
  <c r="Q164" i="31" s="1"/>
  <c r="R164" i="31"/>
  <c r="AE128" i="31"/>
  <c r="AD193" i="31"/>
  <c r="AE193" i="31" s="1"/>
  <c r="V193" i="32" s="1"/>
  <c r="AD114" i="31"/>
  <c r="AD123" i="31"/>
  <c r="AD107" i="31"/>
  <c r="Q111" i="31"/>
  <c r="Q176" i="31" s="1"/>
  <c r="R176" i="31"/>
  <c r="AD117" i="31"/>
  <c r="AE132" i="31"/>
  <c r="AD197" i="31"/>
  <c r="AE197" i="31" s="1"/>
  <c r="V197" i="32" s="1"/>
  <c r="Q90" i="31"/>
  <c r="Q155" i="31" s="1"/>
  <c r="R155" i="31"/>
  <c r="V115" i="31"/>
  <c r="V180" i="31" s="1"/>
  <c r="W180" i="31"/>
  <c r="V123" i="31"/>
  <c r="V188" i="31" s="1"/>
  <c r="W188" i="31"/>
  <c r="AD126" i="31"/>
  <c r="AG6" i="31"/>
  <c r="AD83" i="31"/>
  <c r="U183" i="31"/>
  <c r="T183" i="32" s="1"/>
  <c r="Q96" i="31"/>
  <c r="Q161" i="31" s="1"/>
  <c r="R161" i="31"/>
  <c r="V112" i="31"/>
  <c r="V177" i="31" s="1"/>
  <c r="W177" i="31"/>
  <c r="Q130" i="31"/>
  <c r="Q195" i="31" s="1"/>
  <c r="R195" i="31"/>
  <c r="AD134" i="31"/>
  <c r="U145" i="31"/>
  <c r="T145" i="32" s="1"/>
  <c r="AD89" i="31"/>
  <c r="Q104" i="31"/>
  <c r="Q169" i="31" s="1"/>
  <c r="R169" i="31"/>
  <c r="W70" i="31"/>
  <c r="W72" i="31" s="1"/>
  <c r="U187" i="31"/>
  <c r="T187" i="32" s="1"/>
  <c r="R166" i="31"/>
  <c r="Q101" i="31"/>
  <c r="Q166" i="31" s="1"/>
  <c r="U163" i="31"/>
  <c r="T163" i="32" s="1"/>
  <c r="U152" i="31"/>
  <c r="T152" i="32" s="1"/>
  <c r="AE109" i="31"/>
  <c r="AD174" i="31"/>
  <c r="AE174" i="31" s="1"/>
  <c r="V174" i="32" s="1"/>
  <c r="AD86" i="31"/>
  <c r="V133" i="31"/>
  <c r="V198" i="31" s="1"/>
  <c r="W198" i="31"/>
  <c r="Q107" i="31"/>
  <c r="Q172" i="31" s="1"/>
  <c r="R172" i="31"/>
  <c r="V101" i="31"/>
  <c r="V166" i="31" s="1"/>
  <c r="W166" i="31"/>
  <c r="AD129" i="31"/>
  <c r="V120" i="31"/>
  <c r="V185" i="31" s="1"/>
  <c r="W185" i="31"/>
  <c r="Z189" i="31"/>
  <c r="U189" i="32" s="1"/>
  <c r="Q129" i="31"/>
  <c r="Q194" i="31" s="1"/>
  <c r="R194" i="31"/>
  <c r="AD104" i="31"/>
  <c r="R182" i="31"/>
  <c r="Q117" i="31"/>
  <c r="Q182" i="31" s="1"/>
  <c r="V127" i="31"/>
  <c r="V192" i="31" s="1"/>
  <c r="W192" i="31"/>
  <c r="V118" i="31"/>
  <c r="V183" i="31" s="1"/>
  <c r="W183" i="31"/>
  <c r="AE90" i="31"/>
  <c r="AD155" i="31"/>
  <c r="AE155" i="31" s="1"/>
  <c r="V155" i="32" s="1"/>
  <c r="Q119" i="31"/>
  <c r="Q184" i="31" s="1"/>
  <c r="R184" i="31"/>
  <c r="AD95" i="31"/>
  <c r="V103" i="31"/>
  <c r="V168" i="31" s="1"/>
  <c r="W168" i="31"/>
  <c r="AD113" i="31"/>
  <c r="Q133" i="31"/>
  <c r="Q198" i="31" s="1"/>
  <c r="R198" i="31"/>
  <c r="W172" i="31"/>
  <c r="V107" i="31"/>
  <c r="V172" i="31" s="1"/>
  <c r="AD119" i="31"/>
  <c r="AD127" i="31"/>
  <c r="AE80" i="31"/>
  <c r="AD145" i="31"/>
  <c r="AE145" i="31" s="1"/>
  <c r="V145" i="32" s="1"/>
  <c r="AF79" i="31"/>
  <c r="V79" i="32"/>
  <c r="AD88" i="31"/>
  <c r="V95" i="31"/>
  <c r="V160" i="31" s="1"/>
  <c r="W160" i="31"/>
  <c r="Q127" i="31"/>
  <c r="Q192" i="31" s="1"/>
  <c r="R192" i="31"/>
  <c r="V110" i="31"/>
  <c r="V175" i="31" s="1"/>
  <c r="W175" i="31"/>
  <c r="Z163" i="31"/>
  <c r="U163" i="32" s="1"/>
  <c r="AE97" i="31"/>
  <c r="AD162" i="31"/>
  <c r="AE162" i="31" s="1"/>
  <c r="V162" i="32" s="1"/>
  <c r="Q125" i="31"/>
  <c r="Q190" i="31" s="1"/>
  <c r="R190" i="31"/>
  <c r="V135" i="31"/>
  <c r="V200" i="31" s="1"/>
  <c r="W200" i="31"/>
  <c r="W170" i="31"/>
  <c r="V105" i="31"/>
  <c r="V170" i="31" s="1"/>
  <c r="Z159" i="31"/>
  <c r="U159" i="32" s="1"/>
  <c r="AE101" i="31"/>
  <c r="AD166" i="31"/>
  <c r="AE166" i="31" s="1"/>
  <c r="V166" i="32" s="1"/>
  <c r="AF118" i="31"/>
  <c r="V118" i="32"/>
  <c r="Q79" i="31"/>
  <c r="Q144" i="31" s="1"/>
  <c r="R144" i="31"/>
  <c r="Q88" i="31"/>
  <c r="Q153" i="31" s="1"/>
  <c r="R153" i="31"/>
  <c r="AD116" i="31"/>
  <c r="AD121" i="31"/>
  <c r="AD125" i="31"/>
  <c r="S70" i="31"/>
  <c r="S72" i="31" s="1"/>
  <c r="Q84" i="31"/>
  <c r="Q149" i="31" s="1"/>
  <c r="R149" i="31"/>
  <c r="V109" i="31"/>
  <c r="V174" i="31" s="1"/>
  <c r="W174" i="31"/>
  <c r="AD115" i="31"/>
  <c r="V128" i="31"/>
  <c r="V193" i="31" s="1"/>
  <c r="W193" i="31"/>
  <c r="Q105" i="31"/>
  <c r="Q170" i="31" s="1"/>
  <c r="R170" i="31"/>
  <c r="U179" i="31"/>
  <c r="T179" i="32" s="1"/>
  <c r="AD98" i="31"/>
  <c r="U189" i="31"/>
  <c r="T189" i="32" s="1"/>
  <c r="Z197" i="31"/>
  <c r="U197" i="32" s="1"/>
  <c r="AD84" i="31"/>
  <c r="AD100" i="31"/>
  <c r="AD111" i="31"/>
  <c r="Q123" i="31"/>
  <c r="Q188" i="31" s="1"/>
  <c r="R188" i="31"/>
  <c r="AF112" i="31"/>
  <c r="V112" i="32"/>
  <c r="V86" i="31"/>
  <c r="V151" i="31" s="1"/>
  <c r="W151" i="31"/>
  <c r="Z154" i="31"/>
  <c r="U154" i="32" s="1"/>
  <c r="V113" i="31"/>
  <c r="V178" i="31" s="1"/>
  <c r="W178" i="31"/>
  <c r="AD77" i="31"/>
  <c r="AD87" i="31"/>
  <c r="AD106" i="31"/>
  <c r="V90" i="31"/>
  <c r="V155" i="31" s="1"/>
  <c r="W155" i="31"/>
  <c r="AE102" i="31"/>
  <c r="AD167" i="31"/>
  <c r="AE167" i="31" s="1"/>
  <c r="V167" i="32" s="1"/>
  <c r="V117" i="31"/>
  <c r="V182" i="31" s="1"/>
  <c r="W182" i="31"/>
  <c r="V121" i="31"/>
  <c r="V186" i="31" s="1"/>
  <c r="W186" i="31"/>
  <c r="V125" i="31"/>
  <c r="V190" i="31" s="1"/>
  <c r="W190" i="31"/>
  <c r="V129" i="31"/>
  <c r="V194" i="31" s="1"/>
  <c r="W194" i="31"/>
  <c r="Q95" i="31"/>
  <c r="Q160" i="31" s="1"/>
  <c r="R160" i="31"/>
  <c r="Q86" i="31"/>
  <c r="Q151" i="31" s="1"/>
  <c r="R151" i="31"/>
  <c r="AD96" i="31"/>
  <c r="V79" i="31"/>
  <c r="V144" i="31" s="1"/>
  <c r="W144" i="31"/>
  <c r="W164" i="31"/>
  <c r="V99" i="31"/>
  <c r="V164" i="31" s="1"/>
  <c r="AD124" i="31"/>
  <c r="X65" i="31"/>
  <c r="X70" i="31" s="1"/>
  <c r="Y140" i="31"/>
  <c r="X140" i="31"/>
  <c r="AD103" i="31"/>
  <c r="V111" i="31"/>
  <c r="V176" i="31" s="1"/>
  <c r="W176" i="31"/>
  <c r="Q135" i="31"/>
  <c r="Q200" i="31" s="1"/>
  <c r="R200" i="31"/>
  <c r="AD94" i="31"/>
  <c r="AD170" i="31"/>
  <c r="AE170" i="31" s="1"/>
  <c r="V170" i="32" s="1"/>
  <c r="AE105" i="31"/>
  <c r="R168" i="31"/>
  <c r="Q103" i="31"/>
  <c r="Q168" i="31" s="1"/>
  <c r="AD131" i="31"/>
  <c r="AD85" i="31"/>
  <c r="V88" i="31"/>
  <c r="V153" i="31" s="1"/>
  <c r="W153" i="31"/>
  <c r="AD122" i="31"/>
  <c r="V97" i="31"/>
  <c r="V162" i="31" s="1"/>
  <c r="W162" i="31"/>
  <c r="AD133" i="31"/>
  <c r="Q131" i="31"/>
  <c r="Q196" i="31" s="1"/>
  <c r="R196" i="31"/>
  <c r="V84" i="31"/>
  <c r="V149" i="31" s="1"/>
  <c r="W149" i="31"/>
  <c r="AE110" i="31"/>
  <c r="AD175" i="31"/>
  <c r="AE175" i="31" s="1"/>
  <c r="V175" i="32" s="1"/>
  <c r="AD99" i="31"/>
  <c r="Q121" i="31"/>
  <c r="Q186" i="31" s="1"/>
  <c r="R186" i="31"/>
  <c r="V108" i="32"/>
  <c r="AF108" i="31"/>
  <c r="AD82" i="31"/>
  <c r="Z187" i="31"/>
  <c r="U187" i="32" s="1"/>
  <c r="Z191" i="31"/>
  <c r="U191" i="32" s="1"/>
  <c r="V131" i="31"/>
  <c r="V196" i="31" s="1"/>
  <c r="W196" i="31"/>
  <c r="U175" i="31"/>
  <c r="T175" i="32" s="1"/>
  <c r="W184" i="31"/>
  <c r="V119" i="31"/>
  <c r="V184" i="31" s="1"/>
  <c r="AD185" i="31" l="1"/>
  <c r="AE185" i="31" s="1"/>
  <c r="V185" i="32" s="1"/>
  <c r="X34" i="32"/>
  <c r="AP34" i="31"/>
  <c r="AQ34" i="31" s="1"/>
  <c r="AR34" i="31" s="1"/>
  <c r="AS34" i="31" s="1"/>
  <c r="AT34" i="31" s="1"/>
  <c r="AU34" i="31" s="1"/>
  <c r="AV34" i="31" s="1"/>
  <c r="AW34" i="31" s="1"/>
  <c r="AX34" i="31" s="1"/>
  <c r="X16" i="32"/>
  <c r="AP16" i="31"/>
  <c r="AQ16" i="31" s="1"/>
  <c r="AR16" i="31" s="1"/>
  <c r="AS16" i="31" s="1"/>
  <c r="AT16" i="31" s="1"/>
  <c r="AU16" i="31" s="1"/>
  <c r="AV16" i="31" s="1"/>
  <c r="AW16" i="31" s="1"/>
  <c r="AX16" i="31" s="1"/>
  <c r="X28" i="32"/>
  <c r="AP28" i="31"/>
  <c r="AQ28" i="31" s="1"/>
  <c r="AR28" i="31" s="1"/>
  <c r="AS28" i="31" s="1"/>
  <c r="AT28" i="31" s="1"/>
  <c r="AU28" i="31" s="1"/>
  <c r="AV28" i="31" s="1"/>
  <c r="AW28" i="31" s="1"/>
  <c r="AX28" i="31" s="1"/>
  <c r="X54" i="32"/>
  <c r="AP54" i="31"/>
  <c r="AQ54" i="31" s="1"/>
  <c r="AR54" i="31" s="1"/>
  <c r="AS54" i="31" s="1"/>
  <c r="AT54" i="31" s="1"/>
  <c r="AU54" i="31" s="1"/>
  <c r="AV54" i="31" s="1"/>
  <c r="AW54" i="31" s="1"/>
  <c r="AX54" i="31" s="1"/>
  <c r="X44" i="32"/>
  <c r="AP44" i="31"/>
  <c r="AQ44" i="31" s="1"/>
  <c r="AR44" i="31" s="1"/>
  <c r="AS44" i="31" s="1"/>
  <c r="AT44" i="31" s="1"/>
  <c r="AU44" i="31" s="1"/>
  <c r="AV44" i="31" s="1"/>
  <c r="AW44" i="31" s="1"/>
  <c r="AX44" i="31" s="1"/>
  <c r="X17" i="32"/>
  <c r="AP17" i="31"/>
  <c r="AQ17" i="31" s="1"/>
  <c r="AR17" i="31" s="1"/>
  <c r="AS17" i="31" s="1"/>
  <c r="AT17" i="31" s="1"/>
  <c r="AU17" i="31" s="1"/>
  <c r="AV17" i="31" s="1"/>
  <c r="AW17" i="31" s="1"/>
  <c r="AX17" i="31" s="1"/>
  <c r="X32" i="32"/>
  <c r="AP32" i="31"/>
  <c r="AQ32" i="31" s="1"/>
  <c r="AR32" i="31" s="1"/>
  <c r="AS32" i="31" s="1"/>
  <c r="AT32" i="31" s="1"/>
  <c r="AU32" i="31" s="1"/>
  <c r="AV32" i="31" s="1"/>
  <c r="AW32" i="31" s="1"/>
  <c r="AX32" i="31" s="1"/>
  <c r="X36" i="32"/>
  <c r="AP36" i="31"/>
  <c r="AQ36" i="31" s="1"/>
  <c r="AR36" i="31" s="1"/>
  <c r="AS36" i="31" s="1"/>
  <c r="AT36" i="31" s="1"/>
  <c r="AU36" i="31" s="1"/>
  <c r="AV36" i="31" s="1"/>
  <c r="AW36" i="31" s="1"/>
  <c r="AX36" i="31" s="1"/>
  <c r="X49" i="32"/>
  <c r="AP49" i="31"/>
  <c r="AQ49" i="31" s="1"/>
  <c r="AR49" i="31" s="1"/>
  <c r="AS49" i="31" s="1"/>
  <c r="AT49" i="31" s="1"/>
  <c r="AU49" i="31" s="1"/>
  <c r="AV49" i="31" s="1"/>
  <c r="AW49" i="31" s="1"/>
  <c r="AX49" i="31" s="1"/>
  <c r="X56" i="32"/>
  <c r="AP56" i="31"/>
  <c r="AQ56" i="31" s="1"/>
  <c r="AR56" i="31" s="1"/>
  <c r="AS56" i="31" s="1"/>
  <c r="AT56" i="31" s="1"/>
  <c r="AU56" i="31" s="1"/>
  <c r="AV56" i="31" s="1"/>
  <c r="AW56" i="31" s="1"/>
  <c r="AX56" i="31" s="1"/>
  <c r="X26" i="32"/>
  <c r="AP26" i="31"/>
  <c r="AQ26" i="31" s="1"/>
  <c r="AR26" i="31" s="1"/>
  <c r="AS26" i="31" s="1"/>
  <c r="AT26" i="31" s="1"/>
  <c r="AU26" i="31" s="1"/>
  <c r="AV26" i="31" s="1"/>
  <c r="AW26" i="31" s="1"/>
  <c r="AX26" i="31" s="1"/>
  <c r="X24" i="32"/>
  <c r="AP24" i="31"/>
  <c r="AQ24" i="31" s="1"/>
  <c r="AR24" i="31" s="1"/>
  <c r="AS24" i="31" s="1"/>
  <c r="AT24" i="31" s="1"/>
  <c r="AU24" i="31" s="1"/>
  <c r="AV24" i="31" s="1"/>
  <c r="AW24" i="31" s="1"/>
  <c r="AX24" i="31" s="1"/>
  <c r="X18" i="32"/>
  <c r="AP18" i="31"/>
  <c r="X29" i="32"/>
  <c r="AP29" i="31"/>
  <c r="AQ29" i="31" s="1"/>
  <c r="AR29" i="31" s="1"/>
  <c r="AS29" i="31" s="1"/>
  <c r="AT29" i="31" s="1"/>
  <c r="AU29" i="31" s="1"/>
  <c r="AV29" i="31" s="1"/>
  <c r="AW29" i="31" s="1"/>
  <c r="AX29" i="31" s="1"/>
  <c r="X37" i="32"/>
  <c r="AP37" i="31"/>
  <c r="AQ37" i="31" s="1"/>
  <c r="AR37" i="31" s="1"/>
  <c r="AS37" i="31" s="1"/>
  <c r="AT37" i="31" s="1"/>
  <c r="AU37" i="31" s="1"/>
  <c r="AV37" i="31" s="1"/>
  <c r="AW37" i="31" s="1"/>
  <c r="AX37" i="31" s="1"/>
  <c r="X35" i="32"/>
  <c r="AP35" i="31"/>
  <c r="AQ35" i="31" s="1"/>
  <c r="AR35" i="31" s="1"/>
  <c r="AS35" i="31" s="1"/>
  <c r="AT35" i="31" s="1"/>
  <c r="AU35" i="31" s="1"/>
  <c r="AV35" i="31" s="1"/>
  <c r="AW35" i="31" s="1"/>
  <c r="AX35" i="31" s="1"/>
  <c r="X15" i="32"/>
  <c r="AP15" i="31"/>
  <c r="AQ15" i="31" s="1"/>
  <c r="AR15" i="31" s="1"/>
  <c r="AS15" i="31" s="1"/>
  <c r="AT15" i="31" s="1"/>
  <c r="AU15" i="31" s="1"/>
  <c r="AV15" i="31" s="1"/>
  <c r="AW15" i="31" s="1"/>
  <c r="AX15" i="31" s="1"/>
  <c r="X51" i="32"/>
  <c r="AP51" i="31"/>
  <c r="AQ51" i="31" s="1"/>
  <c r="AR51" i="31" s="1"/>
  <c r="AS51" i="31" s="1"/>
  <c r="AT51" i="31" s="1"/>
  <c r="AU51" i="31" s="1"/>
  <c r="AV51" i="31" s="1"/>
  <c r="AW51" i="31" s="1"/>
  <c r="AX51" i="31" s="1"/>
  <c r="X33" i="32"/>
  <c r="AP33" i="31"/>
  <c r="AQ33" i="31" s="1"/>
  <c r="AR33" i="31" s="1"/>
  <c r="AS33" i="31" s="1"/>
  <c r="AT33" i="31" s="1"/>
  <c r="AU33" i="31" s="1"/>
  <c r="AV33" i="31" s="1"/>
  <c r="AW33" i="31" s="1"/>
  <c r="AX33" i="31" s="1"/>
  <c r="X47" i="32"/>
  <c r="AP47" i="31"/>
  <c r="AQ47" i="31" s="1"/>
  <c r="AR47" i="31" s="1"/>
  <c r="AS47" i="31" s="1"/>
  <c r="AT47" i="31" s="1"/>
  <c r="AU47" i="31" s="1"/>
  <c r="AV47" i="31" s="1"/>
  <c r="AW47" i="31" s="1"/>
  <c r="AX47" i="31" s="1"/>
  <c r="X45" i="32"/>
  <c r="AP45" i="31"/>
  <c r="AQ45" i="31" s="1"/>
  <c r="AR45" i="31" s="1"/>
  <c r="AS45" i="31" s="1"/>
  <c r="AT45" i="31" s="1"/>
  <c r="AU45" i="31" s="1"/>
  <c r="AV45" i="31" s="1"/>
  <c r="AW45" i="31" s="1"/>
  <c r="AX45" i="31" s="1"/>
  <c r="X48" i="32"/>
  <c r="AP48" i="31"/>
  <c r="AQ48" i="31" s="1"/>
  <c r="AR48" i="31" s="1"/>
  <c r="AS48" i="31" s="1"/>
  <c r="AT48" i="31" s="1"/>
  <c r="AU48" i="31" s="1"/>
  <c r="AV48" i="31" s="1"/>
  <c r="AW48" i="31" s="1"/>
  <c r="AX48" i="31" s="1"/>
  <c r="X46" i="32"/>
  <c r="AP46" i="31"/>
  <c r="AQ46" i="31" s="1"/>
  <c r="AR46" i="31" s="1"/>
  <c r="AS46" i="31" s="1"/>
  <c r="AT46" i="31" s="1"/>
  <c r="AU46" i="31" s="1"/>
  <c r="AV46" i="31" s="1"/>
  <c r="AW46" i="31" s="1"/>
  <c r="AX46" i="31" s="1"/>
  <c r="X25" i="32"/>
  <c r="AP25" i="31"/>
  <c r="AQ25" i="31" s="1"/>
  <c r="AR25" i="31" s="1"/>
  <c r="AS25" i="31" s="1"/>
  <c r="AT25" i="31" s="1"/>
  <c r="AU25" i="31" s="1"/>
  <c r="AV25" i="31" s="1"/>
  <c r="AW25" i="31" s="1"/>
  <c r="X27" i="32"/>
  <c r="AP27" i="31"/>
  <c r="AQ27" i="31" s="1"/>
  <c r="AR27" i="31" s="1"/>
  <c r="AS27" i="31" s="1"/>
  <c r="AT27" i="31" s="1"/>
  <c r="AU27" i="31" s="1"/>
  <c r="AV27" i="31" s="1"/>
  <c r="AW27" i="31" s="1"/>
  <c r="AX27" i="31" s="1"/>
  <c r="X58" i="32"/>
  <c r="AP58" i="31"/>
  <c r="AQ58" i="31" s="1"/>
  <c r="AR58" i="31" s="1"/>
  <c r="AS58" i="31" s="1"/>
  <c r="AT58" i="31" s="1"/>
  <c r="AU58" i="31" s="1"/>
  <c r="AV58" i="31" s="1"/>
  <c r="AW58" i="31" s="1"/>
  <c r="AX58" i="31" s="1"/>
  <c r="X42" i="32"/>
  <c r="AP42" i="31"/>
  <c r="AQ42" i="31" s="1"/>
  <c r="AR42" i="31" s="1"/>
  <c r="AS42" i="31" s="1"/>
  <c r="AT42" i="31" s="1"/>
  <c r="AU42" i="31" s="1"/>
  <c r="AV42" i="31" s="1"/>
  <c r="AW42" i="31" s="1"/>
  <c r="AX42" i="31" s="1"/>
  <c r="X50" i="32"/>
  <c r="AP50" i="31"/>
  <c r="AQ50" i="31" s="1"/>
  <c r="AR50" i="31" s="1"/>
  <c r="AS50" i="31" s="1"/>
  <c r="AT50" i="31" s="1"/>
  <c r="AU50" i="31" s="1"/>
  <c r="AV50" i="31" s="1"/>
  <c r="AW50" i="31" s="1"/>
  <c r="AX50" i="31" s="1"/>
  <c r="X41" i="32"/>
  <c r="AP41" i="31"/>
  <c r="AQ41" i="31" s="1"/>
  <c r="AR41" i="31" s="1"/>
  <c r="AS41" i="31" s="1"/>
  <c r="AT41" i="31" s="1"/>
  <c r="AU41" i="31" s="1"/>
  <c r="AV41" i="31" s="1"/>
  <c r="AW41" i="31" s="1"/>
  <c r="AX41" i="31" s="1"/>
  <c r="X19" i="32"/>
  <c r="AP19" i="31"/>
  <c r="AQ19" i="31" s="1"/>
  <c r="AR19" i="31" s="1"/>
  <c r="AS19" i="31" s="1"/>
  <c r="AT19" i="31" s="1"/>
  <c r="AW19" i="31" s="1"/>
  <c r="AX19" i="31" s="1"/>
  <c r="X31" i="32"/>
  <c r="AP31" i="31"/>
  <c r="AQ31" i="31" s="1"/>
  <c r="AR31" i="31" s="1"/>
  <c r="AS31" i="31" s="1"/>
  <c r="AT31" i="31" s="1"/>
  <c r="AU31" i="31" s="1"/>
  <c r="AV31" i="31" s="1"/>
  <c r="AW31" i="31" s="1"/>
  <c r="AX31" i="31" s="1"/>
  <c r="X8" i="32"/>
  <c r="X55" i="32"/>
  <c r="AP55" i="31"/>
  <c r="AQ55" i="31" s="1"/>
  <c r="AR55" i="31" s="1"/>
  <c r="AS55" i="31" s="1"/>
  <c r="AT55" i="31" s="1"/>
  <c r="AU55" i="31" s="1"/>
  <c r="AV55" i="31" s="1"/>
  <c r="AX55" i="31" s="1"/>
  <c r="X30" i="32"/>
  <c r="AP30" i="31"/>
  <c r="AQ30" i="31" s="1"/>
  <c r="AR30" i="31" s="1"/>
  <c r="AS30" i="31" s="1"/>
  <c r="AT30" i="31" s="1"/>
  <c r="AU30" i="31" s="1"/>
  <c r="AV30" i="31" s="1"/>
  <c r="AW30" i="31" s="1"/>
  <c r="AX30" i="31" s="1"/>
  <c r="X57" i="32"/>
  <c r="AP57" i="31"/>
  <c r="AQ57" i="31" s="1"/>
  <c r="AR57" i="31" s="1"/>
  <c r="AS57" i="31" s="1"/>
  <c r="AT57" i="31" s="1"/>
  <c r="AU57" i="31" s="1"/>
  <c r="AV57" i="31" s="1"/>
  <c r="AW57" i="31" s="1"/>
  <c r="AX57" i="31" s="1"/>
  <c r="X40" i="32"/>
  <c r="AP40" i="31"/>
  <c r="AQ40" i="31" s="1"/>
  <c r="AR40" i="31" s="1"/>
  <c r="AS40" i="31" s="1"/>
  <c r="AT40" i="31" s="1"/>
  <c r="AU40" i="31" s="1"/>
  <c r="AV40" i="31" s="1"/>
  <c r="AW40" i="31" s="1"/>
  <c r="AX40" i="31" s="1"/>
  <c r="X12" i="32"/>
  <c r="AP12" i="31"/>
  <c r="AQ12" i="31" s="1"/>
  <c r="AR12" i="31" s="1"/>
  <c r="AS12" i="31" s="1"/>
  <c r="AT12" i="31" s="1"/>
  <c r="AU12" i="31" s="1"/>
  <c r="AV12" i="31" s="1"/>
  <c r="AW12" i="31" s="1"/>
  <c r="AX12" i="31" s="1"/>
  <c r="X53" i="32"/>
  <c r="AP53" i="31"/>
  <c r="AQ53" i="31" s="1"/>
  <c r="AR53" i="31" s="1"/>
  <c r="AS53" i="31" s="1"/>
  <c r="AT53" i="31" s="1"/>
  <c r="AU53" i="31" s="1"/>
  <c r="AV53" i="31" s="1"/>
  <c r="AW53" i="31" s="1"/>
  <c r="AX53" i="31" s="1"/>
  <c r="X43" i="32"/>
  <c r="AP43" i="31"/>
  <c r="AQ43" i="31" s="1"/>
  <c r="AR43" i="31" s="1"/>
  <c r="AS43" i="31" s="1"/>
  <c r="AT43" i="31" s="1"/>
  <c r="AU43" i="31" s="1"/>
  <c r="AV43" i="31" s="1"/>
  <c r="AW43" i="31" s="1"/>
  <c r="AX43" i="31" s="1"/>
  <c r="X52" i="32"/>
  <c r="AP52" i="31"/>
  <c r="AQ52" i="31" s="1"/>
  <c r="AR52" i="31" s="1"/>
  <c r="AS52" i="31" s="1"/>
  <c r="AT52" i="31" s="1"/>
  <c r="AU52" i="31" s="1"/>
  <c r="AV52" i="31" s="1"/>
  <c r="AW52" i="31" s="1"/>
  <c r="AX52" i="31" s="1"/>
  <c r="X39" i="32"/>
  <c r="AP39" i="31"/>
  <c r="AQ39" i="31" s="1"/>
  <c r="AR39" i="31" s="1"/>
  <c r="AS39" i="31" s="1"/>
  <c r="AT39" i="31" s="1"/>
  <c r="AU39" i="31" s="1"/>
  <c r="AV39" i="31" s="1"/>
  <c r="AW39" i="31" s="1"/>
  <c r="AX39" i="31" s="1"/>
  <c r="X38" i="32"/>
  <c r="AP38" i="31"/>
  <c r="AQ38" i="31" s="1"/>
  <c r="AR38" i="31" s="1"/>
  <c r="AS38" i="31" s="1"/>
  <c r="AT38" i="31" s="1"/>
  <c r="AU38" i="31" s="1"/>
  <c r="AV38" i="31" s="1"/>
  <c r="AW38" i="31" s="1"/>
  <c r="AX38" i="31" s="1"/>
  <c r="X23" i="32"/>
  <c r="AS23" i="31"/>
  <c r="AT23" i="31" s="1"/>
  <c r="AU23" i="31" s="1"/>
  <c r="AV23" i="31" s="1"/>
  <c r="AW23" i="31" s="1"/>
  <c r="AX23" i="31" s="1"/>
  <c r="AK62" i="31"/>
  <c r="AL62" i="31" s="1"/>
  <c r="W62" i="32"/>
  <c r="W63" i="32"/>
  <c r="AK63" i="31"/>
  <c r="AL63" i="31" s="1"/>
  <c r="AC18" i="32"/>
  <c r="AD18" i="32" s="1"/>
  <c r="AE18" i="32" s="1"/>
  <c r="AF18" i="32" s="1"/>
  <c r="AO11" i="31"/>
  <c r="AM11" i="31"/>
  <c r="W60" i="32"/>
  <c r="AK60" i="31"/>
  <c r="AL13" i="31"/>
  <c r="AJ64" i="31"/>
  <c r="AK200" i="31" s="1"/>
  <c r="AO200" i="31" s="1"/>
  <c r="X200" i="32" s="1"/>
  <c r="AG65" i="31"/>
  <c r="AI59" i="31"/>
  <c r="AD71" i="31"/>
  <c r="AD70" i="31"/>
  <c r="AF130" i="31"/>
  <c r="AG137" i="31"/>
  <c r="X71" i="31"/>
  <c r="X72" i="31" s="1"/>
  <c r="AF65" i="31"/>
  <c r="AH4" i="31"/>
  <c r="AG140" i="31"/>
  <c r="AE70" i="31"/>
  <c r="AE72" i="31" s="1"/>
  <c r="V65" i="32"/>
  <c r="Z164" i="31"/>
  <c r="U164" i="32" s="1"/>
  <c r="U192" i="31"/>
  <c r="T192" i="32" s="1"/>
  <c r="Z172" i="31"/>
  <c r="U172" i="32" s="1"/>
  <c r="Z149" i="31"/>
  <c r="U149" i="32" s="1"/>
  <c r="U153" i="31"/>
  <c r="T153" i="32" s="1"/>
  <c r="Z185" i="31"/>
  <c r="U185" i="32" s="1"/>
  <c r="U161" i="31"/>
  <c r="T161" i="32" s="1"/>
  <c r="Z166" i="31"/>
  <c r="U166" i="32" s="1"/>
  <c r="U144" i="31"/>
  <c r="T144" i="32" s="1"/>
  <c r="Z175" i="31"/>
  <c r="U175" i="32" s="1"/>
  <c r="Z184" i="31"/>
  <c r="U184" i="32" s="1"/>
  <c r="Z140" i="31"/>
  <c r="Z183" i="31"/>
  <c r="U183" i="32" s="1"/>
  <c r="Z196" i="31"/>
  <c r="U196" i="32" s="1"/>
  <c r="Z170" i="31"/>
  <c r="U170" i="32" s="1"/>
  <c r="U180" i="31"/>
  <c r="T180" i="32" s="1"/>
  <c r="U186" i="31"/>
  <c r="T186" i="32" s="1"/>
  <c r="U196" i="31"/>
  <c r="T196" i="32" s="1"/>
  <c r="Z162" i="31"/>
  <c r="U162" i="32" s="1"/>
  <c r="U164" i="31"/>
  <c r="T164" i="32" s="1"/>
  <c r="U166" i="31"/>
  <c r="T166" i="32" s="1"/>
  <c r="AE99" i="31"/>
  <c r="AD164" i="31"/>
  <c r="AE164" i="31" s="1"/>
  <c r="V164" i="32" s="1"/>
  <c r="AE85" i="31"/>
  <c r="AD150" i="31"/>
  <c r="AE150" i="31" s="1"/>
  <c r="V150" i="32" s="1"/>
  <c r="AE125" i="31"/>
  <c r="AD190" i="31"/>
  <c r="AE190" i="31" s="1"/>
  <c r="V190" i="32" s="1"/>
  <c r="AE116" i="31"/>
  <c r="AD181" i="31"/>
  <c r="AE181" i="31" s="1"/>
  <c r="V181" i="32" s="1"/>
  <c r="AE126" i="31"/>
  <c r="AD191" i="31"/>
  <c r="AE191" i="31" s="1"/>
  <c r="V191" i="32" s="1"/>
  <c r="Z153" i="31"/>
  <c r="U153" i="32" s="1"/>
  <c r="AE94" i="31"/>
  <c r="AD159" i="31"/>
  <c r="AE159" i="31" s="1"/>
  <c r="V159" i="32" s="1"/>
  <c r="Z176" i="31"/>
  <c r="U176" i="32" s="1"/>
  <c r="AE124" i="31"/>
  <c r="AD189" i="31"/>
  <c r="AE189" i="31" s="1"/>
  <c r="V189" i="32" s="1"/>
  <c r="Z144" i="31"/>
  <c r="U144" i="32" s="1"/>
  <c r="U151" i="31"/>
  <c r="T151" i="32" s="1"/>
  <c r="Z194" i="31"/>
  <c r="U194" i="32" s="1"/>
  <c r="Z186" i="31"/>
  <c r="U186" i="32" s="1"/>
  <c r="AF102" i="31"/>
  <c r="V102" i="32"/>
  <c r="AE106" i="31"/>
  <c r="AD171" i="31"/>
  <c r="AE171" i="31" s="1"/>
  <c r="V171" i="32" s="1"/>
  <c r="AE77" i="31"/>
  <c r="AD142" i="31"/>
  <c r="AG112" i="31"/>
  <c r="AF177" i="31"/>
  <c r="AE84" i="31"/>
  <c r="AD149" i="31"/>
  <c r="AE149" i="31" s="1"/>
  <c r="V149" i="32" s="1"/>
  <c r="U170" i="31"/>
  <c r="T170" i="32" s="1"/>
  <c r="AE115" i="31"/>
  <c r="AD180" i="31"/>
  <c r="AE180" i="31" s="1"/>
  <c r="V180" i="32" s="1"/>
  <c r="U149" i="31"/>
  <c r="T149" i="32" s="1"/>
  <c r="Z200" i="31"/>
  <c r="U200" i="32" s="1"/>
  <c r="AF97" i="31"/>
  <c r="V97" i="32"/>
  <c r="Z160" i="31"/>
  <c r="U160" i="32" s="1"/>
  <c r="AG79" i="31"/>
  <c r="AF144" i="31"/>
  <c r="AE127" i="31"/>
  <c r="AD192" i="31"/>
  <c r="AE192" i="31" s="1"/>
  <c r="V192" i="32" s="1"/>
  <c r="AE113" i="31"/>
  <c r="AD178" i="31"/>
  <c r="AE178" i="31" s="1"/>
  <c r="V178" i="32" s="1"/>
  <c r="AE95" i="31"/>
  <c r="AD160" i="31"/>
  <c r="AE160" i="31" s="1"/>
  <c r="V160" i="32" s="1"/>
  <c r="AF90" i="31"/>
  <c r="V90" i="32"/>
  <c r="U194" i="31"/>
  <c r="T194" i="32" s="1"/>
  <c r="Z198" i="31"/>
  <c r="U198" i="32" s="1"/>
  <c r="AF109" i="31"/>
  <c r="V109" i="32"/>
  <c r="AE134" i="31"/>
  <c r="AD199" i="31"/>
  <c r="AE199" i="31" s="1"/>
  <c r="V199" i="32" s="1"/>
  <c r="Z188" i="31"/>
  <c r="U188" i="32" s="1"/>
  <c r="U155" i="31"/>
  <c r="T155" i="32" s="1"/>
  <c r="U176" i="31"/>
  <c r="T176" i="32" s="1"/>
  <c r="AE123" i="31"/>
  <c r="AD188" i="31"/>
  <c r="AE188" i="31" s="1"/>
  <c r="V188" i="32" s="1"/>
  <c r="V110" i="32"/>
  <c r="AF110" i="31"/>
  <c r="AE89" i="31"/>
  <c r="AD154" i="31"/>
  <c r="AE154" i="31" s="1"/>
  <c r="V154" i="32" s="1"/>
  <c r="AE82" i="31"/>
  <c r="AD147" i="31"/>
  <c r="AE147" i="31" s="1"/>
  <c r="V147" i="32" s="1"/>
  <c r="AE133" i="31"/>
  <c r="AD198" i="31"/>
  <c r="AE198" i="31" s="1"/>
  <c r="V198" i="32" s="1"/>
  <c r="AE122" i="31"/>
  <c r="AD187" i="31"/>
  <c r="AE187" i="31" s="1"/>
  <c r="V187" i="32" s="1"/>
  <c r="AE131" i="31"/>
  <c r="AD196" i="31"/>
  <c r="AE196" i="31" s="1"/>
  <c r="V196" i="32" s="1"/>
  <c r="AF105" i="31"/>
  <c r="V105" i="32"/>
  <c r="AE121" i="31"/>
  <c r="AD186" i="31"/>
  <c r="AE186" i="31" s="1"/>
  <c r="V186" i="32" s="1"/>
  <c r="AG118" i="31"/>
  <c r="AF183" i="31"/>
  <c r="AD184" i="31"/>
  <c r="AE184" i="31" s="1"/>
  <c r="V184" i="32" s="1"/>
  <c r="AE119" i="31"/>
  <c r="Z192" i="31"/>
  <c r="U192" i="32" s="1"/>
  <c r="AE104" i="31"/>
  <c r="AD169" i="31"/>
  <c r="AE169" i="31" s="1"/>
  <c r="V169" i="32" s="1"/>
  <c r="AE129" i="31"/>
  <c r="AD194" i="31"/>
  <c r="AE194" i="31" s="1"/>
  <c r="V194" i="32" s="1"/>
  <c r="U169" i="31"/>
  <c r="T169" i="32" s="1"/>
  <c r="Z177" i="31"/>
  <c r="U177" i="32" s="1"/>
  <c r="AH6" i="31"/>
  <c r="V120" i="32"/>
  <c r="AF120" i="31"/>
  <c r="AE107" i="31"/>
  <c r="AD172" i="31"/>
  <c r="AE172" i="31" s="1"/>
  <c r="V172" i="32" s="1"/>
  <c r="AF128" i="31"/>
  <c r="V128" i="32"/>
  <c r="AD195" i="31"/>
  <c r="AE195" i="31" s="1"/>
  <c r="V195" i="32" s="1"/>
  <c r="AE111" i="31"/>
  <c r="AD176" i="31"/>
  <c r="AE176" i="31" s="1"/>
  <c r="V176" i="32" s="1"/>
  <c r="AF101" i="31"/>
  <c r="V101" i="32"/>
  <c r="AE98" i="31"/>
  <c r="AD163" i="31"/>
  <c r="AE163" i="31" s="1"/>
  <c r="V163" i="32" s="1"/>
  <c r="AG108" i="31"/>
  <c r="AF173" i="31"/>
  <c r="U168" i="31"/>
  <c r="T168" i="32" s="1"/>
  <c r="U200" i="31"/>
  <c r="T200" i="32" s="1"/>
  <c r="AE103" i="31"/>
  <c r="AD168" i="31"/>
  <c r="AE168" i="31" s="1"/>
  <c r="V168" i="32" s="1"/>
  <c r="AE96" i="31"/>
  <c r="AD161" i="31"/>
  <c r="AE161" i="31" s="1"/>
  <c r="V161" i="32" s="1"/>
  <c r="U160" i="31"/>
  <c r="T160" i="32" s="1"/>
  <c r="Z190" i="31"/>
  <c r="U190" i="32" s="1"/>
  <c r="Z182" i="31"/>
  <c r="U182" i="32" s="1"/>
  <c r="Z155" i="31"/>
  <c r="U155" i="32" s="1"/>
  <c r="AE87" i="31"/>
  <c r="AD152" i="31"/>
  <c r="AE152" i="31" s="1"/>
  <c r="V152" i="32" s="1"/>
  <c r="Z178" i="31"/>
  <c r="U178" i="32" s="1"/>
  <c r="Z151" i="31"/>
  <c r="U151" i="32" s="1"/>
  <c r="U188" i="31"/>
  <c r="T188" i="32" s="1"/>
  <c r="AE100" i="31"/>
  <c r="AD165" i="31"/>
  <c r="AE165" i="31" s="1"/>
  <c r="V165" i="32" s="1"/>
  <c r="Z193" i="31"/>
  <c r="U193" i="32" s="1"/>
  <c r="Z174" i="31"/>
  <c r="U174" i="32" s="1"/>
  <c r="U190" i="31"/>
  <c r="T190" i="32" s="1"/>
  <c r="AE88" i="31"/>
  <c r="AD153" i="31"/>
  <c r="AE153" i="31" s="1"/>
  <c r="V153" i="32" s="1"/>
  <c r="AF80" i="31"/>
  <c r="V80" i="32"/>
  <c r="U198" i="31"/>
  <c r="T198" i="32" s="1"/>
  <c r="Z168" i="31"/>
  <c r="U168" i="32" s="1"/>
  <c r="U184" i="31"/>
  <c r="T184" i="32" s="1"/>
  <c r="U182" i="31"/>
  <c r="T182" i="32" s="1"/>
  <c r="U172" i="31"/>
  <c r="T172" i="32" s="1"/>
  <c r="AE86" i="31"/>
  <c r="AD151" i="31"/>
  <c r="AE151" i="31" s="1"/>
  <c r="V151" i="32" s="1"/>
  <c r="U195" i="31"/>
  <c r="T195" i="32" s="1"/>
  <c r="AE83" i="31"/>
  <c r="AD148" i="31"/>
  <c r="AE148" i="31" s="1"/>
  <c r="V148" i="32" s="1"/>
  <c r="Z180" i="31"/>
  <c r="U180" i="32" s="1"/>
  <c r="AF132" i="31"/>
  <c r="V132" i="32"/>
  <c r="AE117" i="31"/>
  <c r="AD182" i="31"/>
  <c r="AE182" i="31" s="1"/>
  <c r="V182" i="32" s="1"/>
  <c r="AE114" i="31"/>
  <c r="AD179" i="31"/>
  <c r="AE179" i="31" s="1"/>
  <c r="V179" i="32" s="1"/>
  <c r="AE66" i="31"/>
  <c r="AE68" i="31" s="1"/>
  <c r="Y19" i="32" l="1"/>
  <c r="Y50" i="32"/>
  <c r="Y58" i="32"/>
  <c r="Y25" i="32"/>
  <c r="Y48" i="32"/>
  <c r="Y47" i="32"/>
  <c r="Y51" i="32"/>
  <c r="Y35" i="32"/>
  <c r="Y29" i="32"/>
  <c r="Y24" i="32"/>
  <c r="Y56" i="32"/>
  <c r="Y36" i="32"/>
  <c r="Y17" i="32"/>
  <c r="Y54" i="32"/>
  <c r="Y16" i="32"/>
  <c r="Y38" i="32"/>
  <c r="Y52" i="32"/>
  <c r="Y53" i="32"/>
  <c r="Y40" i="32"/>
  <c r="Y30" i="32"/>
  <c r="Y31" i="32"/>
  <c r="Y41" i="32"/>
  <c r="Y42" i="32"/>
  <c r="Y27" i="32"/>
  <c r="Y46" i="32"/>
  <c r="Y45" i="32"/>
  <c r="Y33" i="32"/>
  <c r="Y15" i="32"/>
  <c r="Y37" i="32"/>
  <c r="Y26" i="32"/>
  <c r="Y49" i="32"/>
  <c r="Y32" i="32"/>
  <c r="Y44" i="32"/>
  <c r="Y28" i="32"/>
  <c r="Y34" i="32"/>
  <c r="Y23" i="32"/>
  <c r="Y39" i="32"/>
  <c r="Y43" i="32"/>
  <c r="Y12" i="32"/>
  <c r="Y57" i="32"/>
  <c r="Y55" i="32"/>
  <c r="X11" i="32"/>
  <c r="AC11" i="32" s="1"/>
  <c r="AD11" i="32" s="1"/>
  <c r="AE11" i="32" s="1"/>
  <c r="AF11" i="32" s="1"/>
  <c r="AP11" i="31"/>
  <c r="AQ11" i="31" s="1"/>
  <c r="AR11" i="31" s="1"/>
  <c r="AH65" i="31"/>
  <c r="AM63" i="31"/>
  <c r="AM62" i="31"/>
  <c r="AL60" i="31"/>
  <c r="AM13" i="31"/>
  <c r="AG70" i="31"/>
  <c r="AG71" i="31"/>
  <c r="AF70" i="31"/>
  <c r="AF71" i="31"/>
  <c r="W64" i="32"/>
  <c r="AD72" i="31"/>
  <c r="AJ59" i="31"/>
  <c r="AK59" i="31" s="1"/>
  <c r="AL59" i="31" s="1"/>
  <c r="AM59" i="31" s="1"/>
  <c r="AN59" i="31" s="1"/>
  <c r="AO59" i="31" s="1"/>
  <c r="AH137" i="31"/>
  <c r="AG130" i="31"/>
  <c r="AI4" i="31"/>
  <c r="AH140" i="31"/>
  <c r="AE142" i="31"/>
  <c r="V142" i="32" s="1"/>
  <c r="AF86" i="31"/>
  <c r="V86" i="32"/>
  <c r="AF103" i="31"/>
  <c r="V103" i="32"/>
  <c r="AF119" i="31"/>
  <c r="V119" i="32"/>
  <c r="AG105" i="31"/>
  <c r="AF170" i="31"/>
  <c r="V122" i="32"/>
  <c r="AF122" i="31"/>
  <c r="AF134" i="31"/>
  <c r="V134" i="32"/>
  <c r="AF95" i="31"/>
  <c r="V95" i="32"/>
  <c r="AF127" i="31"/>
  <c r="V127" i="32"/>
  <c r="AH112" i="31"/>
  <c r="AG177" i="31"/>
  <c r="V106" i="32"/>
  <c r="AF106" i="31"/>
  <c r="V124" i="32"/>
  <c r="AF124" i="31"/>
  <c r="AF125" i="31"/>
  <c r="V125" i="32"/>
  <c r="AF83" i="31"/>
  <c r="V83" i="32"/>
  <c r="AG101" i="31"/>
  <c r="AF166" i="31"/>
  <c r="AG97" i="31"/>
  <c r="AF162" i="31"/>
  <c r="AF84" i="31"/>
  <c r="V84" i="32"/>
  <c r="AF99" i="31"/>
  <c r="V99" i="32"/>
  <c r="AF117" i="31"/>
  <c r="V117" i="32"/>
  <c r="AG80" i="31"/>
  <c r="AF145" i="31"/>
  <c r="AF87" i="31"/>
  <c r="V87" i="32"/>
  <c r="AH108" i="31"/>
  <c r="AG173" i="31"/>
  <c r="AF129" i="31"/>
  <c r="V129" i="32"/>
  <c r="AH118" i="31"/>
  <c r="AG183" i="31"/>
  <c r="AF82" i="31"/>
  <c r="V82" i="32"/>
  <c r="AF126" i="31"/>
  <c r="V126" i="32"/>
  <c r="V130" i="32"/>
  <c r="AF114" i="31"/>
  <c r="V114" i="32"/>
  <c r="AG132" i="31"/>
  <c r="AF197" i="31"/>
  <c r="AF88" i="31"/>
  <c r="V88" i="32"/>
  <c r="AF96" i="31"/>
  <c r="V96" i="32"/>
  <c r="V98" i="32"/>
  <c r="AF98" i="31"/>
  <c r="AG120" i="31"/>
  <c r="AF185" i="31"/>
  <c r="AI6" i="31"/>
  <c r="AF104" i="31"/>
  <c r="V104" i="32"/>
  <c r="AF121" i="31"/>
  <c r="V121" i="32"/>
  <c r="AF131" i="31"/>
  <c r="V131" i="32"/>
  <c r="AF133" i="31"/>
  <c r="V133" i="32"/>
  <c r="AF89" i="31"/>
  <c r="V89" i="32"/>
  <c r="AF123" i="31"/>
  <c r="V123" i="32"/>
  <c r="AG109" i="31"/>
  <c r="AF174" i="31"/>
  <c r="AG90" i="31"/>
  <c r="AF155" i="31"/>
  <c r="AF113" i="31"/>
  <c r="V113" i="32"/>
  <c r="AH79" i="31"/>
  <c r="AG144" i="31"/>
  <c r="AF115" i="31"/>
  <c r="V115" i="32"/>
  <c r="AF77" i="31"/>
  <c r="V77" i="32"/>
  <c r="AG102" i="31"/>
  <c r="AF167" i="31"/>
  <c r="AF116" i="31"/>
  <c r="V116" i="32"/>
  <c r="AF107" i="31"/>
  <c r="V107" i="32"/>
  <c r="AF100" i="31"/>
  <c r="V100" i="32"/>
  <c r="AF111" i="31"/>
  <c r="V111" i="32"/>
  <c r="AG128" i="31"/>
  <c r="AF193" i="31"/>
  <c r="AG110" i="31"/>
  <c r="AF175" i="31"/>
  <c r="AF94" i="31"/>
  <c r="V94" i="32"/>
  <c r="AF85" i="31"/>
  <c r="V85" i="32"/>
  <c r="AT8" i="31" l="1"/>
  <c r="AU8" i="31" s="1"/>
  <c r="AV8" i="31" s="1"/>
  <c r="AW8" i="31" s="1"/>
  <c r="AX8" i="31" s="1"/>
  <c r="X59" i="32"/>
  <c r="AP59" i="31"/>
  <c r="AQ59" i="31" s="1"/>
  <c r="AR59" i="31" s="1"/>
  <c r="AS59" i="31" s="1"/>
  <c r="AT59" i="31" s="1"/>
  <c r="AU59" i="31" s="1"/>
  <c r="AV59" i="31" s="1"/>
  <c r="AW59" i="31" s="1"/>
  <c r="AX59" i="31" s="1"/>
  <c r="AI65" i="31"/>
  <c r="AN63" i="31"/>
  <c r="AN62" i="31"/>
  <c r="AM60" i="31"/>
  <c r="AN13" i="31"/>
  <c r="AG72" i="31"/>
  <c r="AF72" i="31"/>
  <c r="W59" i="32"/>
  <c r="AI137" i="31"/>
  <c r="AI130" i="31" s="1"/>
  <c r="AH130" i="31"/>
  <c r="AJ4" i="31"/>
  <c r="AK4" i="31" s="1"/>
  <c r="AI140" i="31"/>
  <c r="AJ140" i="31" s="1"/>
  <c r="AH120" i="31"/>
  <c r="AG185" i="31"/>
  <c r="AG96" i="31"/>
  <c r="AF161" i="31"/>
  <c r="AH132" i="31"/>
  <c r="AG197" i="31"/>
  <c r="AF195" i="31"/>
  <c r="AG82" i="31"/>
  <c r="AF147" i="31"/>
  <c r="AG129" i="31"/>
  <c r="AF194" i="31"/>
  <c r="AG87" i="31"/>
  <c r="AF152" i="31"/>
  <c r="AG117" i="31"/>
  <c r="AF182" i="31"/>
  <c r="AG84" i="31"/>
  <c r="AF149" i="31"/>
  <c r="AH101" i="31"/>
  <c r="AG166" i="31"/>
  <c r="AG125" i="31"/>
  <c r="AF190" i="31"/>
  <c r="AG127" i="31"/>
  <c r="AF192" i="31"/>
  <c r="AG134" i="31"/>
  <c r="AF199" i="31"/>
  <c r="AH105" i="31"/>
  <c r="AG170" i="31"/>
  <c r="AG103" i="31"/>
  <c r="AF168" i="31"/>
  <c r="AG115" i="31"/>
  <c r="AF180" i="31"/>
  <c r="AG106" i="31"/>
  <c r="AF171" i="31"/>
  <c r="AG85" i="31"/>
  <c r="AF150" i="31"/>
  <c r="AH128" i="31"/>
  <c r="AG193" i="31"/>
  <c r="AH110" i="31"/>
  <c r="AG175" i="31"/>
  <c r="AG100" i="31"/>
  <c r="AF165" i="31"/>
  <c r="AG116" i="31"/>
  <c r="AF181" i="31"/>
  <c r="AG77" i="31"/>
  <c r="AF142" i="31"/>
  <c r="AI79" i="31"/>
  <c r="AH144" i="31"/>
  <c r="AH90" i="31"/>
  <c r="AG155" i="31"/>
  <c r="AG123" i="31"/>
  <c r="AF188" i="31"/>
  <c r="AG133" i="31"/>
  <c r="AF198" i="31"/>
  <c r="AG121" i="31"/>
  <c r="AF186" i="31"/>
  <c r="AG124" i="31"/>
  <c r="AF189" i="31"/>
  <c r="AG122" i="31"/>
  <c r="AF187" i="31"/>
  <c r="AG107" i="31"/>
  <c r="AF172" i="31"/>
  <c r="AH102" i="31"/>
  <c r="AG167" i="31"/>
  <c r="AG113" i="31"/>
  <c r="AF178" i="31"/>
  <c r="AH109" i="31"/>
  <c r="AG174" i="31"/>
  <c r="AG89" i="31"/>
  <c r="AF154" i="31"/>
  <c r="AG131" i="31"/>
  <c r="AF196" i="31"/>
  <c r="AG104" i="31"/>
  <c r="AF169" i="31"/>
  <c r="AG98" i="31"/>
  <c r="AF163" i="31"/>
  <c r="AG94" i="31"/>
  <c r="AF159" i="31"/>
  <c r="AG111" i="31"/>
  <c r="AF176" i="31"/>
  <c r="AJ6" i="31"/>
  <c r="AK6" i="31" s="1"/>
  <c r="AL6" i="31" s="1"/>
  <c r="AM6" i="31" s="1"/>
  <c r="AN6" i="31" s="1"/>
  <c r="AO6" i="31" s="1"/>
  <c r="AG88" i="31"/>
  <c r="AF153" i="31"/>
  <c r="AG114" i="31"/>
  <c r="AF179" i="31"/>
  <c r="AG126" i="31"/>
  <c r="AF191" i="31"/>
  <c r="AI118" i="31"/>
  <c r="AH183" i="31"/>
  <c r="AI108" i="31"/>
  <c r="AH173" i="31"/>
  <c r="AH80" i="31"/>
  <c r="AG145" i="31"/>
  <c r="AG99" i="31"/>
  <c r="AF164" i="31"/>
  <c r="AH97" i="31"/>
  <c r="AG162" i="31"/>
  <c r="AG83" i="31"/>
  <c r="AF148" i="31"/>
  <c r="AI112" i="31"/>
  <c r="AH177" i="31"/>
  <c r="AG95" i="31"/>
  <c r="AF160" i="31"/>
  <c r="AG119" i="31"/>
  <c r="AF184" i="31"/>
  <c r="AG86" i="31"/>
  <c r="AF151" i="31"/>
  <c r="Y8" i="32" l="1"/>
  <c r="Y59" i="32"/>
  <c r="X6" i="32"/>
  <c r="AP6" i="31"/>
  <c r="AQ6" i="31" s="1"/>
  <c r="AR6" i="31" s="1"/>
  <c r="AS6" i="31" s="1"/>
  <c r="AT6" i="31" s="1"/>
  <c r="AU6" i="31" s="1"/>
  <c r="AV6" i="31" s="1"/>
  <c r="AW6" i="31" s="1"/>
  <c r="AX6" i="31" s="1"/>
  <c r="AK65" i="31"/>
  <c r="AL4" i="31"/>
  <c r="AL65" i="31" s="1"/>
  <c r="AK140" i="31"/>
  <c r="AO63" i="31"/>
  <c r="AO62" i="31"/>
  <c r="AN60" i="31"/>
  <c r="AO61" i="31"/>
  <c r="X61" i="32" s="1"/>
  <c r="AC61" i="32" s="1"/>
  <c r="AD61" i="32" s="1"/>
  <c r="AE61" i="32" s="1"/>
  <c r="AF61" i="32" s="1"/>
  <c r="AO13" i="31"/>
  <c r="AH71" i="31"/>
  <c r="AH70" i="31"/>
  <c r="AJ71" i="31"/>
  <c r="AJ137" i="31"/>
  <c r="AK137" i="31" s="1"/>
  <c r="AJ112" i="31"/>
  <c r="AI177" i="31"/>
  <c r="AJ177" i="31" s="1"/>
  <c r="W177" i="32" s="1"/>
  <c r="AI80" i="31"/>
  <c r="AH145" i="31"/>
  <c r="AH114" i="31"/>
  <c r="AG179" i="31"/>
  <c r="AH106" i="31"/>
  <c r="AG171" i="31"/>
  <c r="AH127" i="31"/>
  <c r="AG192" i="31"/>
  <c r="AI101" i="31"/>
  <c r="AH166" i="31"/>
  <c r="AH117" i="31"/>
  <c r="AG182" i="31"/>
  <c r="AH129" i="31"/>
  <c r="AG194" i="31"/>
  <c r="W6" i="32"/>
  <c r="AH111" i="31"/>
  <c r="AG176" i="31"/>
  <c r="AH104" i="31"/>
  <c r="AG169" i="31"/>
  <c r="AH89" i="31"/>
  <c r="AG154" i="31"/>
  <c r="AH113" i="31"/>
  <c r="AG178" i="31"/>
  <c r="AH107" i="31"/>
  <c r="AG172" i="31"/>
  <c r="AH133" i="31"/>
  <c r="AG198" i="31"/>
  <c r="AI90" i="31"/>
  <c r="AH155" i="31"/>
  <c r="AH77" i="31"/>
  <c r="AG142" i="31"/>
  <c r="AH100" i="31"/>
  <c r="AG165" i="31"/>
  <c r="AH85" i="31"/>
  <c r="AG150" i="31"/>
  <c r="AH119" i="31"/>
  <c r="AG184" i="31"/>
  <c r="AI97" i="31"/>
  <c r="AH162" i="31"/>
  <c r="AJ118" i="31"/>
  <c r="AI183" i="31"/>
  <c r="AJ183" i="31" s="1"/>
  <c r="W183" i="32" s="1"/>
  <c r="AI105" i="31"/>
  <c r="AH170" i="31"/>
  <c r="AG195" i="31"/>
  <c r="AH95" i="31"/>
  <c r="AG160" i="31"/>
  <c r="AH88" i="31"/>
  <c r="AG153" i="31"/>
  <c r="AH98" i="31"/>
  <c r="AG163" i="31"/>
  <c r="AH124" i="31"/>
  <c r="AG189" i="31"/>
  <c r="AI128" i="31"/>
  <c r="AH193" i="31"/>
  <c r="AH103" i="31"/>
  <c r="AG168" i="31"/>
  <c r="AH134" i="31"/>
  <c r="AG199" i="31"/>
  <c r="AH125" i="31"/>
  <c r="AG190" i="31"/>
  <c r="AH84" i="31"/>
  <c r="AG149" i="31"/>
  <c r="AH87" i="31"/>
  <c r="AG152" i="31"/>
  <c r="AH82" i="31"/>
  <c r="AG147" i="31"/>
  <c r="AI132" i="31"/>
  <c r="AH197" i="31"/>
  <c r="AI120" i="31"/>
  <c r="AH185" i="31"/>
  <c r="AH122" i="31"/>
  <c r="AG187" i="31"/>
  <c r="AH115" i="31"/>
  <c r="AG180" i="31"/>
  <c r="AH96" i="31"/>
  <c r="AG161" i="31"/>
  <c r="AH86" i="31"/>
  <c r="AG151" i="31"/>
  <c r="AH83" i="31"/>
  <c r="AG148" i="31"/>
  <c r="AH99" i="31"/>
  <c r="AG164" i="31"/>
  <c r="AJ108" i="31"/>
  <c r="AI173" i="31"/>
  <c r="AJ173" i="31" s="1"/>
  <c r="W173" i="32" s="1"/>
  <c r="AH126" i="31"/>
  <c r="AG191" i="31"/>
  <c r="AH94" i="31"/>
  <c r="AG159" i="31"/>
  <c r="AH131" i="31"/>
  <c r="AG196" i="31"/>
  <c r="AI109" i="31"/>
  <c r="AH174" i="31"/>
  <c r="AI102" i="31"/>
  <c r="AH167" i="31"/>
  <c r="AH121" i="31"/>
  <c r="AG186" i="31"/>
  <c r="AH123" i="31"/>
  <c r="AG188" i="31"/>
  <c r="AJ79" i="31"/>
  <c r="AI144" i="31"/>
  <c r="AJ144" i="31" s="1"/>
  <c r="W144" i="32" s="1"/>
  <c r="AH116" i="31"/>
  <c r="AG181" i="31"/>
  <c r="AI110" i="31"/>
  <c r="AH175" i="31"/>
  <c r="Y6" i="32" l="1"/>
  <c r="X62" i="32"/>
  <c r="AP62" i="31"/>
  <c r="AQ62" i="31" s="1"/>
  <c r="AR62" i="31" s="1"/>
  <c r="AS62" i="31" s="1"/>
  <c r="AT62" i="31" s="1"/>
  <c r="AU62" i="31" s="1"/>
  <c r="AV62" i="31" s="1"/>
  <c r="AW62" i="31" s="1"/>
  <c r="AX62" i="31" s="1"/>
  <c r="X13" i="32"/>
  <c r="AP13" i="31"/>
  <c r="AQ13" i="31" s="1"/>
  <c r="AR13" i="31" s="1"/>
  <c r="AS13" i="31" s="1"/>
  <c r="AT13" i="31" s="1"/>
  <c r="AU13" i="31" s="1"/>
  <c r="AV13" i="31" s="1"/>
  <c r="AW13" i="31" s="1"/>
  <c r="AX13" i="31" s="1"/>
  <c r="X63" i="32"/>
  <c r="AP63" i="31"/>
  <c r="AQ63" i="31" s="1"/>
  <c r="AR63" i="31" s="1"/>
  <c r="AS63" i="31" s="1"/>
  <c r="AT63" i="31" s="1"/>
  <c r="AU63" i="31" s="1"/>
  <c r="AV63" i="31" s="1"/>
  <c r="AW63" i="31" s="1"/>
  <c r="AX63" i="31" s="1"/>
  <c r="W112" i="32"/>
  <c r="AK112" i="31"/>
  <c r="AL137" i="31"/>
  <c r="AK130" i="31"/>
  <c r="AK195" i="31" s="1"/>
  <c r="AM4" i="31"/>
  <c r="AM65" i="31" s="1"/>
  <c r="AL140" i="31"/>
  <c r="W79" i="32"/>
  <c r="AK79" i="31"/>
  <c r="W108" i="32"/>
  <c r="AK108" i="31"/>
  <c r="W118" i="32"/>
  <c r="AK118" i="31"/>
  <c r="AO60" i="31"/>
  <c r="AI71" i="31"/>
  <c r="AI70" i="31"/>
  <c r="AH72" i="31"/>
  <c r="AJ65" i="31"/>
  <c r="AJ130" i="31"/>
  <c r="W137" i="32"/>
  <c r="AI86" i="31"/>
  <c r="AH151" i="31"/>
  <c r="AI98" i="31"/>
  <c r="AH163" i="31"/>
  <c r="AJ97" i="31"/>
  <c r="AI162" i="31"/>
  <c r="AJ162" i="31" s="1"/>
  <c r="W162" i="32" s="1"/>
  <c r="AI100" i="31"/>
  <c r="AH165" i="31"/>
  <c r="AJ90" i="31"/>
  <c r="AI155" i="31"/>
  <c r="AJ155" i="31" s="1"/>
  <c r="W155" i="32" s="1"/>
  <c r="AI129" i="31"/>
  <c r="AH194" i="31"/>
  <c r="AJ101" i="31"/>
  <c r="AI166" i="31"/>
  <c r="AJ166" i="31" s="1"/>
  <c r="W166" i="32" s="1"/>
  <c r="AI106" i="31"/>
  <c r="AH171" i="31"/>
  <c r="AI175" i="31"/>
  <c r="AJ175" i="31" s="1"/>
  <c r="W175" i="32" s="1"/>
  <c r="AJ110" i="31"/>
  <c r="AI121" i="31"/>
  <c r="AH186" i="31"/>
  <c r="AJ102" i="31"/>
  <c r="AI167" i="31"/>
  <c r="AJ167" i="31" s="1"/>
  <c r="W167" i="32" s="1"/>
  <c r="AI131" i="31"/>
  <c r="AH196" i="31"/>
  <c r="AJ132" i="31"/>
  <c r="AI197" i="31"/>
  <c r="AJ197" i="31" s="1"/>
  <c r="W197" i="32" s="1"/>
  <c r="AI87" i="31"/>
  <c r="AH152" i="31"/>
  <c r="AI125" i="31"/>
  <c r="AH190" i="31"/>
  <c r="AI103" i="31"/>
  <c r="AH168" i="31"/>
  <c r="AI124" i="31"/>
  <c r="AH189" i="31"/>
  <c r="AI95" i="31"/>
  <c r="AH160" i="31"/>
  <c r="AH195" i="31"/>
  <c r="AI107" i="31"/>
  <c r="AH172" i="31"/>
  <c r="AI89" i="31"/>
  <c r="AH154" i="31"/>
  <c r="AI111" i="31"/>
  <c r="AH176" i="31"/>
  <c r="AI114" i="31"/>
  <c r="AH179" i="31"/>
  <c r="AI99" i="31"/>
  <c r="AH164" i="31"/>
  <c r="AI83" i="31"/>
  <c r="AH148" i="31"/>
  <c r="AI117" i="31"/>
  <c r="AH182" i="31"/>
  <c r="AI127" i="31"/>
  <c r="AH192" i="31"/>
  <c r="AI126" i="31"/>
  <c r="AH191" i="31"/>
  <c r="AI115" i="31"/>
  <c r="AH180" i="31"/>
  <c r="AI96" i="31"/>
  <c r="AH161" i="31"/>
  <c r="AI119" i="31"/>
  <c r="AH184" i="31"/>
  <c r="AI85" i="31"/>
  <c r="AH150" i="31"/>
  <c r="AI77" i="31"/>
  <c r="AH142" i="31"/>
  <c r="AI133" i="31"/>
  <c r="AH198" i="31"/>
  <c r="AI116" i="31"/>
  <c r="AH181" i="31"/>
  <c r="AI123" i="31"/>
  <c r="AH188" i="31"/>
  <c r="AJ109" i="31"/>
  <c r="AI174" i="31"/>
  <c r="AJ174" i="31" s="1"/>
  <c r="W174" i="32" s="1"/>
  <c r="AI94" i="31"/>
  <c r="AH159" i="31"/>
  <c r="AI122" i="31"/>
  <c r="AH187" i="31"/>
  <c r="AJ120" i="31"/>
  <c r="AI185" i="31"/>
  <c r="AJ185" i="31" s="1"/>
  <c r="W185" i="32" s="1"/>
  <c r="AI82" i="31"/>
  <c r="AH147" i="31"/>
  <c r="AI84" i="31"/>
  <c r="AH149" i="31"/>
  <c r="AI134" i="31"/>
  <c r="AH199" i="31"/>
  <c r="AJ128" i="31"/>
  <c r="AI193" i="31"/>
  <c r="AJ193" i="31" s="1"/>
  <c r="W193" i="32" s="1"/>
  <c r="AI88" i="31"/>
  <c r="AH153" i="31"/>
  <c r="AJ105" i="31"/>
  <c r="AI170" i="31"/>
  <c r="AJ170" i="31" s="1"/>
  <c r="W170" i="32" s="1"/>
  <c r="AI113" i="31"/>
  <c r="AH178" i="31"/>
  <c r="AI104" i="31"/>
  <c r="AH169" i="31"/>
  <c r="AJ80" i="31"/>
  <c r="AI145" i="31"/>
  <c r="AJ145" i="31" s="1"/>
  <c r="W145" i="32" s="1"/>
  <c r="AI68" i="31"/>
  <c r="Y13" i="32" l="1"/>
  <c r="AY58" i="31"/>
  <c r="AY34" i="31"/>
  <c r="AY54" i="31"/>
  <c r="AY51" i="31"/>
  <c r="AY47" i="31"/>
  <c r="AY43" i="31"/>
  <c r="AY46" i="31"/>
  <c r="AY29" i="31"/>
  <c r="AY37" i="31"/>
  <c r="AY35" i="31"/>
  <c r="AY32" i="31"/>
  <c r="AY16" i="31"/>
  <c r="AY12" i="31"/>
  <c r="AY26" i="31"/>
  <c r="AY49" i="31"/>
  <c r="AY45" i="31"/>
  <c r="AY30" i="31"/>
  <c r="AY17" i="31"/>
  <c r="AY39" i="31"/>
  <c r="AY36" i="31"/>
  <c r="AY23" i="31"/>
  <c r="Y63" i="32"/>
  <c r="Y62" i="32"/>
  <c r="AY40" i="31"/>
  <c r="AY50" i="31"/>
  <c r="AY28" i="31"/>
  <c r="AY33" i="31"/>
  <c r="AY41" i="31"/>
  <c r="AY38" i="31"/>
  <c r="AY19" i="31"/>
  <c r="AY52" i="31"/>
  <c r="AY55" i="31"/>
  <c r="AY27" i="31"/>
  <c r="AY57" i="31"/>
  <c r="AY42" i="31"/>
  <c r="AY24" i="31"/>
  <c r="AY56" i="31"/>
  <c r="AY53" i="31"/>
  <c r="AY44" i="31"/>
  <c r="AY48" i="31"/>
  <c r="AY31" i="31"/>
  <c r="AY25" i="31"/>
  <c r="AY15" i="31"/>
  <c r="X60" i="32"/>
  <c r="AP60" i="31"/>
  <c r="AQ60" i="31" s="1"/>
  <c r="AR60" i="31" s="1"/>
  <c r="AS60" i="31" s="1"/>
  <c r="AT60" i="31" s="1"/>
  <c r="AU60" i="31" s="1"/>
  <c r="AV60" i="31" s="1"/>
  <c r="AW60" i="31" s="1"/>
  <c r="AX60" i="31" s="1"/>
  <c r="AM140" i="31"/>
  <c r="AN4" i="31"/>
  <c r="AN65" i="31" s="1"/>
  <c r="AO65" i="31" s="1"/>
  <c r="AL130" i="31"/>
  <c r="AL195" i="31" s="1"/>
  <c r="AM137" i="31"/>
  <c r="W80" i="32"/>
  <c r="AK80" i="31"/>
  <c r="W109" i="32"/>
  <c r="AK109" i="31"/>
  <c r="W90" i="32"/>
  <c r="AK90" i="31"/>
  <c r="W97" i="32"/>
  <c r="AK97" i="31"/>
  <c r="AK144" i="31"/>
  <c r="AL79" i="31"/>
  <c r="W101" i="32"/>
  <c r="AK101" i="31"/>
  <c r="AK177" i="31"/>
  <c r="AL112" i="31"/>
  <c r="W105" i="32"/>
  <c r="AK105" i="31"/>
  <c r="W128" i="32"/>
  <c r="AK128" i="31"/>
  <c r="W120" i="32"/>
  <c r="AK120" i="31"/>
  <c r="W132" i="32"/>
  <c r="AK132" i="31"/>
  <c r="W102" i="32"/>
  <c r="AK102" i="31"/>
  <c r="W110" i="32"/>
  <c r="AK110" i="31"/>
  <c r="AL118" i="31"/>
  <c r="AK183" i="31"/>
  <c r="AK173" i="31"/>
  <c r="AL108" i="31"/>
  <c r="AK71" i="31"/>
  <c r="AK70" i="31"/>
  <c r="AK68" i="31"/>
  <c r="AJ66" i="31"/>
  <c r="AJ68" i="31" s="1"/>
  <c r="AJ70" i="31"/>
  <c r="AJ72" i="31" s="1"/>
  <c r="AI72" i="31"/>
  <c r="W65" i="32"/>
  <c r="AJ100" i="31"/>
  <c r="AI165" i="31"/>
  <c r="AJ165" i="31" s="1"/>
  <c r="W165" i="32" s="1"/>
  <c r="AJ98" i="31"/>
  <c r="AI163" i="31"/>
  <c r="AJ163" i="31" s="1"/>
  <c r="W163" i="32" s="1"/>
  <c r="AJ88" i="31"/>
  <c r="AI153" i="31"/>
  <c r="AJ153" i="31" s="1"/>
  <c r="W153" i="32" s="1"/>
  <c r="AJ134" i="31"/>
  <c r="AI199" i="31"/>
  <c r="AJ199" i="31" s="1"/>
  <c r="W199" i="32" s="1"/>
  <c r="AJ82" i="31"/>
  <c r="AI147" i="31"/>
  <c r="AJ147" i="31" s="1"/>
  <c r="W147" i="32" s="1"/>
  <c r="AJ122" i="31"/>
  <c r="AI187" i="31"/>
  <c r="AJ187" i="31" s="1"/>
  <c r="W187" i="32" s="1"/>
  <c r="AJ116" i="31"/>
  <c r="AI181" i="31"/>
  <c r="AJ181" i="31" s="1"/>
  <c r="W181" i="32" s="1"/>
  <c r="AJ77" i="31"/>
  <c r="AI142" i="31"/>
  <c r="AJ142" i="31" s="1"/>
  <c r="W142" i="32" s="1"/>
  <c r="AJ119" i="31"/>
  <c r="AI184" i="31"/>
  <c r="AJ184" i="31" s="1"/>
  <c r="W184" i="32" s="1"/>
  <c r="AJ96" i="31"/>
  <c r="AI161" i="31"/>
  <c r="AJ161" i="31" s="1"/>
  <c r="W161" i="32" s="1"/>
  <c r="AJ117" i="31"/>
  <c r="AI182" i="31"/>
  <c r="AJ182" i="31" s="1"/>
  <c r="W182" i="32" s="1"/>
  <c r="AJ99" i="31"/>
  <c r="AI164" i="31"/>
  <c r="AJ164" i="31" s="1"/>
  <c r="W164" i="32" s="1"/>
  <c r="AJ114" i="31"/>
  <c r="AI179" i="31"/>
  <c r="AJ179" i="31" s="1"/>
  <c r="W179" i="32" s="1"/>
  <c r="AJ89" i="31"/>
  <c r="AI154" i="31"/>
  <c r="AJ154" i="31" s="1"/>
  <c r="W154" i="32" s="1"/>
  <c r="W130" i="32"/>
  <c r="AI195" i="31"/>
  <c r="AJ195" i="31" s="1"/>
  <c r="W195" i="32" s="1"/>
  <c r="AJ124" i="31"/>
  <c r="AI189" i="31"/>
  <c r="AJ189" i="31" s="1"/>
  <c r="W189" i="32" s="1"/>
  <c r="AJ125" i="31"/>
  <c r="AI190" i="31"/>
  <c r="AJ190" i="31" s="1"/>
  <c r="W190" i="32" s="1"/>
  <c r="AJ106" i="31"/>
  <c r="AI171" i="31"/>
  <c r="AJ171" i="31" s="1"/>
  <c r="W171" i="32" s="1"/>
  <c r="AJ129" i="31"/>
  <c r="AI194" i="31"/>
  <c r="AJ194" i="31" s="1"/>
  <c r="W194" i="32" s="1"/>
  <c r="AJ94" i="31"/>
  <c r="AI159" i="31"/>
  <c r="AJ159" i="31" s="1"/>
  <c r="W159" i="32" s="1"/>
  <c r="AJ133" i="31"/>
  <c r="AI198" i="31"/>
  <c r="AJ85" i="31"/>
  <c r="AI150" i="31"/>
  <c r="AJ150" i="31" s="1"/>
  <c r="W150" i="32" s="1"/>
  <c r="AJ113" i="31"/>
  <c r="AI178" i="31"/>
  <c r="AJ178" i="31" s="1"/>
  <c r="W178" i="32" s="1"/>
  <c r="AJ126" i="31"/>
  <c r="AI191" i="31"/>
  <c r="AJ191" i="31" s="1"/>
  <c r="W191" i="32" s="1"/>
  <c r="AJ104" i="31"/>
  <c r="AI169" i="31"/>
  <c r="AJ169" i="31" s="1"/>
  <c r="W169" i="32" s="1"/>
  <c r="AJ115" i="31"/>
  <c r="AI180" i="31"/>
  <c r="AJ180" i="31" s="1"/>
  <c r="W180" i="32" s="1"/>
  <c r="AJ86" i="31"/>
  <c r="AI151" i="31"/>
  <c r="AJ151" i="31" s="1"/>
  <c r="W151" i="32" s="1"/>
  <c r="AJ84" i="31"/>
  <c r="AI149" i="31"/>
  <c r="AJ149" i="31" s="1"/>
  <c r="W149" i="32" s="1"/>
  <c r="AJ123" i="31"/>
  <c r="AI188" i="31"/>
  <c r="AJ188" i="31" s="1"/>
  <c r="W188" i="32" s="1"/>
  <c r="AJ127" i="31"/>
  <c r="AI192" i="31"/>
  <c r="AJ192" i="31" s="1"/>
  <c r="W192" i="32" s="1"/>
  <c r="AJ83" i="31"/>
  <c r="AI148" i="31"/>
  <c r="AJ148" i="31" s="1"/>
  <c r="W148" i="32" s="1"/>
  <c r="AJ111" i="31"/>
  <c r="AI176" i="31"/>
  <c r="AJ176" i="31" s="1"/>
  <c r="W176" i="32" s="1"/>
  <c r="AJ107" i="31"/>
  <c r="AI172" i="31"/>
  <c r="AJ172" i="31" s="1"/>
  <c r="W172" i="32" s="1"/>
  <c r="AJ95" i="31"/>
  <c r="AI160" i="31"/>
  <c r="AJ160" i="31" s="1"/>
  <c r="W160" i="32" s="1"/>
  <c r="AJ103" i="31"/>
  <c r="AI168" i="31"/>
  <c r="AJ168" i="31" s="1"/>
  <c r="W168" i="32" s="1"/>
  <c r="AJ87" i="31"/>
  <c r="AI152" i="31"/>
  <c r="AJ152" i="31" s="1"/>
  <c r="W152" i="32" s="1"/>
  <c r="AJ131" i="31"/>
  <c r="AI196" i="31"/>
  <c r="AJ196" i="31" s="1"/>
  <c r="W196" i="32" s="1"/>
  <c r="AJ121" i="31"/>
  <c r="AI186" i="31"/>
  <c r="AJ186" i="31" s="1"/>
  <c r="W186" i="32" s="1"/>
  <c r="Z15" i="32" l="1"/>
  <c r="AZ15" i="31"/>
  <c r="BA15" i="31" s="1"/>
  <c r="BB15" i="31" s="1"/>
  <c r="BC15" i="31" s="1"/>
  <c r="BD15" i="31" s="1"/>
  <c r="Z44" i="32"/>
  <c r="AZ44" i="31"/>
  <c r="BA44" i="31" s="1"/>
  <c r="BB44" i="31" s="1"/>
  <c r="BC44" i="31" s="1"/>
  <c r="BD44" i="31" s="1"/>
  <c r="Z42" i="32"/>
  <c r="AZ42" i="31"/>
  <c r="BA42" i="31" s="1"/>
  <c r="BB42" i="31" s="1"/>
  <c r="BC42" i="31" s="1"/>
  <c r="BD42" i="31" s="1"/>
  <c r="Z52" i="32"/>
  <c r="AZ52" i="31"/>
  <c r="BA52" i="31" s="1"/>
  <c r="BB52" i="31" s="1"/>
  <c r="BC52" i="31" s="1"/>
  <c r="BD52" i="31" s="1"/>
  <c r="Z33" i="32"/>
  <c r="AZ33" i="31"/>
  <c r="BA33" i="31" s="1"/>
  <c r="BB33" i="31" s="1"/>
  <c r="BC33" i="31" s="1"/>
  <c r="BD33" i="31" s="1"/>
  <c r="Z39" i="32"/>
  <c r="AZ39" i="31"/>
  <c r="BA39" i="31" s="1"/>
  <c r="BB39" i="31" s="1"/>
  <c r="BC39" i="31" s="1"/>
  <c r="BD39" i="31" s="1"/>
  <c r="Z49" i="32"/>
  <c r="AZ49" i="31"/>
  <c r="BA49" i="31" s="1"/>
  <c r="BB49" i="31" s="1"/>
  <c r="BC49" i="31" s="1"/>
  <c r="BD49" i="31" s="1"/>
  <c r="Z32" i="32"/>
  <c r="AZ32" i="31"/>
  <c r="BA32" i="31" s="1"/>
  <c r="BB32" i="31" s="1"/>
  <c r="BC32" i="31" s="1"/>
  <c r="BD32" i="31" s="1"/>
  <c r="Z46" i="32"/>
  <c r="AZ46" i="31"/>
  <c r="BA46" i="31" s="1"/>
  <c r="BB46" i="31" s="1"/>
  <c r="BC46" i="31" s="1"/>
  <c r="BD46" i="31" s="1"/>
  <c r="Z54" i="32"/>
  <c r="AZ54" i="31"/>
  <c r="Z25" i="32"/>
  <c r="AZ25" i="31"/>
  <c r="BA25" i="31" s="1"/>
  <c r="BB25" i="31" s="1"/>
  <c r="BC25" i="31" s="1"/>
  <c r="BD25" i="31" s="1"/>
  <c r="Z53" i="32"/>
  <c r="AZ53" i="31"/>
  <c r="BA53" i="31" s="1"/>
  <c r="BB53" i="31" s="1"/>
  <c r="BC53" i="31" s="1"/>
  <c r="BD53" i="31" s="1"/>
  <c r="Z57" i="32"/>
  <c r="AZ57" i="31"/>
  <c r="BA57" i="31" s="1"/>
  <c r="BB57" i="31" s="1"/>
  <c r="BC57" i="31" s="1"/>
  <c r="BD57" i="31" s="1"/>
  <c r="Z19" i="32"/>
  <c r="AZ19" i="31"/>
  <c r="BA19" i="31" s="1"/>
  <c r="BB19" i="31" s="1"/>
  <c r="BC19" i="31" s="1"/>
  <c r="BD19" i="31" s="1"/>
  <c r="Z28" i="32"/>
  <c r="AZ28" i="31"/>
  <c r="BA28" i="31" s="1"/>
  <c r="BB28" i="31" s="1"/>
  <c r="BC28" i="31" s="1"/>
  <c r="BD28" i="31" s="1"/>
  <c r="Z17" i="32"/>
  <c r="AZ17" i="31"/>
  <c r="BA17" i="31" s="1"/>
  <c r="BB17" i="31" s="1"/>
  <c r="BC17" i="31" s="1"/>
  <c r="BD17" i="31" s="1"/>
  <c r="Z26" i="32"/>
  <c r="AZ26" i="31"/>
  <c r="BA26" i="31" s="1"/>
  <c r="BB26" i="31" s="1"/>
  <c r="BC26" i="31" s="1"/>
  <c r="BD26" i="31" s="1"/>
  <c r="Z35" i="32"/>
  <c r="AZ35" i="31"/>
  <c r="BA35" i="31" s="1"/>
  <c r="BB35" i="31" s="1"/>
  <c r="BC35" i="31" s="1"/>
  <c r="BD35" i="31" s="1"/>
  <c r="Z43" i="32"/>
  <c r="AZ43" i="31"/>
  <c r="BA43" i="31" s="1"/>
  <c r="BB43" i="31" s="1"/>
  <c r="BC43" i="31" s="1"/>
  <c r="BD43" i="31" s="1"/>
  <c r="Z34" i="32"/>
  <c r="AZ34" i="31"/>
  <c r="BA34" i="31" s="1"/>
  <c r="BB34" i="31" s="1"/>
  <c r="BC34" i="31" s="1"/>
  <c r="BD34" i="31" s="1"/>
  <c r="Z31" i="32"/>
  <c r="AZ31" i="31"/>
  <c r="BA31" i="31" s="1"/>
  <c r="BB31" i="31" s="1"/>
  <c r="BC31" i="31" s="1"/>
  <c r="BD31" i="31" s="1"/>
  <c r="Z56" i="32"/>
  <c r="AZ56" i="31"/>
  <c r="BA56" i="31" s="1"/>
  <c r="BB56" i="31" s="1"/>
  <c r="BC56" i="31" s="1"/>
  <c r="BD56" i="31" s="1"/>
  <c r="Z27" i="32"/>
  <c r="AZ27" i="31"/>
  <c r="BA27" i="31" s="1"/>
  <c r="BB27" i="31" s="1"/>
  <c r="BC27" i="31" s="1"/>
  <c r="BD27" i="31" s="1"/>
  <c r="Z38" i="32"/>
  <c r="AZ38" i="31"/>
  <c r="BA38" i="31" s="1"/>
  <c r="BB38" i="31" s="1"/>
  <c r="BC38" i="31" s="1"/>
  <c r="BD38" i="31" s="1"/>
  <c r="Z50" i="32"/>
  <c r="AZ50" i="31"/>
  <c r="BA50" i="31" s="1"/>
  <c r="BB50" i="31" s="1"/>
  <c r="BC50" i="31" s="1"/>
  <c r="BD50" i="31" s="1"/>
  <c r="Z23" i="32"/>
  <c r="AZ23" i="31"/>
  <c r="BA23" i="31" s="1"/>
  <c r="BB23" i="31" s="1"/>
  <c r="BC23" i="31" s="1"/>
  <c r="BD23" i="31" s="1"/>
  <c r="Z30" i="32"/>
  <c r="AZ30" i="31"/>
  <c r="BA30" i="31" s="1"/>
  <c r="BB30" i="31" s="1"/>
  <c r="BC30" i="31" s="1"/>
  <c r="BD30" i="31" s="1"/>
  <c r="Z12" i="32"/>
  <c r="AZ12" i="31"/>
  <c r="BA12" i="31" s="1"/>
  <c r="BB12" i="31" s="1"/>
  <c r="BC12" i="31" s="1"/>
  <c r="BD12" i="31" s="1"/>
  <c r="BE12" i="31" s="1"/>
  <c r="BF12" i="31" s="1"/>
  <c r="Z37" i="32"/>
  <c r="AZ37" i="31"/>
  <c r="BA37" i="31" s="1"/>
  <c r="BB37" i="31" s="1"/>
  <c r="BC37" i="31" s="1"/>
  <c r="BD37" i="31" s="1"/>
  <c r="Z47" i="32"/>
  <c r="AZ47" i="31"/>
  <c r="BA47" i="31" s="1"/>
  <c r="BB47" i="31" s="1"/>
  <c r="BC47" i="31" s="1"/>
  <c r="BD47" i="31" s="1"/>
  <c r="Z58" i="32"/>
  <c r="AZ58" i="31"/>
  <c r="BA58" i="31" s="1"/>
  <c r="BB58" i="31" s="1"/>
  <c r="BC58" i="31" s="1"/>
  <c r="BD58" i="31" s="1"/>
  <c r="Z48" i="32"/>
  <c r="AZ48" i="31"/>
  <c r="BA48" i="31" s="1"/>
  <c r="BB48" i="31" s="1"/>
  <c r="BC48" i="31" s="1"/>
  <c r="BD48" i="31" s="1"/>
  <c r="Z24" i="32"/>
  <c r="AZ24" i="31"/>
  <c r="BA24" i="31" s="1"/>
  <c r="BB24" i="31" s="1"/>
  <c r="BC24" i="31" s="1"/>
  <c r="BD24" i="31" s="1"/>
  <c r="Z55" i="32"/>
  <c r="AZ55" i="31"/>
  <c r="BA55" i="31" s="1"/>
  <c r="BB55" i="31" s="1"/>
  <c r="BC55" i="31" s="1"/>
  <c r="BD55" i="31" s="1"/>
  <c r="Z41" i="32"/>
  <c r="AZ41" i="31"/>
  <c r="BA41" i="31" s="1"/>
  <c r="BB41" i="31" s="1"/>
  <c r="BC41" i="31" s="1"/>
  <c r="BD41" i="31" s="1"/>
  <c r="Z40" i="32"/>
  <c r="AZ40" i="31"/>
  <c r="BA40" i="31" s="1"/>
  <c r="BB40" i="31" s="1"/>
  <c r="BC40" i="31" s="1"/>
  <c r="BD40" i="31" s="1"/>
  <c r="Z36" i="32"/>
  <c r="AZ36" i="31"/>
  <c r="BA36" i="31" s="1"/>
  <c r="BB36" i="31" s="1"/>
  <c r="BC36" i="31" s="1"/>
  <c r="BD36" i="31" s="1"/>
  <c r="Z45" i="32"/>
  <c r="AZ45" i="31"/>
  <c r="BA45" i="31" s="1"/>
  <c r="BB45" i="31" s="1"/>
  <c r="BC45" i="31" s="1"/>
  <c r="BD45" i="31" s="1"/>
  <c r="Z16" i="32"/>
  <c r="AZ16" i="31"/>
  <c r="BA16" i="31" s="1"/>
  <c r="BB16" i="31" s="1"/>
  <c r="BC16" i="31" s="1"/>
  <c r="BD16" i="31" s="1"/>
  <c r="Z29" i="32"/>
  <c r="AZ29" i="31"/>
  <c r="BA29" i="31" s="1"/>
  <c r="BB29" i="31" s="1"/>
  <c r="BC29" i="31" s="1"/>
  <c r="BD29" i="31" s="1"/>
  <c r="Z51" i="32"/>
  <c r="AZ51" i="31"/>
  <c r="BA51" i="31" s="1"/>
  <c r="BB51" i="31" s="1"/>
  <c r="BC51" i="31" s="1"/>
  <c r="BD51" i="31" s="1"/>
  <c r="AC200" i="32"/>
  <c r="AD200" i="32"/>
  <c r="Y60" i="32"/>
  <c r="W134" i="32"/>
  <c r="AK134" i="31"/>
  <c r="AL173" i="31"/>
  <c r="AM108" i="31"/>
  <c r="W85" i="32"/>
  <c r="AK85" i="31"/>
  <c r="W125" i="32"/>
  <c r="AK125" i="31"/>
  <c r="W117" i="32"/>
  <c r="AK117" i="31"/>
  <c r="W116" i="32"/>
  <c r="AK116" i="31"/>
  <c r="W115" i="32"/>
  <c r="AK115" i="31"/>
  <c r="AL132" i="31"/>
  <c r="AK197" i="31"/>
  <c r="AL101" i="31"/>
  <c r="AK166" i="31"/>
  <c r="AN137" i="31"/>
  <c r="AN130" i="31" s="1"/>
  <c r="AN195" i="31" s="1"/>
  <c r="AM130" i="31"/>
  <c r="AM195" i="31" s="1"/>
  <c r="W121" i="32"/>
  <c r="AK121" i="31"/>
  <c r="W83" i="32"/>
  <c r="AK83" i="31"/>
  <c r="W129" i="32"/>
  <c r="AK129" i="31"/>
  <c r="AK167" i="31"/>
  <c r="AL102" i="31"/>
  <c r="AL120" i="31"/>
  <c r="AK185" i="31"/>
  <c r="AL105" i="31"/>
  <c r="AK170" i="31"/>
  <c r="AL144" i="31"/>
  <c r="AM79" i="31"/>
  <c r="AL90" i="31"/>
  <c r="AK155" i="31"/>
  <c r="AL80" i="31"/>
  <c r="AK145" i="31"/>
  <c r="AO4" i="31"/>
  <c r="AP4" i="31" s="1"/>
  <c r="AP65" i="31" s="1"/>
  <c r="AN140" i="31"/>
  <c r="W122" i="32"/>
  <c r="AK122" i="31"/>
  <c r="W98" i="32"/>
  <c r="AK98" i="31"/>
  <c r="AK175" i="31"/>
  <c r="AL110" i="31"/>
  <c r="AL128" i="31"/>
  <c r="AK193" i="31"/>
  <c r="AL177" i="31"/>
  <c r="AM112" i="31"/>
  <c r="AL97" i="31"/>
  <c r="AK162" i="31"/>
  <c r="AL109" i="31"/>
  <c r="AK174" i="31"/>
  <c r="W87" i="32"/>
  <c r="AK87" i="31"/>
  <c r="W95" i="32"/>
  <c r="AK95" i="31"/>
  <c r="W111" i="32"/>
  <c r="AK111" i="31"/>
  <c r="W123" i="32"/>
  <c r="AK123" i="31"/>
  <c r="W126" i="32"/>
  <c r="AK126" i="31"/>
  <c r="W94" i="32"/>
  <c r="AK94" i="31"/>
  <c r="W114" i="32"/>
  <c r="AK114" i="31"/>
  <c r="W119" i="32"/>
  <c r="AK119" i="31"/>
  <c r="W86" i="32"/>
  <c r="AK86" i="31"/>
  <c r="W104" i="32"/>
  <c r="AK104" i="31"/>
  <c r="W82" i="32"/>
  <c r="AK82" i="31"/>
  <c r="W88" i="32"/>
  <c r="AK88" i="31"/>
  <c r="W100" i="32"/>
  <c r="AK100" i="31"/>
  <c r="W131" i="32"/>
  <c r="AK131" i="31"/>
  <c r="W103" i="32"/>
  <c r="AK103" i="31"/>
  <c r="W107" i="32"/>
  <c r="AK107" i="31"/>
  <c r="W127" i="32"/>
  <c r="AK127" i="31"/>
  <c r="W84" i="32"/>
  <c r="AK84" i="31"/>
  <c r="W113" i="32"/>
  <c r="AK113" i="31"/>
  <c r="W133" i="32"/>
  <c r="AK133" i="31"/>
  <c r="W106" i="32"/>
  <c r="AK106" i="31"/>
  <c r="W124" i="32"/>
  <c r="AK124" i="31"/>
  <c r="W89" i="32"/>
  <c r="AK89" i="31"/>
  <c r="W99" i="32"/>
  <c r="AK99" i="31"/>
  <c r="W96" i="32"/>
  <c r="AK96" i="31"/>
  <c r="W77" i="32"/>
  <c r="AK77" i="31"/>
  <c r="AL183" i="31"/>
  <c r="AM118" i="31"/>
  <c r="AJ198" i="31"/>
  <c r="W198" i="32" s="1"/>
  <c r="AK72" i="31"/>
  <c r="AL68" i="31"/>
  <c r="AL70" i="31"/>
  <c r="AL71" i="31"/>
  <c r="AH93" i="13"/>
  <c r="AB93" i="13"/>
  <c r="B93" i="15"/>
  <c r="O92" i="15"/>
  <c r="N92" i="15"/>
  <c r="M92" i="15"/>
  <c r="L92" i="15"/>
  <c r="K92" i="15"/>
  <c r="J92" i="15"/>
  <c r="I92" i="15"/>
  <c r="H92" i="15"/>
  <c r="G92" i="15"/>
  <c r="F92" i="15"/>
  <c r="E92" i="15"/>
  <c r="D92" i="15"/>
  <c r="C92" i="15"/>
  <c r="B92" i="15"/>
  <c r="P92" i="15"/>
  <c r="A93" i="15"/>
  <c r="A92" i="15"/>
  <c r="AA92" i="13"/>
  <c r="Y92" i="13"/>
  <c r="X92" i="13"/>
  <c r="W92" i="13"/>
  <c r="V92" i="13"/>
  <c r="T92" i="13"/>
  <c r="S92" i="13"/>
  <c r="R92" i="13"/>
  <c r="Q92" i="13"/>
  <c r="O92" i="13"/>
  <c r="N92" i="13"/>
  <c r="M92" i="13"/>
  <c r="L92" i="13"/>
  <c r="J92" i="13"/>
  <c r="I92" i="13"/>
  <c r="H92" i="13"/>
  <c r="G92" i="13"/>
  <c r="E92" i="13"/>
  <c r="D92" i="13"/>
  <c r="C92" i="13"/>
  <c r="B92" i="13"/>
  <c r="V89" i="14"/>
  <c r="V88" i="14"/>
  <c r="Q89" i="14"/>
  <c r="Q88" i="14"/>
  <c r="L89" i="14"/>
  <c r="L88" i="14"/>
  <c r="M88" i="14" s="1"/>
  <c r="G89" i="14"/>
  <c r="G88" i="14"/>
  <c r="B89" i="14"/>
  <c r="B88" i="14"/>
  <c r="C88" i="14" s="1"/>
  <c r="D88" i="14" s="1"/>
  <c r="U89" i="16"/>
  <c r="T89" i="16"/>
  <c r="S89" i="16"/>
  <c r="R89" i="16"/>
  <c r="Q89" i="16"/>
  <c r="A89" i="16"/>
  <c r="A88" i="16"/>
  <c r="A87" i="16"/>
  <c r="A85" i="16"/>
  <c r="A84" i="16"/>
  <c r="AO137" i="31" l="1"/>
  <c r="AP137" i="31" s="1"/>
  <c r="AA29" i="32"/>
  <c r="BE29" i="31"/>
  <c r="AA45" i="32"/>
  <c r="BE45" i="31"/>
  <c r="BF45" i="31" s="1"/>
  <c r="BG45" i="31" s="1"/>
  <c r="BH45" i="31" s="1"/>
  <c r="BI45" i="31" s="1"/>
  <c r="AB45" i="32" s="1"/>
  <c r="AA40" i="32"/>
  <c r="BE40" i="31"/>
  <c r="AA55" i="32"/>
  <c r="BE55" i="31"/>
  <c r="BF55" i="31" s="1"/>
  <c r="BG55" i="31" s="1"/>
  <c r="BH55" i="31" s="1"/>
  <c r="BI55" i="31" s="1"/>
  <c r="AB55" i="32" s="1"/>
  <c r="AC55" i="32" s="1"/>
  <c r="AD55" i="32" s="1"/>
  <c r="AE55" i="32" s="1"/>
  <c r="AF55" i="32" s="1"/>
  <c r="AA48" i="32"/>
  <c r="BE48" i="31"/>
  <c r="BF48" i="31" s="1"/>
  <c r="BG48" i="31" s="1"/>
  <c r="BH48" i="31" s="1"/>
  <c r="BI48" i="31" s="1"/>
  <c r="AB48" i="32" s="1"/>
  <c r="AC48" i="32" s="1"/>
  <c r="AA47" i="32"/>
  <c r="BE47" i="31"/>
  <c r="BF47" i="31" s="1"/>
  <c r="BG47" i="31" s="1"/>
  <c r="BH47" i="31" s="1"/>
  <c r="BI47" i="31" s="1"/>
  <c r="AB47" i="32" s="1"/>
  <c r="AA12" i="32"/>
  <c r="BH12" i="31"/>
  <c r="BI12" i="31" s="1"/>
  <c r="AB12" i="32" s="1"/>
  <c r="AA23" i="32"/>
  <c r="BE23" i="31"/>
  <c r="BF23" i="31" s="1"/>
  <c r="BG23" i="31" s="1"/>
  <c r="BH23" i="31" s="1"/>
  <c r="BI23" i="31" s="1"/>
  <c r="AB23" i="32" s="1"/>
  <c r="AA38" i="32"/>
  <c r="BE38" i="31"/>
  <c r="BF38" i="31" s="1"/>
  <c r="AA56" i="32"/>
  <c r="BE56" i="31"/>
  <c r="AA34" i="32"/>
  <c r="BE34" i="31"/>
  <c r="BF34" i="31" s="1"/>
  <c r="AA35" i="32"/>
  <c r="BE35" i="31"/>
  <c r="BF35" i="31" s="1"/>
  <c r="BG35" i="31" s="1"/>
  <c r="BH35" i="31" s="1"/>
  <c r="BI35" i="31" s="1"/>
  <c r="AB35" i="32" s="1"/>
  <c r="AA17" i="32"/>
  <c r="BE17" i="31"/>
  <c r="AA19" i="32"/>
  <c r="BE19" i="31"/>
  <c r="BF19" i="31" s="1"/>
  <c r="BG19" i="31" s="1"/>
  <c r="BH19" i="31" s="1"/>
  <c r="BI19" i="31" s="1"/>
  <c r="AB19" i="32" s="1"/>
  <c r="AC19" i="32" s="1"/>
  <c r="AD19" i="32" s="1"/>
  <c r="AE19" i="32" s="1"/>
  <c r="AF19" i="32" s="1"/>
  <c r="AA53" i="32"/>
  <c r="BE53" i="31"/>
  <c r="AA32" i="32"/>
  <c r="BE32" i="31"/>
  <c r="BF32" i="31" s="1"/>
  <c r="BG32" i="31" s="1"/>
  <c r="BH32" i="31" s="1"/>
  <c r="BI32" i="31" s="1"/>
  <c r="AB32" i="32" s="1"/>
  <c r="AA39" i="32"/>
  <c r="BE39" i="31"/>
  <c r="BF39" i="31" s="1"/>
  <c r="BG39" i="31" s="1"/>
  <c r="BH39" i="31" s="1"/>
  <c r="BI39" i="31" s="1"/>
  <c r="AB39" i="32" s="1"/>
  <c r="AC39" i="32" s="1"/>
  <c r="AD39" i="32" s="1"/>
  <c r="AE39" i="32" s="1"/>
  <c r="AF39" i="32" s="1"/>
  <c r="AA52" i="32"/>
  <c r="BE52" i="31"/>
  <c r="BF52" i="31" s="1"/>
  <c r="BH52" i="31" s="1"/>
  <c r="BI52" i="31" s="1"/>
  <c r="AB52" i="32" s="1"/>
  <c r="AA44" i="32"/>
  <c r="BE44" i="31"/>
  <c r="BF44" i="31" s="1"/>
  <c r="BG44" i="31" s="1"/>
  <c r="BH44" i="31" s="1"/>
  <c r="BI44" i="31" s="1"/>
  <c r="AB44" i="32" s="1"/>
  <c r="AA51" i="32"/>
  <c r="BE51" i="31"/>
  <c r="BF51" i="31" s="1"/>
  <c r="BG51" i="31" s="1"/>
  <c r="BH51" i="31" s="1"/>
  <c r="BI51" i="31" s="1"/>
  <c r="AB51" i="32" s="1"/>
  <c r="AC51" i="32" s="1"/>
  <c r="AD51" i="32" s="1"/>
  <c r="AE51" i="32" s="1"/>
  <c r="AF51" i="32" s="1"/>
  <c r="AA16" i="32"/>
  <c r="BF16" i="31"/>
  <c r="BG16" i="31" s="1"/>
  <c r="BH16" i="31" s="1"/>
  <c r="BI16" i="31" s="1"/>
  <c r="AB16" i="32" s="1"/>
  <c r="AA36" i="32"/>
  <c r="BE36" i="31"/>
  <c r="BF36" i="31" s="1"/>
  <c r="BG36" i="31" s="1"/>
  <c r="BH36" i="31" s="1"/>
  <c r="BI36" i="31" s="1"/>
  <c r="AB36" i="32" s="1"/>
  <c r="AC36" i="32" s="1"/>
  <c r="AD36" i="32" s="1"/>
  <c r="AE36" i="32" s="1"/>
  <c r="AF36" i="32" s="1"/>
  <c r="AA41" i="32"/>
  <c r="BE41" i="31"/>
  <c r="BF41" i="31" s="1"/>
  <c r="BG41" i="31" s="1"/>
  <c r="BH41" i="31" s="1"/>
  <c r="BI41" i="31" s="1"/>
  <c r="AB41" i="32" s="1"/>
  <c r="AC41" i="32" s="1"/>
  <c r="AD41" i="32" s="1"/>
  <c r="AE41" i="32" s="1"/>
  <c r="AF41" i="32" s="1"/>
  <c r="AA24" i="32"/>
  <c r="BE24" i="31"/>
  <c r="AA58" i="32"/>
  <c r="BE58" i="31"/>
  <c r="BF58" i="31" s="1"/>
  <c r="BG58" i="31" s="1"/>
  <c r="BH58" i="31" s="1"/>
  <c r="BI58" i="31" s="1"/>
  <c r="AB58" i="32" s="1"/>
  <c r="AA37" i="32"/>
  <c r="BE37" i="31"/>
  <c r="AA30" i="32"/>
  <c r="BE30" i="31"/>
  <c r="BF30" i="31" s="1"/>
  <c r="BG30" i="31" s="1"/>
  <c r="BH30" i="31" s="1"/>
  <c r="BI30" i="31" s="1"/>
  <c r="AB30" i="32" s="1"/>
  <c r="AA50" i="32"/>
  <c r="BE50" i="31"/>
  <c r="BF50" i="31" s="1"/>
  <c r="BG50" i="31" s="1"/>
  <c r="BH50" i="31" s="1"/>
  <c r="BI50" i="31" s="1"/>
  <c r="AB50" i="32" s="1"/>
  <c r="AC50" i="32" s="1"/>
  <c r="AA27" i="32"/>
  <c r="BE27" i="31"/>
  <c r="BF27" i="31" s="1"/>
  <c r="BH27" i="31" s="1"/>
  <c r="BI27" i="31" s="1"/>
  <c r="AB27" i="32" s="1"/>
  <c r="AA31" i="32"/>
  <c r="BE31" i="31"/>
  <c r="BF31" i="31" s="1"/>
  <c r="BG31" i="31" s="1"/>
  <c r="BH31" i="31" s="1"/>
  <c r="BI31" i="31" s="1"/>
  <c r="AB31" i="32" s="1"/>
  <c r="AA43" i="32"/>
  <c r="BE43" i="31"/>
  <c r="BF43" i="31" s="1"/>
  <c r="BG43" i="31" s="1"/>
  <c r="BH43" i="31" s="1"/>
  <c r="BI43" i="31" s="1"/>
  <c r="AB43" i="32" s="1"/>
  <c r="AA26" i="32"/>
  <c r="BE26" i="31"/>
  <c r="BF26" i="31" s="1"/>
  <c r="BG26" i="31" s="1"/>
  <c r="BH26" i="31" s="1"/>
  <c r="BI26" i="31" s="1"/>
  <c r="AB26" i="32" s="1"/>
  <c r="AA28" i="32"/>
  <c r="BE28" i="31"/>
  <c r="BF28" i="31" s="1"/>
  <c r="BG28" i="31" s="1"/>
  <c r="BH28" i="31" s="1"/>
  <c r="BI28" i="31" s="1"/>
  <c r="AB28" i="32" s="1"/>
  <c r="AC28" i="32" s="1"/>
  <c r="AD28" i="32" s="1"/>
  <c r="AE28" i="32" s="1"/>
  <c r="AF28" i="32" s="1"/>
  <c r="AA57" i="32"/>
  <c r="BE57" i="31"/>
  <c r="AA25" i="32"/>
  <c r="BE25" i="31"/>
  <c r="AA46" i="32"/>
  <c r="BE46" i="31"/>
  <c r="BF46" i="31" s="1"/>
  <c r="BG46" i="31" s="1"/>
  <c r="BH46" i="31" s="1"/>
  <c r="BI46" i="31" s="1"/>
  <c r="AB46" i="32" s="1"/>
  <c r="AA49" i="32"/>
  <c r="BE49" i="31"/>
  <c r="AA33" i="32"/>
  <c r="BE33" i="31"/>
  <c r="AA42" i="32"/>
  <c r="BE42" i="31"/>
  <c r="BF42" i="31" s="1"/>
  <c r="BG42" i="31" s="1"/>
  <c r="BH42" i="31" s="1"/>
  <c r="BI42" i="31" s="1"/>
  <c r="AB42" i="32" s="1"/>
  <c r="AA15" i="32"/>
  <c r="BF15" i="31"/>
  <c r="BG15" i="31" s="1"/>
  <c r="BH15" i="31" s="1"/>
  <c r="BI15" i="31" s="1"/>
  <c r="AB15" i="32" s="1"/>
  <c r="AC44" i="32"/>
  <c r="AD44" i="32" s="1"/>
  <c r="AE44" i="32" s="1"/>
  <c r="AF44" i="32" s="1"/>
  <c r="AC35" i="32"/>
  <c r="AD35" i="32" s="1"/>
  <c r="AE35" i="32" s="1"/>
  <c r="AF35" i="32" s="1"/>
  <c r="AC45" i="32"/>
  <c r="AD45" i="32" s="1"/>
  <c r="AE45" i="32" s="1"/>
  <c r="AF45" i="32" s="1"/>
  <c r="AC47" i="32"/>
  <c r="AD47" i="32" s="1"/>
  <c r="AE47" i="32" s="1"/>
  <c r="AF47" i="32" s="1"/>
  <c r="AC23" i="32"/>
  <c r="AD23" i="32" s="1"/>
  <c r="AE23" i="32" s="1"/>
  <c r="AF23" i="32" s="1"/>
  <c r="AC58" i="32"/>
  <c r="AD58" i="32" s="1"/>
  <c r="AE58" i="32" s="1"/>
  <c r="AF58" i="32" s="1"/>
  <c r="AC30" i="32"/>
  <c r="AD30" i="32" s="1"/>
  <c r="AE30" i="32" s="1"/>
  <c r="AF30" i="32" s="1"/>
  <c r="AC31" i="32"/>
  <c r="AD31" i="32" s="1"/>
  <c r="AE31" i="32" s="1"/>
  <c r="AF31" i="32" s="1"/>
  <c r="AC43" i="32"/>
  <c r="AD43" i="32" s="1"/>
  <c r="AE43" i="32" s="1"/>
  <c r="AF43" i="32" s="1"/>
  <c r="AC26" i="32"/>
  <c r="AD26" i="32" s="1"/>
  <c r="AE26" i="32" s="1"/>
  <c r="AF26" i="32" s="1"/>
  <c r="AC46" i="32"/>
  <c r="AD46" i="32" s="1"/>
  <c r="AE46" i="32" s="1"/>
  <c r="AF46" i="32" s="1"/>
  <c r="AC42" i="32"/>
  <c r="AD42" i="32" s="1"/>
  <c r="AE42" i="32" s="1"/>
  <c r="AF42" i="32" s="1"/>
  <c r="BA54" i="31"/>
  <c r="BB54" i="31" s="1"/>
  <c r="BC54" i="31" s="1"/>
  <c r="BD54" i="31" s="1"/>
  <c r="AY8" i="31"/>
  <c r="AY59" i="31"/>
  <c r="AO140" i="31"/>
  <c r="X140" i="32" s="1"/>
  <c r="AO66" i="31"/>
  <c r="AO68" i="31" s="1"/>
  <c r="AQ4" i="31"/>
  <c r="AQ65" i="31" s="1"/>
  <c r="AP140" i="31"/>
  <c r="AQ137" i="31"/>
  <c r="AP130" i="31"/>
  <c r="AP195" i="31" s="1"/>
  <c r="AO195" i="31"/>
  <c r="X195" i="32" s="1"/>
  <c r="AK164" i="31"/>
  <c r="AL99" i="31"/>
  <c r="AL133" i="31"/>
  <c r="AK198" i="31"/>
  <c r="AL84" i="31"/>
  <c r="AK149" i="31"/>
  <c r="AL88" i="31"/>
  <c r="AK153" i="31"/>
  <c r="AL119" i="31"/>
  <c r="AK184" i="31"/>
  <c r="AK159" i="31"/>
  <c r="AL94" i="31"/>
  <c r="AL95" i="31"/>
  <c r="AK160" i="31"/>
  <c r="AM110" i="31"/>
  <c r="AL175" i="31"/>
  <c r="AK187" i="31"/>
  <c r="AL122" i="31"/>
  <c r="AL134" i="31"/>
  <c r="AK199" i="31"/>
  <c r="AM97" i="31"/>
  <c r="AL162" i="31"/>
  <c r="AM128" i="31"/>
  <c r="AL193" i="31"/>
  <c r="X4" i="32"/>
  <c r="AO71" i="31"/>
  <c r="X71" i="32" s="1"/>
  <c r="AL155" i="31"/>
  <c r="AM90" i="31"/>
  <c r="AM105" i="31"/>
  <c r="AL170" i="31"/>
  <c r="AM101" i="31"/>
  <c r="AL166" i="31"/>
  <c r="AL77" i="31"/>
  <c r="AK142" i="31"/>
  <c r="AL131" i="31"/>
  <c r="AK196" i="31"/>
  <c r="AM144" i="31"/>
  <c r="AN79" i="31"/>
  <c r="AL83" i="31"/>
  <c r="AK148" i="31"/>
  <c r="AL85" i="31"/>
  <c r="AK150" i="31"/>
  <c r="AM109" i="31"/>
  <c r="AL174" i="31"/>
  <c r="AL145" i="31"/>
  <c r="AM80" i="31"/>
  <c r="AM120" i="31"/>
  <c r="AL185" i="31"/>
  <c r="AO130" i="31"/>
  <c r="X130" i="32" s="1"/>
  <c r="X137" i="32"/>
  <c r="AM132" i="31"/>
  <c r="AL197" i="31"/>
  <c r="AK189" i="31"/>
  <c r="AL124" i="31"/>
  <c r="AK172" i="31"/>
  <c r="AL107" i="31"/>
  <c r="AK169" i="31"/>
  <c r="AL104" i="31"/>
  <c r="AL123" i="31"/>
  <c r="AK188" i="31"/>
  <c r="AM177" i="31"/>
  <c r="AN112" i="31"/>
  <c r="AL117" i="31"/>
  <c r="AK182" i="31"/>
  <c r="AN118" i="31"/>
  <c r="AM183" i="31"/>
  <c r="AK161" i="31"/>
  <c r="AL96" i="31"/>
  <c r="AL89" i="31"/>
  <c r="AK154" i="31"/>
  <c r="AK171" i="31"/>
  <c r="AL106" i="31"/>
  <c r="AL113" i="31"/>
  <c r="AK178" i="31"/>
  <c r="AL127" i="31"/>
  <c r="AK192" i="31"/>
  <c r="AL103" i="31"/>
  <c r="AK168" i="31"/>
  <c r="AK165" i="31"/>
  <c r="AL100" i="31"/>
  <c r="AL82" i="31"/>
  <c r="AK147" i="31"/>
  <c r="AL86" i="31"/>
  <c r="AK151" i="31"/>
  <c r="AK179" i="31"/>
  <c r="AL114" i="31"/>
  <c r="AK191" i="31"/>
  <c r="AL126" i="31"/>
  <c r="AL111" i="31"/>
  <c r="AK176" i="31"/>
  <c r="AL87" i="31"/>
  <c r="AK152" i="31"/>
  <c r="AK163" i="31"/>
  <c r="AL98" i="31"/>
  <c r="AL167" i="31"/>
  <c r="AM102" i="31"/>
  <c r="AL129" i="31"/>
  <c r="AK194" i="31"/>
  <c r="AL121" i="31"/>
  <c r="AK186" i="31"/>
  <c r="AL115" i="31"/>
  <c r="AK180" i="31"/>
  <c r="AL116" i="31"/>
  <c r="AK181" i="31"/>
  <c r="AL125" i="31"/>
  <c r="AK190" i="31"/>
  <c r="AM173" i="31"/>
  <c r="AN108" i="31"/>
  <c r="AM68" i="31"/>
  <c r="AM70" i="31"/>
  <c r="AM71" i="31"/>
  <c r="AL72" i="31"/>
  <c r="AG89" i="14"/>
  <c r="W89" i="16"/>
  <c r="AA89" i="14"/>
  <c r="AB89" i="14" s="1"/>
  <c r="V89" i="16"/>
  <c r="W88" i="14"/>
  <c r="X88" i="14" s="1"/>
  <c r="W89" i="14"/>
  <c r="X89" i="14" s="1"/>
  <c r="R88" i="14"/>
  <c r="S88" i="14" s="1"/>
  <c r="R89" i="14"/>
  <c r="S89" i="14" s="1"/>
  <c r="N88" i="14"/>
  <c r="O88" i="14" s="1"/>
  <c r="M89" i="14"/>
  <c r="N89" i="14" s="1"/>
  <c r="H88" i="14"/>
  <c r="I88" i="14" s="1"/>
  <c r="H89" i="14"/>
  <c r="I89" i="14" s="1"/>
  <c r="C89" i="14"/>
  <c r="D89" i="14" s="1"/>
  <c r="AC32" i="32" l="1"/>
  <c r="AD32" i="32" s="1"/>
  <c r="AE32" i="32" s="1"/>
  <c r="AF32" i="32" s="1"/>
  <c r="AA54" i="32"/>
  <c r="BE54" i="31"/>
  <c r="BF54" i="31" s="1"/>
  <c r="BF33" i="31"/>
  <c r="BG33" i="31" s="1"/>
  <c r="BH33" i="31" s="1"/>
  <c r="BI33" i="31" s="1"/>
  <c r="AB33" i="32" s="1"/>
  <c r="AC33" i="32" s="1"/>
  <c r="AD33" i="32" s="1"/>
  <c r="AE33" i="32" s="1"/>
  <c r="AF33" i="32" s="1"/>
  <c r="BF57" i="31"/>
  <c r="BG57" i="31" s="1"/>
  <c r="BH57" i="31" s="1"/>
  <c r="BI57" i="31" s="1"/>
  <c r="AB57" i="32" s="1"/>
  <c r="AC57" i="32" s="1"/>
  <c r="AD57" i="32" s="1"/>
  <c r="AE57" i="32" s="1"/>
  <c r="AF57" i="32" s="1"/>
  <c r="BF37" i="31"/>
  <c r="BG37" i="31" s="1"/>
  <c r="BH37" i="31" s="1"/>
  <c r="BI37" i="31" s="1"/>
  <c r="AB37" i="32" s="1"/>
  <c r="AC37" i="32" s="1"/>
  <c r="AD37" i="32" s="1"/>
  <c r="AE37" i="32" s="1"/>
  <c r="AF37" i="32" s="1"/>
  <c r="BF24" i="31"/>
  <c r="BG24" i="31" s="1"/>
  <c r="BH24" i="31" s="1"/>
  <c r="BI24" i="31" s="1"/>
  <c r="AB24" i="32" s="1"/>
  <c r="AC24" i="32" s="1"/>
  <c r="AD24" i="32" s="1"/>
  <c r="AE24" i="32" s="1"/>
  <c r="AF24" i="32" s="1"/>
  <c r="BF56" i="31"/>
  <c r="BG56" i="31" s="1"/>
  <c r="BH56" i="31" s="1"/>
  <c r="BI56" i="31" s="1"/>
  <c r="AB56" i="32" s="1"/>
  <c r="AC56" i="32" s="1"/>
  <c r="AD56" i="32" s="1"/>
  <c r="AE56" i="32" s="1"/>
  <c r="AF56" i="32" s="1"/>
  <c r="BF49" i="31"/>
  <c r="BG49" i="31" s="1"/>
  <c r="BH49" i="31" s="1"/>
  <c r="BI49" i="31" s="1"/>
  <c r="AB49" i="32" s="1"/>
  <c r="AC49" i="32" s="1"/>
  <c r="BF25" i="31"/>
  <c r="BG25" i="31" s="1"/>
  <c r="BH25" i="31" s="1"/>
  <c r="BI25" i="31" s="1"/>
  <c r="AB25" i="32" s="1"/>
  <c r="AC25" i="32" s="1"/>
  <c r="AD25" i="32" s="1"/>
  <c r="AE25" i="32" s="1"/>
  <c r="AF25" i="32" s="1"/>
  <c r="BF53" i="31"/>
  <c r="BG53" i="31" s="1"/>
  <c r="BH53" i="31" s="1"/>
  <c r="BI53" i="31" s="1"/>
  <c r="AB53" i="32" s="1"/>
  <c r="AC53" i="32" s="1"/>
  <c r="AD53" i="32" s="1"/>
  <c r="AE53" i="32" s="1"/>
  <c r="AF53" i="32" s="1"/>
  <c r="BF17" i="31"/>
  <c r="BG17" i="31" s="1"/>
  <c r="BH17" i="31" s="1"/>
  <c r="BI17" i="31" s="1"/>
  <c r="AB17" i="32" s="1"/>
  <c r="AC17" i="32" s="1"/>
  <c r="AD17" i="32" s="1"/>
  <c r="AE17" i="32" s="1"/>
  <c r="AF17" i="32" s="1"/>
  <c r="BG34" i="31"/>
  <c r="BH34" i="31" s="1"/>
  <c r="BI34" i="31" s="1"/>
  <c r="AB34" i="32" s="1"/>
  <c r="AC34" i="32" s="1"/>
  <c r="AD34" i="32" s="1"/>
  <c r="AE34" i="32" s="1"/>
  <c r="AF34" i="32" s="1"/>
  <c r="BG38" i="31"/>
  <c r="BH38" i="31" s="1"/>
  <c r="BI38" i="31" s="1"/>
  <c r="AB38" i="32" s="1"/>
  <c r="AC38" i="32" s="1"/>
  <c r="AD38" i="32" s="1"/>
  <c r="AE38" i="32" s="1"/>
  <c r="AF38" i="32" s="1"/>
  <c r="BF40" i="31"/>
  <c r="BG40" i="31" s="1"/>
  <c r="BH40" i="31" s="1"/>
  <c r="BI40" i="31" s="1"/>
  <c r="AB40" i="32" s="1"/>
  <c r="AC40" i="32" s="1"/>
  <c r="AD40" i="32" s="1"/>
  <c r="AE40" i="32" s="1"/>
  <c r="AF40" i="32" s="1"/>
  <c r="BF29" i="31"/>
  <c r="BG29" i="31" s="1"/>
  <c r="BH29" i="31" s="1"/>
  <c r="BI29" i="31" s="1"/>
  <c r="AB29" i="32" s="1"/>
  <c r="AC29" i="32" s="1"/>
  <c r="AD29" i="32" s="1"/>
  <c r="AE29" i="32" s="1"/>
  <c r="AF29" i="32" s="1"/>
  <c r="Z59" i="32"/>
  <c r="AZ59" i="31"/>
  <c r="BA59" i="31" s="1"/>
  <c r="BB59" i="31" s="1"/>
  <c r="BC59" i="31" s="1"/>
  <c r="BD59" i="31" s="1"/>
  <c r="Z8" i="32"/>
  <c r="AZ8" i="31"/>
  <c r="BA8" i="31" s="1"/>
  <c r="BB8" i="31" s="1"/>
  <c r="BC8" i="31" s="1"/>
  <c r="BD8" i="31" s="1"/>
  <c r="AY6" i="31"/>
  <c r="AR4" i="31"/>
  <c r="AR65" i="31" s="1"/>
  <c r="AQ140" i="31"/>
  <c r="AQ130" i="31"/>
  <c r="AQ195" i="31" s="1"/>
  <c r="AM116" i="31"/>
  <c r="AL181" i="31"/>
  <c r="AM167" i="31"/>
  <c r="AN102" i="31"/>
  <c r="AM111" i="31"/>
  <c r="AL176" i="31"/>
  <c r="AM82" i="31"/>
  <c r="AL147" i="31"/>
  <c r="AL168" i="31"/>
  <c r="AM103" i="31"/>
  <c r="AM113" i="31"/>
  <c r="AL178" i="31"/>
  <c r="AL154" i="31"/>
  <c r="AM89" i="31"/>
  <c r="AN183" i="31"/>
  <c r="AO183" i="31" s="1"/>
  <c r="X183" i="32" s="1"/>
  <c r="AO118" i="31"/>
  <c r="AN177" i="31"/>
  <c r="AO177" i="31" s="1"/>
  <c r="X177" i="32" s="1"/>
  <c r="AO112" i="31"/>
  <c r="AL169" i="31"/>
  <c r="AM104" i="31"/>
  <c r="AM124" i="31"/>
  <c r="AL189" i="31"/>
  <c r="AM145" i="31"/>
  <c r="AN80" i="31"/>
  <c r="AM174" i="31"/>
  <c r="AN109" i="31"/>
  <c r="AM83" i="31"/>
  <c r="AL148" i="31"/>
  <c r="AM170" i="31"/>
  <c r="AN105" i="31"/>
  <c r="AM162" i="31"/>
  <c r="AN97" i="31"/>
  <c r="AM134" i="31"/>
  <c r="AL199" i="31"/>
  <c r="AM175" i="31"/>
  <c r="AN110" i="31"/>
  <c r="AL153" i="31"/>
  <c r="AM88" i="31"/>
  <c r="AM133" i="31"/>
  <c r="AL198" i="31"/>
  <c r="AN173" i="31"/>
  <c r="AO173" i="31" s="1"/>
  <c r="X173" i="32" s="1"/>
  <c r="AO108" i="31"/>
  <c r="AM129" i="31"/>
  <c r="AL194" i="31"/>
  <c r="AL179" i="31"/>
  <c r="AM114" i="31"/>
  <c r="AL188" i="31"/>
  <c r="AM123" i="31"/>
  <c r="AN132" i="31"/>
  <c r="AM197" i="31"/>
  <c r="AM185" i="31"/>
  <c r="AN120" i="31"/>
  <c r="AM77" i="31"/>
  <c r="AL142" i="31"/>
  <c r="AM94" i="31"/>
  <c r="AL159" i="31"/>
  <c r="AM121" i="31"/>
  <c r="AL186" i="31"/>
  <c r="AL163" i="31"/>
  <c r="AM98" i="31"/>
  <c r="AM126" i="31"/>
  <c r="AL191" i="31"/>
  <c r="AL165" i="31"/>
  <c r="AM100" i="31"/>
  <c r="AM106" i="31"/>
  <c r="AL171" i="31"/>
  <c r="AM96" i="31"/>
  <c r="AL161" i="31"/>
  <c r="AN144" i="31"/>
  <c r="AO144" i="31" s="1"/>
  <c r="X144" i="32" s="1"/>
  <c r="AO79" i="31"/>
  <c r="AM131" i="31"/>
  <c r="AL196" i="31"/>
  <c r="AN101" i="31"/>
  <c r="AM166" i="31"/>
  <c r="AM155" i="31"/>
  <c r="AN90" i="31"/>
  <c r="AL187" i="31"/>
  <c r="AM122" i="31"/>
  <c r="AM99" i="31"/>
  <c r="AL164" i="31"/>
  <c r="AL190" i="31"/>
  <c r="AM125" i="31"/>
  <c r="AL180" i="31"/>
  <c r="AM115" i="31"/>
  <c r="AM87" i="31"/>
  <c r="AL152" i="31"/>
  <c r="AL151" i="31"/>
  <c r="AM86" i="31"/>
  <c r="AL192" i="31"/>
  <c r="AM127" i="31"/>
  <c r="AM117" i="31"/>
  <c r="AL182" i="31"/>
  <c r="AM107" i="31"/>
  <c r="AL172" i="31"/>
  <c r="AM85" i="31"/>
  <c r="AL150" i="31"/>
  <c r="AK201" i="31"/>
  <c r="AN128" i="31"/>
  <c r="AM193" i="31"/>
  <c r="AM95" i="31"/>
  <c r="AL160" i="31"/>
  <c r="AM119" i="31"/>
  <c r="AL184" i="31"/>
  <c r="AM84" i="31"/>
  <c r="AL149" i="31"/>
  <c r="AH89" i="14"/>
  <c r="AI89" i="14" s="1"/>
  <c r="AM72" i="31"/>
  <c r="AN71" i="31"/>
  <c r="X45" i="16" s="1"/>
  <c r="AN70" i="31"/>
  <c r="AC89" i="14"/>
  <c r="O89" i="14"/>
  <c r="Y89" i="14"/>
  <c r="Y88" i="14"/>
  <c r="T89" i="14"/>
  <c r="T88" i="14"/>
  <c r="J89" i="14"/>
  <c r="J88" i="14"/>
  <c r="E89" i="14"/>
  <c r="AA8" i="32" l="1"/>
  <c r="BE8" i="31"/>
  <c r="AA59" i="32"/>
  <c r="BE59" i="31"/>
  <c r="BF59" i="31" s="1"/>
  <c r="BG59" i="31" s="1"/>
  <c r="BH59" i="31" s="1"/>
  <c r="BI59" i="31" s="1"/>
  <c r="AB59" i="32" s="1"/>
  <c r="BG54" i="31"/>
  <c r="BH54" i="31" s="1"/>
  <c r="BI54" i="31" s="1"/>
  <c r="AB54" i="32" s="1"/>
  <c r="AC54" i="32" s="1"/>
  <c r="AD54" i="32" s="1"/>
  <c r="AE54" i="32" s="1"/>
  <c r="AF54" i="32" s="1"/>
  <c r="AC59" i="32"/>
  <c r="AD59" i="32" s="1"/>
  <c r="AE59" i="32" s="1"/>
  <c r="AF59" i="32" s="1"/>
  <c r="Z6" i="32"/>
  <c r="AZ6" i="31"/>
  <c r="BA6" i="31" s="1"/>
  <c r="BB6" i="31" s="1"/>
  <c r="BC6" i="31" s="1"/>
  <c r="BD6" i="31" s="1"/>
  <c r="AY13" i="31"/>
  <c r="AY62" i="31"/>
  <c r="AY63" i="31"/>
  <c r="AP70" i="31"/>
  <c r="AP71" i="31"/>
  <c r="X79" i="32"/>
  <c r="AP79" i="31"/>
  <c r="X118" i="32"/>
  <c r="AP118" i="31"/>
  <c r="X108" i="32"/>
  <c r="AP108" i="31"/>
  <c r="AS4" i="31"/>
  <c r="AR140" i="31"/>
  <c r="X65" i="32"/>
  <c r="AR130" i="31"/>
  <c r="AR195" i="31" s="1"/>
  <c r="AS137" i="31"/>
  <c r="AS130" i="31" s="1"/>
  <c r="AS195" i="31" s="1"/>
  <c r="X112" i="32"/>
  <c r="AP112" i="31"/>
  <c r="AL201" i="31"/>
  <c r="AN84" i="31"/>
  <c r="AM149" i="31"/>
  <c r="AM160" i="31"/>
  <c r="AN95" i="31"/>
  <c r="AM150" i="31"/>
  <c r="AN85" i="31"/>
  <c r="AN127" i="31"/>
  <c r="AM192" i="31"/>
  <c r="AN125" i="31"/>
  <c r="AM190" i="31"/>
  <c r="AO101" i="31"/>
  <c r="AN166" i="31"/>
  <c r="AO166" i="31" s="1"/>
  <c r="X166" i="32" s="1"/>
  <c r="AN121" i="31"/>
  <c r="AM186" i="31"/>
  <c r="AO132" i="31"/>
  <c r="AN197" i="31"/>
  <c r="AO197" i="31" s="1"/>
  <c r="X197" i="32" s="1"/>
  <c r="AN114" i="31"/>
  <c r="AM179" i="31"/>
  <c r="AM194" i="31"/>
  <c r="AN129" i="31"/>
  <c r="AN134" i="31"/>
  <c r="AM199" i="31"/>
  <c r="AM178" i="31"/>
  <c r="AN113" i="31"/>
  <c r="AM147" i="31"/>
  <c r="AN82" i="31"/>
  <c r="AN167" i="31"/>
  <c r="AO167" i="31" s="1"/>
  <c r="X167" i="32" s="1"/>
  <c r="AO102" i="31"/>
  <c r="AM181" i="31"/>
  <c r="AN116" i="31"/>
  <c r="AN193" i="31"/>
  <c r="AO193" i="31" s="1"/>
  <c r="X193" i="32" s="1"/>
  <c r="AO128" i="31"/>
  <c r="AN86" i="31"/>
  <c r="AM151" i="31"/>
  <c r="AM152" i="31"/>
  <c r="AN87" i="31"/>
  <c r="AN99" i="31"/>
  <c r="AM164" i="31"/>
  <c r="AM161" i="31"/>
  <c r="AN96" i="31"/>
  <c r="AN126" i="31"/>
  <c r="AM191" i="31"/>
  <c r="AO109" i="31"/>
  <c r="AN174" i="31"/>
  <c r="AO174" i="31" s="1"/>
  <c r="X174" i="32" s="1"/>
  <c r="AM169" i="31"/>
  <c r="AN104" i="31"/>
  <c r="AM176" i="31"/>
  <c r="AN111" i="31"/>
  <c r="AO90" i="31"/>
  <c r="AN155" i="31"/>
  <c r="AO155" i="31" s="1"/>
  <c r="X155" i="32" s="1"/>
  <c r="AM171" i="31"/>
  <c r="AN106" i="31"/>
  <c r="AM163" i="31"/>
  <c r="AN98" i="31"/>
  <c r="AM159" i="31"/>
  <c r="AN94" i="31"/>
  <c r="AN185" i="31"/>
  <c r="AO185" i="31" s="1"/>
  <c r="X185" i="32" s="1"/>
  <c r="AO120" i="31"/>
  <c r="AN133" i="31"/>
  <c r="AM198" i="31"/>
  <c r="AN175" i="31"/>
  <c r="AO175" i="31" s="1"/>
  <c r="X175" i="32" s="1"/>
  <c r="AO110" i="31"/>
  <c r="AO97" i="31"/>
  <c r="AN162" i="31"/>
  <c r="AO162" i="31" s="1"/>
  <c r="X162" i="32" s="1"/>
  <c r="AN145" i="31"/>
  <c r="AO145" i="31" s="1"/>
  <c r="X145" i="32" s="1"/>
  <c r="AO80" i="31"/>
  <c r="AM154" i="31"/>
  <c r="AN89" i="31"/>
  <c r="AM168" i="31"/>
  <c r="AN103" i="31"/>
  <c r="AN122" i="31"/>
  <c r="AM187" i="31"/>
  <c r="AM165" i="31"/>
  <c r="AN100" i="31"/>
  <c r="AN77" i="31"/>
  <c r="AM142" i="31"/>
  <c r="AN170" i="31"/>
  <c r="AO170" i="31" s="1"/>
  <c r="X170" i="32" s="1"/>
  <c r="AO105" i="31"/>
  <c r="AN117" i="31"/>
  <c r="AM182" i="31"/>
  <c r="AN119" i="31"/>
  <c r="AM184" i="31"/>
  <c r="AM172" i="31"/>
  <c r="AN107" i="31"/>
  <c r="AN115" i="31"/>
  <c r="AM180" i="31"/>
  <c r="AN131" i="31"/>
  <c r="AM196" i="31"/>
  <c r="AN123" i="31"/>
  <c r="AM188" i="31"/>
  <c r="AM153" i="31"/>
  <c r="AN88" i="31"/>
  <c r="AN83" i="31"/>
  <c r="AM148" i="31"/>
  <c r="AN124" i="31"/>
  <c r="AM189" i="31"/>
  <c r="AN72" i="31"/>
  <c r="AO70" i="31"/>
  <c r="AD89" i="14"/>
  <c r="Y32" i="13"/>
  <c r="T32" i="13"/>
  <c r="O32" i="13"/>
  <c r="J32" i="13"/>
  <c r="E32" i="13"/>
  <c r="AA6" i="32" l="1"/>
  <c r="BE6" i="31"/>
  <c r="BF6" i="31" s="1"/>
  <c r="BF8" i="31"/>
  <c r="BG8" i="31" s="1"/>
  <c r="BH8" i="31" s="1"/>
  <c r="BI8" i="31" s="1"/>
  <c r="AB8" i="32" s="1"/>
  <c r="AC8" i="32" s="1"/>
  <c r="AD8" i="32" s="1"/>
  <c r="AE8" i="32" s="1"/>
  <c r="AF8" i="32" s="1"/>
  <c r="Z62" i="32"/>
  <c r="AZ62" i="31"/>
  <c r="BA62" i="31" s="1"/>
  <c r="BB62" i="31" s="1"/>
  <c r="BC62" i="31" s="1"/>
  <c r="BD62" i="31" s="1"/>
  <c r="Z13" i="32"/>
  <c r="AZ13" i="31"/>
  <c r="BA13" i="31" s="1"/>
  <c r="BB13" i="31" s="1"/>
  <c r="BC13" i="31" s="1"/>
  <c r="BD13" i="31" s="1"/>
  <c r="Z63" i="32"/>
  <c r="AZ63" i="31"/>
  <c r="BA63" i="31" s="1"/>
  <c r="BB63" i="31" s="1"/>
  <c r="BC63" i="31" s="1"/>
  <c r="BD63" i="31" s="1"/>
  <c r="AS65" i="31"/>
  <c r="AT65" i="31" s="1"/>
  <c r="AY60" i="31"/>
  <c r="AT137" i="31"/>
  <c r="AT195" i="31"/>
  <c r="Y195" i="32" s="1"/>
  <c r="AQ71" i="31"/>
  <c r="AQ68" i="31"/>
  <c r="X102" i="32"/>
  <c r="AP102" i="31"/>
  <c r="X90" i="32"/>
  <c r="AP90" i="31"/>
  <c r="X132" i="32"/>
  <c r="AP132" i="31"/>
  <c r="X101" i="32"/>
  <c r="AP101" i="31"/>
  <c r="AP177" i="31"/>
  <c r="AQ112" i="31"/>
  <c r="AP173" i="31"/>
  <c r="AQ108" i="31"/>
  <c r="X105" i="32"/>
  <c r="AP105" i="31"/>
  <c r="X80" i="32"/>
  <c r="AP80" i="31"/>
  <c r="X110" i="32"/>
  <c r="AP110" i="31"/>
  <c r="X120" i="32"/>
  <c r="AP120" i="31"/>
  <c r="X128" i="32"/>
  <c r="AP128" i="31"/>
  <c r="AP183" i="31"/>
  <c r="AQ118" i="31"/>
  <c r="X97" i="32"/>
  <c r="AP97" i="31"/>
  <c r="AT4" i="31"/>
  <c r="AS140" i="31"/>
  <c r="AP144" i="31"/>
  <c r="AQ79" i="31"/>
  <c r="X109" i="32"/>
  <c r="AP109" i="31"/>
  <c r="AM201" i="31"/>
  <c r="AN159" i="31"/>
  <c r="AO159" i="31" s="1"/>
  <c r="X159" i="32" s="1"/>
  <c r="AO94" i="31"/>
  <c r="AO106" i="31"/>
  <c r="AN171" i="31"/>
  <c r="AO171" i="31" s="1"/>
  <c r="X171" i="32" s="1"/>
  <c r="AN176" i="31"/>
  <c r="AO176" i="31" s="1"/>
  <c r="X176" i="32" s="1"/>
  <c r="AO111" i="31"/>
  <c r="AN169" i="31"/>
  <c r="AO169" i="31" s="1"/>
  <c r="X169" i="32" s="1"/>
  <c r="AO104" i="31"/>
  <c r="AN192" i="31"/>
  <c r="AO192" i="31" s="1"/>
  <c r="X192" i="32" s="1"/>
  <c r="AO127" i="31"/>
  <c r="AN188" i="31"/>
  <c r="AO188" i="31" s="1"/>
  <c r="X188" i="32" s="1"/>
  <c r="AO123" i="31"/>
  <c r="AO131" i="31"/>
  <c r="AN196" i="31"/>
  <c r="AO196" i="31" s="1"/>
  <c r="X196" i="32" s="1"/>
  <c r="AN172" i="31"/>
  <c r="AO172" i="31" s="1"/>
  <c r="X172" i="32" s="1"/>
  <c r="AO107" i="31"/>
  <c r="AN184" i="31"/>
  <c r="AO184" i="31" s="1"/>
  <c r="X184" i="32" s="1"/>
  <c r="AO119" i="31"/>
  <c r="AN142" i="31"/>
  <c r="AO77" i="31"/>
  <c r="AO133" i="31"/>
  <c r="AN198" i="31"/>
  <c r="AO198" i="31" s="1"/>
  <c r="X198" i="32" s="1"/>
  <c r="AO126" i="31"/>
  <c r="AN191" i="31"/>
  <c r="AO191" i="31" s="1"/>
  <c r="X191" i="32" s="1"/>
  <c r="AN181" i="31"/>
  <c r="AO181" i="31" s="1"/>
  <c r="X181" i="32" s="1"/>
  <c r="AO116" i="31"/>
  <c r="AN147" i="31"/>
  <c r="AO147" i="31" s="1"/>
  <c r="X147" i="32" s="1"/>
  <c r="AO82" i="31"/>
  <c r="AN150" i="31"/>
  <c r="AO150" i="31" s="1"/>
  <c r="X150" i="32" s="1"/>
  <c r="AO85" i="31"/>
  <c r="AN189" i="31"/>
  <c r="AO189" i="31" s="1"/>
  <c r="X189" i="32" s="1"/>
  <c r="AO124" i="31"/>
  <c r="AN165" i="31"/>
  <c r="AO165" i="31" s="1"/>
  <c r="X165" i="32" s="1"/>
  <c r="AO100" i="31"/>
  <c r="AN154" i="31"/>
  <c r="AO154" i="31" s="1"/>
  <c r="X154" i="32" s="1"/>
  <c r="AO89" i="31"/>
  <c r="AN163" i="31"/>
  <c r="AO163" i="31" s="1"/>
  <c r="X163" i="32" s="1"/>
  <c r="AO98" i="31"/>
  <c r="AN161" i="31"/>
  <c r="AO161" i="31" s="1"/>
  <c r="X161" i="32" s="1"/>
  <c r="AO96" i="31"/>
  <c r="AN164" i="31"/>
  <c r="AO164" i="31" s="1"/>
  <c r="X164" i="32" s="1"/>
  <c r="AO99" i="31"/>
  <c r="AN151" i="31"/>
  <c r="AO151" i="31" s="1"/>
  <c r="X151" i="32" s="1"/>
  <c r="AO86" i="31"/>
  <c r="AO134" i="31"/>
  <c r="AN199" i="31"/>
  <c r="AO199" i="31" s="1"/>
  <c r="X199" i="32" s="1"/>
  <c r="AN179" i="31"/>
  <c r="AO179" i="31" s="1"/>
  <c r="X179" i="32" s="1"/>
  <c r="AO114" i="31"/>
  <c r="AO121" i="31"/>
  <c r="AN186" i="31"/>
  <c r="AO186" i="31" s="1"/>
  <c r="X186" i="32" s="1"/>
  <c r="AO125" i="31"/>
  <c r="AN190" i="31"/>
  <c r="AO190" i="31" s="1"/>
  <c r="X190" i="32" s="1"/>
  <c r="AO84" i="31"/>
  <c r="AN149" i="31"/>
  <c r="AO149" i="31" s="1"/>
  <c r="X149" i="32" s="1"/>
  <c r="AN153" i="31"/>
  <c r="AO153" i="31" s="1"/>
  <c r="X153" i="32" s="1"/>
  <c r="AO88" i="31"/>
  <c r="AN180" i="31"/>
  <c r="AO180" i="31" s="1"/>
  <c r="X180" i="32" s="1"/>
  <c r="AO115" i="31"/>
  <c r="AN168" i="31"/>
  <c r="AO168" i="31" s="1"/>
  <c r="X168" i="32" s="1"/>
  <c r="AO103" i="31"/>
  <c r="AN148" i="31"/>
  <c r="AO148" i="31" s="1"/>
  <c r="X148" i="32" s="1"/>
  <c r="AO83" i="31"/>
  <c r="AO117" i="31"/>
  <c r="AN182" i="31"/>
  <c r="AO182" i="31" s="1"/>
  <c r="X182" i="32" s="1"/>
  <c r="AO122" i="31"/>
  <c r="AN187" i="31"/>
  <c r="AO187" i="31" s="1"/>
  <c r="X187" i="32" s="1"/>
  <c r="AN152" i="31"/>
  <c r="AO152" i="31" s="1"/>
  <c r="X152" i="32" s="1"/>
  <c r="AO87" i="31"/>
  <c r="AO113" i="31"/>
  <c r="AN178" i="31"/>
  <c r="AO178" i="31" s="1"/>
  <c r="X178" i="32" s="1"/>
  <c r="AO129" i="31"/>
  <c r="AN194" i="31"/>
  <c r="AO194" i="31" s="1"/>
  <c r="X194" i="32" s="1"/>
  <c r="AN160" i="31"/>
  <c r="AO160" i="31" s="1"/>
  <c r="X160" i="32" s="1"/>
  <c r="AO95" i="31"/>
  <c r="AO72" i="31"/>
  <c r="X70" i="32"/>
  <c r="X66" i="32"/>
  <c r="X44" i="18"/>
  <c r="X82" i="18"/>
  <c r="X44" i="16"/>
  <c r="AA63" i="32" l="1"/>
  <c r="BE63" i="31"/>
  <c r="BF63" i="31" s="1"/>
  <c r="BG63" i="31" s="1"/>
  <c r="BH63" i="31" s="1"/>
  <c r="BI63" i="31" s="1"/>
  <c r="AB63" i="32" s="1"/>
  <c r="AA62" i="32"/>
  <c r="BE62" i="31"/>
  <c r="BF62" i="31" s="1"/>
  <c r="BG62" i="31" s="1"/>
  <c r="BH62" i="31" s="1"/>
  <c r="BI62" i="31" s="1"/>
  <c r="AB62" i="32" s="1"/>
  <c r="BG6" i="31"/>
  <c r="BH6" i="31" s="1"/>
  <c r="BI6" i="31" s="1"/>
  <c r="AB6" i="32" s="1"/>
  <c r="AC6" i="32" s="1"/>
  <c r="AD6" i="32" s="1"/>
  <c r="AE6" i="32" s="1"/>
  <c r="AF6" i="32" s="1"/>
  <c r="AA13" i="32"/>
  <c r="BF13" i="31"/>
  <c r="BG13" i="31" s="1"/>
  <c r="BH13" i="31" s="1"/>
  <c r="BI13" i="31" s="1"/>
  <c r="AB13" i="32" s="1"/>
  <c r="AC63" i="32"/>
  <c r="AD63" i="32" s="1"/>
  <c r="AE63" i="32" s="1"/>
  <c r="AF63" i="32" s="1"/>
  <c r="Z60" i="32"/>
  <c r="AZ60" i="31"/>
  <c r="BA60" i="31" s="1"/>
  <c r="BB60" i="31" s="1"/>
  <c r="BC60" i="31" s="1"/>
  <c r="BD60" i="31" s="1"/>
  <c r="AT71" i="31"/>
  <c r="AT70" i="31"/>
  <c r="AT66" i="31"/>
  <c r="AT68" i="31" s="1"/>
  <c r="AS71" i="31"/>
  <c r="AS70" i="31"/>
  <c r="AT130" i="31"/>
  <c r="AU137" i="31"/>
  <c r="Y4" i="32"/>
  <c r="AU4" i="31"/>
  <c r="AO142" i="31"/>
  <c r="X142" i="32" s="1"/>
  <c r="AN201" i="31"/>
  <c r="AO201" i="31" s="1"/>
  <c r="Y137" i="32"/>
  <c r="AR70" i="31"/>
  <c r="AP166" i="31"/>
  <c r="AQ101" i="31"/>
  <c r="AP155" i="31"/>
  <c r="AQ90" i="31"/>
  <c r="X113" i="32"/>
  <c r="AP113" i="31"/>
  <c r="X117" i="32"/>
  <c r="AP117" i="31"/>
  <c r="AQ144" i="31"/>
  <c r="AR79" i="31"/>
  <c r="X87" i="32"/>
  <c r="AP87" i="31"/>
  <c r="X103" i="32"/>
  <c r="AP103" i="31"/>
  <c r="X88" i="32"/>
  <c r="AP88" i="31"/>
  <c r="X114" i="32"/>
  <c r="AP114" i="31"/>
  <c r="X86" i="32"/>
  <c r="AP86" i="31"/>
  <c r="X96" i="32"/>
  <c r="AP96" i="31"/>
  <c r="X100" i="32"/>
  <c r="AP100" i="31"/>
  <c r="X124" i="32"/>
  <c r="AP124" i="31"/>
  <c r="X82" i="32"/>
  <c r="AP82" i="31"/>
  <c r="X119" i="32"/>
  <c r="AP119" i="31"/>
  <c r="X127" i="32"/>
  <c r="AP127" i="31"/>
  <c r="X111" i="32"/>
  <c r="AP111" i="31"/>
  <c r="X94" i="32"/>
  <c r="AP94" i="31"/>
  <c r="AQ109" i="31"/>
  <c r="AP174" i="31"/>
  <c r="AQ183" i="31"/>
  <c r="AR118" i="31"/>
  <c r="AP185" i="31"/>
  <c r="AQ120" i="31"/>
  <c r="AP145" i="31"/>
  <c r="AQ80" i="31"/>
  <c r="AQ173" i="31"/>
  <c r="AR108" i="31"/>
  <c r="AR112" i="31"/>
  <c r="AQ177" i="31"/>
  <c r="X84" i="32"/>
  <c r="AP84" i="31"/>
  <c r="X121" i="32"/>
  <c r="AP121" i="31"/>
  <c r="X134" i="32"/>
  <c r="AP134" i="31"/>
  <c r="X133" i="32"/>
  <c r="AP133" i="31"/>
  <c r="X122" i="32"/>
  <c r="AP122" i="31"/>
  <c r="AP197" i="31"/>
  <c r="AQ132" i="31"/>
  <c r="AP167" i="31"/>
  <c r="AQ102" i="31"/>
  <c r="X106" i="32"/>
  <c r="AP106" i="31"/>
  <c r="X129" i="32"/>
  <c r="AP129" i="31"/>
  <c r="X125" i="32"/>
  <c r="AP125" i="31"/>
  <c r="X126" i="32"/>
  <c r="AP126" i="31"/>
  <c r="X131" i="32"/>
  <c r="AP131" i="31"/>
  <c r="X95" i="32"/>
  <c r="AP95" i="31"/>
  <c r="X83" i="32"/>
  <c r="AP83" i="31"/>
  <c r="X115" i="32"/>
  <c r="AP115" i="31"/>
  <c r="X99" i="32"/>
  <c r="AP99" i="31"/>
  <c r="X98" i="32"/>
  <c r="AP98" i="31"/>
  <c r="X89" i="32"/>
  <c r="AP89" i="31"/>
  <c r="X85" i="32"/>
  <c r="AP85" i="31"/>
  <c r="X116" i="32"/>
  <c r="AP116" i="31"/>
  <c r="X77" i="32"/>
  <c r="AP77" i="31"/>
  <c r="X107" i="32"/>
  <c r="AP107" i="31"/>
  <c r="X123" i="32"/>
  <c r="AP123" i="31"/>
  <c r="X104" i="32"/>
  <c r="AP104" i="31"/>
  <c r="AP162" i="31"/>
  <c r="AQ97" i="31"/>
  <c r="AP193" i="31"/>
  <c r="AQ128" i="31"/>
  <c r="AP175" i="31"/>
  <c r="AQ110" i="31"/>
  <c r="AP170" i="31"/>
  <c r="AQ105" i="31"/>
  <c r="AT140" i="31"/>
  <c r="Y140" i="32" s="1"/>
  <c r="A5" i="40"/>
  <c r="D6" i="17"/>
  <c r="C6" i="17"/>
  <c r="B6" i="17"/>
  <c r="I6" i="17"/>
  <c r="H6" i="17"/>
  <c r="G6" i="17"/>
  <c r="N6" i="17"/>
  <c r="N7" i="17" s="1"/>
  <c r="M6" i="17"/>
  <c r="M7" i="17" s="1"/>
  <c r="L6" i="17"/>
  <c r="L7" i="17" s="1"/>
  <c r="S6" i="17"/>
  <c r="S7" i="17" s="1"/>
  <c r="R6" i="17"/>
  <c r="R7" i="17" s="1"/>
  <c r="Q6" i="17"/>
  <c r="Q7" i="17" s="1"/>
  <c r="X6" i="17"/>
  <c r="X7" i="17" s="1"/>
  <c r="W6" i="17"/>
  <c r="W7" i="17" s="1"/>
  <c r="V6" i="17"/>
  <c r="V7" i="17" s="1"/>
  <c r="AA6" i="17"/>
  <c r="AA7" i="17" s="1"/>
  <c r="A77" i="18"/>
  <c r="Z58" i="17"/>
  <c r="X58" i="17"/>
  <c r="W58" i="17"/>
  <c r="V58" i="17"/>
  <c r="U58" i="17"/>
  <c r="S58" i="17"/>
  <c r="R58" i="17"/>
  <c r="Q58" i="17"/>
  <c r="P58" i="17"/>
  <c r="N58" i="17"/>
  <c r="M58" i="17"/>
  <c r="L58" i="17"/>
  <c r="K58" i="17"/>
  <c r="I58" i="17"/>
  <c r="H58" i="17"/>
  <c r="G58" i="17"/>
  <c r="F58" i="17"/>
  <c r="D58" i="17"/>
  <c r="C58" i="17"/>
  <c r="B58" i="17"/>
  <c r="AA58" i="17"/>
  <c r="AA41" i="14"/>
  <c r="Z41" i="14"/>
  <c r="V41" i="14"/>
  <c r="U41" i="14"/>
  <c r="Q41" i="14"/>
  <c r="P41" i="14"/>
  <c r="L41" i="14"/>
  <c r="K41" i="14"/>
  <c r="G41" i="14"/>
  <c r="F41" i="14"/>
  <c r="B41" i="14"/>
  <c r="O71" i="16"/>
  <c r="N71" i="16"/>
  <c r="M71" i="16"/>
  <c r="P71" i="16"/>
  <c r="Z71" i="14"/>
  <c r="U71" i="14"/>
  <c r="F71" i="14"/>
  <c r="K71" i="14"/>
  <c r="P71" i="14"/>
  <c r="AC13" i="32" l="1"/>
  <c r="AD13" i="32" s="1"/>
  <c r="AE13" i="32" s="1"/>
  <c r="AF13" i="32" s="1"/>
  <c r="AC62" i="32"/>
  <c r="AD62" i="32" s="1"/>
  <c r="AE62" i="32" s="1"/>
  <c r="AF62" i="32" s="1"/>
  <c r="AA60" i="32"/>
  <c r="BE60" i="31"/>
  <c r="BF60" i="31" s="1"/>
  <c r="BG60" i="31" s="1"/>
  <c r="BH60" i="31" s="1"/>
  <c r="BI60" i="31" s="1"/>
  <c r="AB60" i="32" s="1"/>
  <c r="AC60" i="32"/>
  <c r="AD60" i="32" s="1"/>
  <c r="AE60" i="32" s="1"/>
  <c r="AF60" i="32" s="1"/>
  <c r="AV4" i="31"/>
  <c r="AW4" i="31" s="1"/>
  <c r="AX4" i="31" s="1"/>
  <c r="AX65" i="31" s="1"/>
  <c r="AY65" i="31" s="1"/>
  <c r="AU65" i="31"/>
  <c r="AU71" i="31" s="1"/>
  <c r="AO202" i="31"/>
  <c r="X202" i="32" s="1"/>
  <c r="AT72" i="31"/>
  <c r="AS72" i="31"/>
  <c r="AU140" i="31"/>
  <c r="AV137" i="31"/>
  <c r="AW137" i="31" s="1"/>
  <c r="AX137" i="31" s="1"/>
  <c r="Y130" i="32"/>
  <c r="AU130" i="31"/>
  <c r="X201" i="32"/>
  <c r="AP188" i="31"/>
  <c r="AQ123" i="31"/>
  <c r="AP142" i="31"/>
  <c r="AQ77" i="31"/>
  <c r="AP150" i="31"/>
  <c r="AQ85" i="31"/>
  <c r="AP163" i="31"/>
  <c r="AQ98" i="31"/>
  <c r="AP180" i="31"/>
  <c r="AQ115" i="31"/>
  <c r="AP160" i="31"/>
  <c r="AQ95" i="31"/>
  <c r="AP196" i="31"/>
  <c r="AQ131" i="31"/>
  <c r="AQ125" i="31"/>
  <c r="AP190" i="31"/>
  <c r="AP171" i="31"/>
  <c r="AQ106" i="31"/>
  <c r="AQ197" i="31"/>
  <c r="AR132" i="31"/>
  <c r="AR177" i="31"/>
  <c r="AS112" i="31"/>
  <c r="AP159" i="31"/>
  <c r="AQ94" i="31"/>
  <c r="AP192" i="31"/>
  <c r="AQ127" i="31"/>
  <c r="AP147" i="31"/>
  <c r="AQ82" i="31"/>
  <c r="AP165" i="31"/>
  <c r="AQ100" i="31"/>
  <c r="AP151" i="31"/>
  <c r="AQ86" i="31"/>
  <c r="AP153" i="31"/>
  <c r="AQ88" i="31"/>
  <c r="AP152" i="31"/>
  <c r="AQ87" i="31"/>
  <c r="AP182" i="31"/>
  <c r="AQ117" i="31"/>
  <c r="AQ155" i="31"/>
  <c r="AR90" i="31"/>
  <c r="AQ175" i="31"/>
  <c r="AR110" i="31"/>
  <c r="AQ162" i="31"/>
  <c r="AR97" i="31"/>
  <c r="AP187" i="31"/>
  <c r="AQ122" i="31"/>
  <c r="AP199" i="31"/>
  <c r="AQ134" i="31"/>
  <c r="AP149" i="31"/>
  <c r="AQ84" i="31"/>
  <c r="AR173" i="31"/>
  <c r="AS108" i="31"/>
  <c r="AQ185" i="31"/>
  <c r="AR120" i="31"/>
  <c r="AP169" i="31"/>
  <c r="AQ104" i="31"/>
  <c r="AP172" i="31"/>
  <c r="AQ107" i="31"/>
  <c r="AP181" i="31"/>
  <c r="AQ116" i="31"/>
  <c r="AP154" i="31"/>
  <c r="AQ89" i="31"/>
  <c r="AP164" i="31"/>
  <c r="AQ99" i="31"/>
  <c r="AP148" i="31"/>
  <c r="AQ83" i="31"/>
  <c r="AP191" i="31"/>
  <c r="AQ126" i="31"/>
  <c r="AP194" i="31"/>
  <c r="AQ129" i="31"/>
  <c r="AQ167" i="31"/>
  <c r="AR102" i="31"/>
  <c r="AP176" i="31"/>
  <c r="AQ111" i="31"/>
  <c r="AP184" i="31"/>
  <c r="AQ119" i="31"/>
  <c r="AP189" i="31"/>
  <c r="AQ124" i="31"/>
  <c r="AP161" i="31"/>
  <c r="AQ96" i="31"/>
  <c r="AP179" i="31"/>
  <c r="AQ114" i="31"/>
  <c r="AP168" i="31"/>
  <c r="AQ103" i="31"/>
  <c r="AR144" i="31"/>
  <c r="AS79" i="31"/>
  <c r="AP178" i="31"/>
  <c r="AQ113" i="31"/>
  <c r="AQ166" i="31"/>
  <c r="AR101" i="31"/>
  <c r="AQ170" i="31"/>
  <c r="AR105" i="31"/>
  <c r="AR128" i="31"/>
  <c r="AQ193" i="31"/>
  <c r="AP198" i="31"/>
  <c r="AQ133" i="31"/>
  <c r="AP186" i="31"/>
  <c r="AQ121" i="31"/>
  <c r="AQ145" i="31"/>
  <c r="AR80" i="31"/>
  <c r="AR183" i="31"/>
  <c r="AS118" i="31"/>
  <c r="AQ174" i="31"/>
  <c r="AR109" i="31"/>
  <c r="AB7" i="17"/>
  <c r="AU70" i="31" l="1"/>
  <c r="AU72" i="31" s="1"/>
  <c r="AY137" i="31"/>
  <c r="AV130" i="31"/>
  <c r="AU195" i="31"/>
  <c r="AV140" i="31"/>
  <c r="AP201" i="31"/>
  <c r="AR170" i="31"/>
  <c r="AS105" i="31"/>
  <c r="AQ178" i="31"/>
  <c r="AR113" i="31"/>
  <c r="AQ168" i="31"/>
  <c r="AR103" i="31"/>
  <c r="AR96" i="31"/>
  <c r="AQ161" i="31"/>
  <c r="AQ184" i="31"/>
  <c r="AR119" i="31"/>
  <c r="AQ194" i="31"/>
  <c r="AR129" i="31"/>
  <c r="AQ148" i="31"/>
  <c r="AR83" i="31"/>
  <c r="AQ154" i="31"/>
  <c r="AR89" i="31"/>
  <c r="AQ172" i="31"/>
  <c r="AR107" i="31"/>
  <c r="AR185" i="31"/>
  <c r="AS120" i="31"/>
  <c r="AQ149" i="31"/>
  <c r="AR84" i="31"/>
  <c r="AQ187" i="31"/>
  <c r="AR122" i="31"/>
  <c r="AR197" i="31"/>
  <c r="AS132" i="31"/>
  <c r="AQ160" i="31"/>
  <c r="AR95" i="31"/>
  <c r="AQ163" i="31"/>
  <c r="AR98" i="31"/>
  <c r="AQ142" i="31"/>
  <c r="AR77" i="31"/>
  <c r="AT118" i="31"/>
  <c r="AS183" i="31"/>
  <c r="AT183" i="31" s="1"/>
  <c r="AQ186" i="31"/>
  <c r="AR121" i="31"/>
  <c r="AR175" i="31"/>
  <c r="AS110" i="31"/>
  <c r="AQ182" i="31"/>
  <c r="AR117" i="31"/>
  <c r="AQ153" i="31"/>
  <c r="AR88" i="31"/>
  <c r="AQ165" i="31"/>
  <c r="AR100" i="31"/>
  <c r="AQ192" i="31"/>
  <c r="AR127" i="31"/>
  <c r="AQ190" i="31"/>
  <c r="AR125" i="31"/>
  <c r="AR166" i="31"/>
  <c r="AS101" i="31"/>
  <c r="AS144" i="31"/>
  <c r="AT144" i="31" s="1"/>
  <c r="AT79" i="31"/>
  <c r="AQ179" i="31"/>
  <c r="AR114" i="31"/>
  <c r="AQ189" i="31"/>
  <c r="AR124" i="31"/>
  <c r="AQ176" i="31"/>
  <c r="AR111" i="31"/>
  <c r="AR167" i="31"/>
  <c r="AS102" i="31"/>
  <c r="AQ191" i="31"/>
  <c r="AR126" i="31"/>
  <c r="AQ164" i="31"/>
  <c r="AR99" i="31"/>
  <c r="AQ181" i="31"/>
  <c r="AR116" i="31"/>
  <c r="AQ169" i="31"/>
  <c r="AR104" i="31"/>
  <c r="AS173" i="31"/>
  <c r="AT173" i="31" s="1"/>
  <c r="AT108" i="31"/>
  <c r="AQ199" i="31"/>
  <c r="AR134" i="31"/>
  <c r="AS177" i="31"/>
  <c r="AT177" i="31" s="1"/>
  <c r="AT112" i="31"/>
  <c r="AQ171" i="31"/>
  <c r="AR106" i="31"/>
  <c r="AQ196" i="31"/>
  <c r="AR131" i="31"/>
  <c r="AQ180" i="31"/>
  <c r="AR115" i="31"/>
  <c r="AQ150" i="31"/>
  <c r="AR85" i="31"/>
  <c r="AQ188" i="31"/>
  <c r="AR123" i="31"/>
  <c r="AR174" i="31"/>
  <c r="AS109" i="31"/>
  <c r="AR145" i="31"/>
  <c r="AS80" i="31"/>
  <c r="AQ198" i="31"/>
  <c r="AR133" i="31"/>
  <c r="AR193" i="31"/>
  <c r="AS128" i="31"/>
  <c r="AR162" i="31"/>
  <c r="AS97" i="31"/>
  <c r="AR155" i="31"/>
  <c r="AS90" i="31"/>
  <c r="AQ152" i="31"/>
  <c r="AR87" i="31"/>
  <c r="AQ151" i="31"/>
  <c r="AR86" i="31"/>
  <c r="AQ147" i="31"/>
  <c r="AR82" i="31"/>
  <c r="AQ159" i="31"/>
  <c r="AR94" i="31"/>
  <c r="AB15" i="17"/>
  <c r="AE113" i="13"/>
  <c r="AE112" i="13"/>
  <c r="Z137" i="32" l="1"/>
  <c r="AZ137" i="31"/>
  <c r="Y79" i="32"/>
  <c r="AU79" i="31"/>
  <c r="AW130" i="31"/>
  <c r="AV195" i="31"/>
  <c r="Y112" i="32"/>
  <c r="AU112" i="31"/>
  <c r="Y108" i="32"/>
  <c r="AU108" i="31"/>
  <c r="Y118" i="32"/>
  <c r="AU118" i="31"/>
  <c r="AW140" i="31"/>
  <c r="AQ201" i="31"/>
  <c r="Y183" i="32"/>
  <c r="Y177" i="32"/>
  <c r="Y173" i="32"/>
  <c r="Y144" i="32"/>
  <c r="AS193" i="31"/>
  <c r="AT193" i="31" s="1"/>
  <c r="AT128" i="31"/>
  <c r="AS145" i="31"/>
  <c r="AT145" i="31" s="1"/>
  <c r="AT80" i="31"/>
  <c r="AR188" i="31"/>
  <c r="AS123" i="31"/>
  <c r="AS115" i="31"/>
  <c r="AR180" i="31"/>
  <c r="AR171" i="31"/>
  <c r="AS106" i="31"/>
  <c r="AR199" i="31"/>
  <c r="AS134" i="31"/>
  <c r="AR169" i="31"/>
  <c r="AS104" i="31"/>
  <c r="AS99" i="31"/>
  <c r="AR164" i="31"/>
  <c r="AT102" i="31"/>
  <c r="AS167" i="31"/>
  <c r="AT167" i="31" s="1"/>
  <c r="AR189" i="31"/>
  <c r="AS124" i="31"/>
  <c r="AR187" i="31"/>
  <c r="AS122" i="31"/>
  <c r="AS185" i="31"/>
  <c r="AT185" i="31" s="1"/>
  <c r="AT120" i="31"/>
  <c r="AR154" i="31"/>
  <c r="AS89" i="31"/>
  <c r="AR194" i="31"/>
  <c r="AS129" i="31"/>
  <c r="AR178" i="31"/>
  <c r="AS113" i="31"/>
  <c r="AR147" i="31"/>
  <c r="AS82" i="31"/>
  <c r="AR152" i="31"/>
  <c r="AS87" i="31"/>
  <c r="AS162" i="31"/>
  <c r="AT162" i="31" s="1"/>
  <c r="AT97" i="31"/>
  <c r="AR190" i="31"/>
  <c r="AS125" i="31"/>
  <c r="AR165" i="31"/>
  <c r="AS100" i="31"/>
  <c r="AR182" i="31"/>
  <c r="AS117" i="31"/>
  <c r="AR163" i="31"/>
  <c r="AS98" i="31"/>
  <c r="AR161" i="31"/>
  <c r="AS96" i="31"/>
  <c r="AR198" i="31"/>
  <c r="AS133" i="31"/>
  <c r="AS174" i="31"/>
  <c r="AT174" i="31" s="1"/>
  <c r="AT109" i="31"/>
  <c r="AR150" i="31"/>
  <c r="AS85" i="31"/>
  <c r="AS131" i="31"/>
  <c r="AR196" i="31"/>
  <c r="AR181" i="31"/>
  <c r="AS116" i="31"/>
  <c r="AR191" i="31"/>
  <c r="AS126" i="31"/>
  <c r="AR176" i="31"/>
  <c r="AS111" i="31"/>
  <c r="AR179" i="31"/>
  <c r="AS114" i="31"/>
  <c r="AS166" i="31"/>
  <c r="AT166" i="31" s="1"/>
  <c r="AT101" i="31"/>
  <c r="AS197" i="31"/>
  <c r="AT197" i="31" s="1"/>
  <c r="AT132" i="31"/>
  <c r="AR149" i="31"/>
  <c r="AS84" i="31"/>
  <c r="AR172" i="31"/>
  <c r="AS107" i="31"/>
  <c r="AS83" i="31"/>
  <c r="AR148" i="31"/>
  <c r="AR184" i="31"/>
  <c r="AS119" i="31"/>
  <c r="AR168" i="31"/>
  <c r="AS103" i="31"/>
  <c r="AS170" i="31"/>
  <c r="AT170" i="31" s="1"/>
  <c r="AT105" i="31"/>
  <c r="AR159" i="31"/>
  <c r="AS94" i="31"/>
  <c r="AR151" i="31"/>
  <c r="AS86" i="31"/>
  <c r="AS155" i="31"/>
  <c r="AT155" i="31" s="1"/>
  <c r="AT90" i="31"/>
  <c r="AR192" i="31"/>
  <c r="AS127" i="31"/>
  <c r="AR153" i="31"/>
  <c r="AS88" i="31"/>
  <c r="AS175" i="31"/>
  <c r="AT175" i="31" s="1"/>
  <c r="AT110" i="31"/>
  <c r="AR186" i="31"/>
  <c r="AS121" i="31"/>
  <c r="AR142" i="31"/>
  <c r="AS77" i="31"/>
  <c r="AR160" i="31"/>
  <c r="AS95" i="31"/>
  <c r="K90" i="13"/>
  <c r="P90" i="13"/>
  <c r="U90" i="13"/>
  <c r="Z90" i="13"/>
  <c r="E32" i="16"/>
  <c r="D32" i="16"/>
  <c r="C32" i="16"/>
  <c r="B32" i="16"/>
  <c r="Z84" i="14"/>
  <c r="Z92" i="13" s="1"/>
  <c r="U92" i="15" s="1"/>
  <c r="U92" i="13"/>
  <c r="T92" i="15" s="1"/>
  <c r="P84" i="14"/>
  <c r="P92" i="13" s="1"/>
  <c r="S92" i="15" s="1"/>
  <c r="K84" i="14"/>
  <c r="K92" i="13" s="1"/>
  <c r="R92" i="15" s="1"/>
  <c r="F84" i="14"/>
  <c r="F92" i="13" s="1"/>
  <c r="Q92" i="15" s="1"/>
  <c r="BA137" i="31" l="1"/>
  <c r="BB137" i="31" s="1"/>
  <c r="BC137" i="31" s="1"/>
  <c r="BD137" i="31"/>
  <c r="Y110" i="32"/>
  <c r="AU110" i="31"/>
  <c r="Y105" i="32"/>
  <c r="AU105" i="31"/>
  <c r="Y132" i="32"/>
  <c r="AU132" i="31"/>
  <c r="Y109" i="32"/>
  <c r="AU109" i="31"/>
  <c r="Y128" i="32"/>
  <c r="AU128" i="31"/>
  <c r="AV118" i="31"/>
  <c r="AU183" i="31"/>
  <c r="AV108" i="31"/>
  <c r="AU173" i="31"/>
  <c r="AX130" i="31"/>
  <c r="AW195" i="31"/>
  <c r="Y102" i="32"/>
  <c r="AU102" i="31"/>
  <c r="Y90" i="32"/>
  <c r="AU90" i="31"/>
  <c r="Y101" i="32"/>
  <c r="AU101" i="31"/>
  <c r="Y97" i="32"/>
  <c r="AU97" i="31"/>
  <c r="Y120" i="32"/>
  <c r="AU120" i="31"/>
  <c r="Y80" i="32"/>
  <c r="AU80" i="31"/>
  <c r="AV112" i="31"/>
  <c r="AU177" i="31"/>
  <c r="AV79" i="31"/>
  <c r="AU144" i="31"/>
  <c r="AX140" i="31"/>
  <c r="AY4" i="31"/>
  <c r="AY66" i="31" s="1"/>
  <c r="AY68" i="31" s="1"/>
  <c r="AR201" i="31"/>
  <c r="Y185" i="32"/>
  <c r="Y155" i="32"/>
  <c r="Y175" i="32"/>
  <c r="Y166" i="32"/>
  <c r="Y170" i="32"/>
  <c r="Y174" i="32"/>
  <c r="Y197" i="32"/>
  <c r="Y162" i="32"/>
  <c r="Y167" i="32"/>
  <c r="Y193" i="32"/>
  <c r="Y145" i="32"/>
  <c r="AS191" i="31"/>
  <c r="AT191" i="31" s="1"/>
  <c r="AT126" i="31"/>
  <c r="AS180" i="31"/>
  <c r="AT180" i="31" s="1"/>
  <c r="AT115" i="31"/>
  <c r="AS184" i="31"/>
  <c r="AT184" i="31" s="1"/>
  <c r="AT119" i="31"/>
  <c r="AS165" i="31"/>
  <c r="AT165" i="31" s="1"/>
  <c r="AT100" i="31"/>
  <c r="AT86" i="31"/>
  <c r="AS151" i="31"/>
  <c r="AT151" i="31" s="1"/>
  <c r="AS163" i="31"/>
  <c r="AT163" i="31" s="1"/>
  <c r="AT98" i="31"/>
  <c r="AS178" i="31"/>
  <c r="AT178" i="31" s="1"/>
  <c r="AT113" i="31"/>
  <c r="AS186" i="31"/>
  <c r="AT186" i="31" s="1"/>
  <c r="AT121" i="31"/>
  <c r="AS159" i="31"/>
  <c r="AT159" i="31" s="1"/>
  <c r="AT94" i="31"/>
  <c r="AS168" i="31"/>
  <c r="AT168" i="31" s="1"/>
  <c r="AT103" i="31"/>
  <c r="AS149" i="31"/>
  <c r="AT149" i="31" s="1"/>
  <c r="AT84" i="31"/>
  <c r="AS181" i="31"/>
  <c r="AT181" i="31" s="1"/>
  <c r="AT116" i="31"/>
  <c r="AS150" i="31"/>
  <c r="AT150" i="31" s="1"/>
  <c r="AT85" i="31"/>
  <c r="AS198" i="31"/>
  <c r="AT198" i="31" s="1"/>
  <c r="AT133" i="31"/>
  <c r="AS182" i="31"/>
  <c r="AT182" i="31" s="1"/>
  <c r="AT117" i="31"/>
  <c r="AS190" i="31"/>
  <c r="AT190" i="31" s="1"/>
  <c r="AT125" i="31"/>
  <c r="AS147" i="31"/>
  <c r="AT147" i="31" s="1"/>
  <c r="AT82" i="31"/>
  <c r="AS194" i="31"/>
  <c r="AT194" i="31" s="1"/>
  <c r="AT129" i="31"/>
  <c r="AS172" i="31"/>
  <c r="AT172" i="31" s="1"/>
  <c r="AT107" i="31"/>
  <c r="AS179" i="31"/>
  <c r="AT179" i="31" s="1"/>
  <c r="AT114" i="31"/>
  <c r="AS152" i="31"/>
  <c r="AT152" i="31" s="1"/>
  <c r="AT87" i="31"/>
  <c r="AS154" i="31"/>
  <c r="AT154" i="31" s="1"/>
  <c r="AT89" i="31"/>
  <c r="AS187" i="31"/>
  <c r="AT187" i="31" s="1"/>
  <c r="AT122" i="31"/>
  <c r="AS164" i="31"/>
  <c r="AT164" i="31" s="1"/>
  <c r="AT99" i="31"/>
  <c r="AS160" i="31"/>
  <c r="AT160" i="31" s="1"/>
  <c r="AT95" i="31"/>
  <c r="AS153" i="31"/>
  <c r="AT153" i="31" s="1"/>
  <c r="AT88" i="31"/>
  <c r="AS196" i="31"/>
  <c r="AT196" i="31" s="1"/>
  <c r="AT131" i="31"/>
  <c r="AS161" i="31"/>
  <c r="AT161" i="31" s="1"/>
  <c r="AT96" i="31"/>
  <c r="AS169" i="31"/>
  <c r="AT169" i="31" s="1"/>
  <c r="AT104" i="31"/>
  <c r="AS171" i="31"/>
  <c r="AT171" i="31" s="1"/>
  <c r="AT106" i="31"/>
  <c r="AS188" i="31"/>
  <c r="AT188" i="31" s="1"/>
  <c r="AT123" i="31"/>
  <c r="AS176" i="31"/>
  <c r="AT176" i="31" s="1"/>
  <c r="AT111" i="31"/>
  <c r="AS142" i="31"/>
  <c r="AT77" i="31"/>
  <c r="AS192" i="31"/>
  <c r="AT192" i="31" s="1"/>
  <c r="AT127" i="31"/>
  <c r="AS148" i="31"/>
  <c r="AT148" i="31" s="1"/>
  <c r="AT83" i="31"/>
  <c r="AS189" i="31"/>
  <c r="AT189" i="31" s="1"/>
  <c r="AT124" i="31"/>
  <c r="AT134" i="31"/>
  <c r="AS199" i="31"/>
  <c r="AT199" i="31" s="1"/>
  <c r="AE41" i="17"/>
  <c r="AE36" i="17"/>
  <c r="AA137" i="32" l="1"/>
  <c r="BE137" i="31"/>
  <c r="BF137" i="31" s="1"/>
  <c r="BG137" i="31" s="1"/>
  <c r="BH137" i="31" s="1"/>
  <c r="BI137" i="31" s="1"/>
  <c r="AB137" i="32" s="1"/>
  <c r="AC137" i="32"/>
  <c r="Z4" i="32"/>
  <c r="AZ4" i="31"/>
  <c r="AZ65" i="31" s="1"/>
  <c r="AT142" i="31"/>
  <c r="Y142" i="32" s="1"/>
  <c r="AS201" i="31"/>
  <c r="AT201" i="31" s="1"/>
  <c r="Y77" i="32"/>
  <c r="AU77" i="31"/>
  <c r="Y104" i="32"/>
  <c r="AU104" i="31"/>
  <c r="AV80" i="31"/>
  <c r="AU145" i="31"/>
  <c r="AV97" i="31"/>
  <c r="AU162" i="31"/>
  <c r="AV90" i="31"/>
  <c r="AU155" i="31"/>
  <c r="AV109" i="31"/>
  <c r="AU174" i="31"/>
  <c r="AV105" i="31"/>
  <c r="AU170" i="31"/>
  <c r="Y124" i="32"/>
  <c r="AU124" i="31"/>
  <c r="Y83" i="32"/>
  <c r="AU83" i="31"/>
  <c r="Y123" i="32"/>
  <c r="AU123" i="31"/>
  <c r="Y134" i="32"/>
  <c r="AU134" i="31"/>
  <c r="Y131" i="32"/>
  <c r="AU131" i="31"/>
  <c r="Y95" i="32"/>
  <c r="AU95" i="31"/>
  <c r="Y122" i="32"/>
  <c r="AU122" i="31"/>
  <c r="Y87" i="32"/>
  <c r="AU87" i="31"/>
  <c r="Y107" i="32"/>
  <c r="AU107" i="31"/>
  <c r="Y82" i="32"/>
  <c r="AU82" i="31"/>
  <c r="Y117" i="32"/>
  <c r="AU117" i="31"/>
  <c r="Y85" i="32"/>
  <c r="AU85" i="31"/>
  <c r="Y84" i="32"/>
  <c r="AU84" i="31"/>
  <c r="Y94" i="32"/>
  <c r="AU94" i="31"/>
  <c r="Y113" i="32"/>
  <c r="AU113" i="31"/>
  <c r="Y119" i="32"/>
  <c r="AU119" i="31"/>
  <c r="Y126" i="32"/>
  <c r="AU126" i="31"/>
  <c r="AW112" i="31"/>
  <c r="AV177" i="31"/>
  <c r="AY130" i="31"/>
  <c r="AX195" i="31"/>
  <c r="AY195" i="31" s="1"/>
  <c r="Z195" i="32" s="1"/>
  <c r="AW118" i="31"/>
  <c r="AV183" i="31"/>
  <c r="Y127" i="32"/>
  <c r="AU127" i="31"/>
  <c r="Y106" i="32"/>
  <c r="AU106" i="31"/>
  <c r="AY140" i="31"/>
  <c r="Z140" i="32" s="1"/>
  <c r="AV120" i="31"/>
  <c r="AU185" i="31"/>
  <c r="AV101" i="31"/>
  <c r="AU166" i="31"/>
  <c r="AV102" i="31"/>
  <c r="AU167" i="31"/>
  <c r="AV128" i="31"/>
  <c r="AU193" i="31"/>
  <c r="AV132" i="31"/>
  <c r="AU197" i="31"/>
  <c r="AV110" i="31"/>
  <c r="AU175" i="31"/>
  <c r="Y111" i="32"/>
  <c r="AU111" i="31"/>
  <c r="Y86" i="32"/>
  <c r="AU86" i="31"/>
  <c r="Y96" i="32"/>
  <c r="AU96" i="31"/>
  <c r="Y88" i="32"/>
  <c r="AU88" i="31"/>
  <c r="Y99" i="32"/>
  <c r="AU99" i="31"/>
  <c r="Y89" i="32"/>
  <c r="AU89" i="31"/>
  <c r="Y114" i="32"/>
  <c r="AU114" i="31"/>
  <c r="Y129" i="32"/>
  <c r="AU129" i="31"/>
  <c r="Y125" i="32"/>
  <c r="AU125" i="31"/>
  <c r="Y133" i="32"/>
  <c r="AU133" i="31"/>
  <c r="Y116" i="32"/>
  <c r="AU116" i="31"/>
  <c r="Y103" i="32"/>
  <c r="AU103" i="31"/>
  <c r="Y121" i="32"/>
  <c r="AU121" i="31"/>
  <c r="Y98" i="32"/>
  <c r="AU98" i="31"/>
  <c r="Y100" i="32"/>
  <c r="AU100" i="31"/>
  <c r="Y115" i="32"/>
  <c r="AU115" i="31"/>
  <c r="AW79" i="31"/>
  <c r="AV144" i="31"/>
  <c r="AW108" i="31"/>
  <c r="AV173" i="31"/>
  <c r="Y194" i="32"/>
  <c r="Y152" i="32"/>
  <c r="Y161" i="32"/>
  <c r="Y187" i="32"/>
  <c r="Y172" i="32"/>
  <c r="Y189" i="32"/>
  <c r="Y171" i="32"/>
  <c r="Y169" i="32"/>
  <c r="Y164" i="32"/>
  <c r="Y150" i="32"/>
  <c r="Y160" i="32"/>
  <c r="Y147" i="32"/>
  <c r="Y182" i="32"/>
  <c r="Y159" i="32"/>
  <c r="Y151" i="32"/>
  <c r="Y199" i="32"/>
  <c r="Y148" i="32"/>
  <c r="Y180" i="32"/>
  <c r="Y181" i="32"/>
  <c r="Y153" i="32"/>
  <c r="Y154" i="32"/>
  <c r="Y179" i="32"/>
  <c r="Y184" i="32"/>
  <c r="Y191" i="32"/>
  <c r="Y188" i="32"/>
  <c r="Y190" i="32"/>
  <c r="Y198" i="32"/>
  <c r="Y168" i="32"/>
  <c r="Y176" i="32"/>
  <c r="Y149" i="32"/>
  <c r="Y192" i="32"/>
  <c r="Y186" i="32"/>
  <c r="Y178" i="32"/>
  <c r="Y196" i="32"/>
  <c r="Y163" i="32"/>
  <c r="Y165" i="32"/>
  <c r="U42" i="18"/>
  <c r="T42" i="18"/>
  <c r="S42" i="18"/>
  <c r="R42" i="18"/>
  <c r="Q42" i="18"/>
  <c r="W41" i="18"/>
  <c r="V41" i="18"/>
  <c r="U41" i="18"/>
  <c r="T41" i="18"/>
  <c r="S41" i="18"/>
  <c r="R41" i="18"/>
  <c r="Q41" i="18"/>
  <c r="U33" i="18"/>
  <c r="T33" i="18"/>
  <c r="S33" i="18"/>
  <c r="R33" i="18"/>
  <c r="Q33" i="18"/>
  <c r="U18" i="18"/>
  <c r="T18" i="18"/>
  <c r="S18" i="18"/>
  <c r="R18" i="18"/>
  <c r="Q18" i="18"/>
  <c r="U10" i="18"/>
  <c r="T10" i="18"/>
  <c r="S10" i="18"/>
  <c r="R10" i="18"/>
  <c r="Q10" i="18"/>
  <c r="Y13" i="17"/>
  <c r="T13" i="17"/>
  <c r="O13" i="17"/>
  <c r="J13" i="17"/>
  <c r="E13" i="17"/>
  <c r="Y11" i="17"/>
  <c r="T11" i="17"/>
  <c r="O11" i="17"/>
  <c r="J11" i="17"/>
  <c r="E11" i="17"/>
  <c r="Y35" i="17"/>
  <c r="T35" i="17"/>
  <c r="O35" i="17"/>
  <c r="J35" i="17"/>
  <c r="E35" i="17"/>
  <c r="Y43" i="17"/>
  <c r="T43" i="17"/>
  <c r="O43" i="17"/>
  <c r="J43" i="17"/>
  <c r="E43" i="17"/>
  <c r="Y57" i="17"/>
  <c r="T57" i="17"/>
  <c r="O57" i="17"/>
  <c r="J57" i="17"/>
  <c r="E57" i="17"/>
  <c r="P111" i="15"/>
  <c r="O111" i="15"/>
  <c r="N111" i="15"/>
  <c r="M111" i="15"/>
  <c r="L111" i="15"/>
  <c r="K111" i="15"/>
  <c r="J111" i="15"/>
  <c r="I111" i="15"/>
  <c r="H111" i="15"/>
  <c r="G111" i="15"/>
  <c r="F111" i="15"/>
  <c r="E111" i="15"/>
  <c r="D111" i="15"/>
  <c r="C111" i="15"/>
  <c r="P110" i="15"/>
  <c r="O110" i="15"/>
  <c r="N110" i="15"/>
  <c r="M110" i="15"/>
  <c r="L110" i="15"/>
  <c r="K110" i="15"/>
  <c r="J110" i="15"/>
  <c r="I110" i="15"/>
  <c r="H110" i="15"/>
  <c r="G110" i="15"/>
  <c r="F110" i="15"/>
  <c r="E110" i="15"/>
  <c r="D110" i="15"/>
  <c r="C110" i="15"/>
  <c r="P109" i="15"/>
  <c r="O109" i="15"/>
  <c r="N109" i="15"/>
  <c r="M109" i="15"/>
  <c r="L109" i="15"/>
  <c r="K109" i="15"/>
  <c r="J109" i="15"/>
  <c r="I109" i="15"/>
  <c r="H109" i="15"/>
  <c r="G109" i="15"/>
  <c r="F109" i="15"/>
  <c r="E109" i="15"/>
  <c r="D109" i="15"/>
  <c r="C109" i="15"/>
  <c r="B111" i="15"/>
  <c r="B110" i="15"/>
  <c r="B109" i="15"/>
  <c r="B109" i="13"/>
  <c r="B110" i="13"/>
  <c r="B111" i="13"/>
  <c r="C109" i="13"/>
  <c r="C110" i="13"/>
  <c r="C111" i="13"/>
  <c r="D109" i="13"/>
  <c r="D110" i="13"/>
  <c r="D111" i="13"/>
  <c r="F109" i="13"/>
  <c r="Q109" i="15" s="1"/>
  <c r="F110" i="13"/>
  <c r="Q110" i="15" s="1"/>
  <c r="F111" i="13"/>
  <c r="Q111" i="15" s="1"/>
  <c r="E109" i="13"/>
  <c r="E110" i="13"/>
  <c r="E111" i="13"/>
  <c r="U114" i="15"/>
  <c r="T114" i="15"/>
  <c r="S114" i="15"/>
  <c r="R114" i="15"/>
  <c r="Q114" i="15"/>
  <c r="W113" i="15"/>
  <c r="V113" i="15"/>
  <c r="U113" i="15"/>
  <c r="T113" i="15"/>
  <c r="S113" i="15"/>
  <c r="R113" i="15"/>
  <c r="W112" i="15"/>
  <c r="V112" i="15"/>
  <c r="U112" i="15"/>
  <c r="T112" i="15"/>
  <c r="S112" i="15"/>
  <c r="R112" i="15"/>
  <c r="A113" i="15"/>
  <c r="A112" i="15"/>
  <c r="E114" i="13"/>
  <c r="Y113" i="13"/>
  <c r="Y112" i="13"/>
  <c r="T113" i="13"/>
  <c r="T112" i="13"/>
  <c r="O113" i="13"/>
  <c r="O112" i="13"/>
  <c r="J113" i="13"/>
  <c r="J112" i="13"/>
  <c r="Q113" i="15"/>
  <c r="Q112" i="15"/>
  <c r="J114" i="13"/>
  <c r="O114" i="13"/>
  <c r="T114" i="13"/>
  <c r="Y114" i="13"/>
  <c r="T6" i="4"/>
  <c r="Y6" i="4"/>
  <c r="AD7" i="4" s="1"/>
  <c r="AA43" i="13"/>
  <c r="AA44" i="13" s="1"/>
  <c r="AD137" i="32" l="1"/>
  <c r="AC130" i="32"/>
  <c r="AC195" i="32" s="1"/>
  <c r="Z130" i="32"/>
  <c r="AZ130" i="31"/>
  <c r="BA4" i="31"/>
  <c r="AZ140" i="31"/>
  <c r="Y201" i="32"/>
  <c r="AT202" i="31"/>
  <c r="Y202" i="32" s="1"/>
  <c r="Y37" i="15"/>
  <c r="AX79" i="31"/>
  <c r="AW144" i="31"/>
  <c r="AW132" i="31"/>
  <c r="AV197" i="31"/>
  <c r="AW102" i="31"/>
  <c r="AV167" i="31"/>
  <c r="AW120" i="31"/>
  <c r="AV185" i="31"/>
  <c r="AV127" i="31"/>
  <c r="AU192" i="31"/>
  <c r="AW105" i="31"/>
  <c r="AV170" i="31"/>
  <c r="AW90" i="31"/>
  <c r="AV155" i="31"/>
  <c r="AW80" i="31"/>
  <c r="AV145" i="31"/>
  <c r="AV104" i="31"/>
  <c r="AU169" i="31"/>
  <c r="AV115" i="31"/>
  <c r="AU180" i="31"/>
  <c r="AV98" i="31"/>
  <c r="AU163" i="31"/>
  <c r="AV103" i="31"/>
  <c r="AU168" i="31"/>
  <c r="AV133" i="31"/>
  <c r="AU198" i="31"/>
  <c r="AV129" i="31"/>
  <c r="AU194" i="31"/>
  <c r="AV89" i="31"/>
  <c r="AU154" i="31"/>
  <c r="AV88" i="31"/>
  <c r="AU153" i="31"/>
  <c r="AV86" i="31"/>
  <c r="AU151" i="31"/>
  <c r="AV126" i="31"/>
  <c r="AU191" i="31"/>
  <c r="AV113" i="31"/>
  <c r="AU178" i="31"/>
  <c r="AV84" i="31"/>
  <c r="AU149" i="31"/>
  <c r="AV117" i="31"/>
  <c r="AU182" i="31"/>
  <c r="AV107" i="31"/>
  <c r="AU172" i="31"/>
  <c r="AV122" i="31"/>
  <c r="AU187" i="31"/>
  <c r="AV131" i="31"/>
  <c r="AU196" i="31"/>
  <c r="AV123" i="31"/>
  <c r="AU188" i="31"/>
  <c r="AV124" i="31"/>
  <c r="AU189" i="31"/>
  <c r="AX108" i="31"/>
  <c r="AW173" i="31"/>
  <c r="AW110" i="31"/>
  <c r="AV175" i="31"/>
  <c r="AW128" i="31"/>
  <c r="AV193" i="31"/>
  <c r="AW101" i="31"/>
  <c r="AV166" i="31"/>
  <c r="AV106" i="31"/>
  <c r="AU171" i="31"/>
  <c r="AW109" i="31"/>
  <c r="AV174" i="31"/>
  <c r="AW97" i="31"/>
  <c r="AV162" i="31"/>
  <c r="AV77" i="31"/>
  <c r="AU142" i="31"/>
  <c r="AV100" i="31"/>
  <c r="AU165" i="31"/>
  <c r="AV121" i="31"/>
  <c r="AU186" i="31"/>
  <c r="AV116" i="31"/>
  <c r="AU181" i="31"/>
  <c r="AV125" i="31"/>
  <c r="AU190" i="31"/>
  <c r="AV114" i="31"/>
  <c r="AU179" i="31"/>
  <c r="AV99" i="31"/>
  <c r="AU164" i="31"/>
  <c r="AV96" i="31"/>
  <c r="AU161" i="31"/>
  <c r="AV111" i="31"/>
  <c r="AU176" i="31"/>
  <c r="AX118" i="31"/>
  <c r="AW183" i="31"/>
  <c r="AX112" i="31"/>
  <c r="AW177" i="31"/>
  <c r="AV119" i="31"/>
  <c r="AU184" i="31"/>
  <c r="AV94" i="31"/>
  <c r="AU159" i="31"/>
  <c r="AV85" i="31"/>
  <c r="AU150" i="31"/>
  <c r="AV82" i="31"/>
  <c r="AU147" i="31"/>
  <c r="AV87" i="31"/>
  <c r="AU152" i="31"/>
  <c r="AV95" i="31"/>
  <c r="AU160" i="31"/>
  <c r="AV134" i="31"/>
  <c r="AU199" i="31"/>
  <c r="AV83" i="31"/>
  <c r="AU148" i="31"/>
  <c r="J61" i="52"/>
  <c r="G61" i="52"/>
  <c r="G62" i="52" s="1"/>
  <c r="H61" i="52"/>
  <c r="K61" i="52"/>
  <c r="I61" i="52"/>
  <c r="W114" i="15"/>
  <c r="AE114" i="13"/>
  <c r="V114" i="15" s="1"/>
  <c r="C114" i="15"/>
  <c r="C115" i="15" s="1"/>
  <c r="P115" i="15"/>
  <c r="H115" i="15"/>
  <c r="N115" i="15"/>
  <c r="G115" i="15"/>
  <c r="O115" i="15"/>
  <c r="B115" i="15"/>
  <c r="D115" i="15"/>
  <c r="E115" i="15"/>
  <c r="F115" i="15"/>
  <c r="I115" i="15"/>
  <c r="J115" i="15"/>
  <c r="K115" i="15"/>
  <c r="L115" i="15"/>
  <c r="M115" i="15"/>
  <c r="Q115" i="15"/>
  <c r="AA62" i="13"/>
  <c r="Y120" i="13"/>
  <c r="T120" i="13"/>
  <c r="O120" i="13"/>
  <c r="J120" i="13"/>
  <c r="E120" i="13"/>
  <c r="Y119" i="13"/>
  <c r="T119" i="13"/>
  <c r="O119" i="13"/>
  <c r="J119" i="13"/>
  <c r="E119" i="13"/>
  <c r="AA39" i="13"/>
  <c r="AA23" i="13"/>
  <c r="AA134" i="13" s="1"/>
  <c r="AA22" i="13"/>
  <c r="AA133" i="13" s="1"/>
  <c r="AC53" i="13"/>
  <c r="AD53" i="13" s="1"/>
  <c r="AF53" i="13" s="1"/>
  <c r="U55" i="15"/>
  <c r="T55" i="15"/>
  <c r="S55" i="15"/>
  <c r="R55" i="15"/>
  <c r="Q55" i="15"/>
  <c r="AD130" i="32" l="1"/>
  <c r="AD195" i="32" s="1"/>
  <c r="AE137" i="32"/>
  <c r="BB4" i="31"/>
  <c r="BA140" i="31"/>
  <c r="BA130" i="31"/>
  <c r="AZ195" i="31"/>
  <c r="AU201" i="31"/>
  <c r="AW83" i="31"/>
  <c r="AV148" i="31"/>
  <c r="AW95" i="31"/>
  <c r="AV160" i="31"/>
  <c r="AW82" i="31"/>
  <c r="AV147" i="31"/>
  <c r="AW94" i="31"/>
  <c r="AV159" i="31"/>
  <c r="AY112" i="31"/>
  <c r="AX177" i="31"/>
  <c r="AY177" i="31" s="1"/>
  <c r="Z177" i="32" s="1"/>
  <c r="AW111" i="31"/>
  <c r="AV176" i="31"/>
  <c r="AW99" i="31"/>
  <c r="AV164" i="31"/>
  <c r="AW125" i="31"/>
  <c r="AV190" i="31"/>
  <c r="AW121" i="31"/>
  <c r="AV186" i="31"/>
  <c r="AW77" i="31"/>
  <c r="AV142" i="31"/>
  <c r="AX109" i="31"/>
  <c r="AW174" i="31"/>
  <c r="AX101" i="31"/>
  <c r="AW166" i="31"/>
  <c r="AX110" i="31"/>
  <c r="AW175" i="31"/>
  <c r="AW124" i="31"/>
  <c r="AV189" i="31"/>
  <c r="AW131" i="31"/>
  <c r="AV196" i="31"/>
  <c r="AW107" i="31"/>
  <c r="AV172" i="31"/>
  <c r="AW84" i="31"/>
  <c r="AV149" i="31"/>
  <c r="AW126" i="31"/>
  <c r="AV191" i="31"/>
  <c r="AW88" i="31"/>
  <c r="AV153" i="31"/>
  <c r="AW129" i="31"/>
  <c r="AV194" i="31"/>
  <c r="AW103" i="31"/>
  <c r="AV168" i="31"/>
  <c r="AW115" i="31"/>
  <c r="AV180" i="31"/>
  <c r="AX80" i="31"/>
  <c r="AW145" i="31"/>
  <c r="AX105" i="31"/>
  <c r="AW170" i="31"/>
  <c r="AX120" i="31"/>
  <c r="AW185" i="31"/>
  <c r="AX132" i="31"/>
  <c r="AW197" i="31"/>
  <c r="AW134" i="31"/>
  <c r="AV199" i="31"/>
  <c r="AW85" i="31"/>
  <c r="AV150" i="31"/>
  <c r="AW119" i="31"/>
  <c r="AV184" i="31"/>
  <c r="AY118" i="31"/>
  <c r="AX183" i="31"/>
  <c r="AY183" i="31" s="1"/>
  <c r="Z183" i="32" s="1"/>
  <c r="AW96" i="31"/>
  <c r="AV161" i="31"/>
  <c r="AW114" i="31"/>
  <c r="AV179" i="31"/>
  <c r="AW116" i="31"/>
  <c r="AV181" i="31"/>
  <c r="AW100" i="31"/>
  <c r="AV165" i="31"/>
  <c r="AX97" i="31"/>
  <c r="AW162" i="31"/>
  <c r="AW106" i="31"/>
  <c r="AV171" i="31"/>
  <c r="AX128" i="31"/>
  <c r="AW193" i="31"/>
  <c r="AY108" i="31"/>
  <c r="AX173" i="31"/>
  <c r="AY173" i="31" s="1"/>
  <c r="Z173" i="32" s="1"/>
  <c r="AW123" i="31"/>
  <c r="AV188" i="31"/>
  <c r="AW122" i="31"/>
  <c r="AV187" i="31"/>
  <c r="AW117" i="31"/>
  <c r="AV182" i="31"/>
  <c r="AW113" i="31"/>
  <c r="AV178" i="31"/>
  <c r="AW87" i="31"/>
  <c r="AV152" i="31"/>
  <c r="AW86" i="31"/>
  <c r="AV151" i="31"/>
  <c r="AW89" i="31"/>
  <c r="AV154" i="31"/>
  <c r="AW133" i="31"/>
  <c r="AV198" i="31"/>
  <c r="AW98" i="31"/>
  <c r="AV163" i="31"/>
  <c r="AW104" i="31"/>
  <c r="AV169" i="31"/>
  <c r="AX90" i="31"/>
  <c r="AW155" i="31"/>
  <c r="AW127" i="31"/>
  <c r="AV192" i="31"/>
  <c r="AX102" i="31"/>
  <c r="AW167" i="31"/>
  <c r="AY79" i="31"/>
  <c r="AX144" i="31"/>
  <c r="AY144" i="31" s="1"/>
  <c r="Z144" i="32" s="1"/>
  <c r="K62" i="52"/>
  <c r="H62" i="52"/>
  <c r="J62" i="52"/>
  <c r="I62" i="52"/>
  <c r="AE10" i="17"/>
  <c r="AE18" i="17"/>
  <c r="E130" i="13"/>
  <c r="E62" i="13" s="1"/>
  <c r="Y130" i="13"/>
  <c r="Y62" i="13" s="1"/>
  <c r="O130" i="13"/>
  <c r="O62" i="13" s="1"/>
  <c r="J130" i="13"/>
  <c r="J62" i="13" s="1"/>
  <c r="T130" i="13"/>
  <c r="T62" i="13" s="1"/>
  <c r="AC114" i="15"/>
  <c r="AD114" i="15" s="1"/>
  <c r="AE114" i="15" s="1"/>
  <c r="AF114" i="15" s="1"/>
  <c r="AH53" i="13"/>
  <c r="AI53" i="13" s="1"/>
  <c r="AE53" i="13"/>
  <c r="AE130" i="32" l="1"/>
  <c r="AE195" i="32" s="1"/>
  <c r="AF137" i="32"/>
  <c r="AF130" i="32" s="1"/>
  <c r="AF195" i="32" s="1"/>
  <c r="Z108" i="32"/>
  <c r="AZ108" i="31"/>
  <c r="Z118" i="32"/>
  <c r="AZ118" i="31"/>
  <c r="BC4" i="31"/>
  <c r="BB140" i="31"/>
  <c r="Z79" i="32"/>
  <c r="AZ79" i="31"/>
  <c r="Z112" i="32"/>
  <c r="AZ112" i="31"/>
  <c r="BA195" i="31"/>
  <c r="BB130" i="31"/>
  <c r="AX133" i="31"/>
  <c r="AW198" i="31"/>
  <c r="AX113" i="31"/>
  <c r="AW178" i="31"/>
  <c r="AX122" i="31"/>
  <c r="AW187" i="31"/>
  <c r="AX106" i="31"/>
  <c r="AW171" i="31"/>
  <c r="AX100" i="31"/>
  <c r="AW165" i="31"/>
  <c r="AX114" i="31"/>
  <c r="AW179" i="31"/>
  <c r="AX85" i="31"/>
  <c r="AW150" i="31"/>
  <c r="AY132" i="31"/>
  <c r="AX197" i="31"/>
  <c r="AY197" i="31" s="1"/>
  <c r="Z197" i="32" s="1"/>
  <c r="AY105" i="31"/>
  <c r="AX170" i="31"/>
  <c r="AY170" i="31" s="1"/>
  <c r="Z170" i="32" s="1"/>
  <c r="AX115" i="31"/>
  <c r="AW180" i="31"/>
  <c r="AX129" i="31"/>
  <c r="AW194" i="31"/>
  <c r="AX126" i="31"/>
  <c r="AW191" i="31"/>
  <c r="AX107" i="31"/>
  <c r="AW172" i="31"/>
  <c r="AX124" i="31"/>
  <c r="AW189" i="31"/>
  <c r="AY101" i="31"/>
  <c r="AX166" i="31"/>
  <c r="AY166" i="31" s="1"/>
  <c r="Z166" i="32" s="1"/>
  <c r="AX77" i="31"/>
  <c r="AW142" i="31"/>
  <c r="AX125" i="31"/>
  <c r="AW190" i="31"/>
  <c r="AX111" i="31"/>
  <c r="AW176" i="31"/>
  <c r="AX94" i="31"/>
  <c r="AW159" i="31"/>
  <c r="AX95" i="31"/>
  <c r="AW160" i="31"/>
  <c r="AX127" i="31"/>
  <c r="AW192" i="31"/>
  <c r="AX86" i="31"/>
  <c r="AW151" i="31"/>
  <c r="AY102" i="31"/>
  <c r="AX167" i="31"/>
  <c r="AY167" i="31" s="1"/>
  <c r="Z167" i="32" s="1"/>
  <c r="AY90" i="31"/>
  <c r="AX155" i="31"/>
  <c r="AY155" i="31" s="1"/>
  <c r="Z155" i="32" s="1"/>
  <c r="AX98" i="31"/>
  <c r="AW163" i="31"/>
  <c r="AX89" i="31"/>
  <c r="AW154" i="31"/>
  <c r="AX104" i="31"/>
  <c r="AW169" i="31"/>
  <c r="AX87" i="31"/>
  <c r="AW152" i="31"/>
  <c r="AX117" i="31"/>
  <c r="AW182" i="31"/>
  <c r="AX123" i="31"/>
  <c r="AW188" i="31"/>
  <c r="AY128" i="31"/>
  <c r="AX193" i="31"/>
  <c r="AY193" i="31" s="1"/>
  <c r="Z193" i="32" s="1"/>
  <c r="AY97" i="31"/>
  <c r="AX162" i="31"/>
  <c r="AY162" i="31" s="1"/>
  <c r="Z162" i="32" s="1"/>
  <c r="AX116" i="31"/>
  <c r="AW181" i="31"/>
  <c r="AX96" i="31"/>
  <c r="AW161" i="31"/>
  <c r="AX119" i="31"/>
  <c r="AW184" i="31"/>
  <c r="AX134" i="31"/>
  <c r="AW199" i="31"/>
  <c r="AY120" i="31"/>
  <c r="AX185" i="31"/>
  <c r="AY185" i="31" s="1"/>
  <c r="Z185" i="32" s="1"/>
  <c r="AY80" i="31"/>
  <c r="AX145" i="31"/>
  <c r="AY145" i="31" s="1"/>
  <c r="Z145" i="32" s="1"/>
  <c r="AX103" i="31"/>
  <c r="AW168" i="31"/>
  <c r="AX88" i="31"/>
  <c r="AW153" i="31"/>
  <c r="AX84" i="31"/>
  <c r="AW149" i="31"/>
  <c r="AX131" i="31"/>
  <c r="AW196" i="31"/>
  <c r="AY110" i="31"/>
  <c r="AX175" i="31"/>
  <c r="AY175" i="31" s="1"/>
  <c r="Z175" i="32" s="1"/>
  <c r="AY109" i="31"/>
  <c r="AX174" i="31"/>
  <c r="AY174" i="31" s="1"/>
  <c r="Z174" i="32" s="1"/>
  <c r="AX121" i="31"/>
  <c r="AW186" i="31"/>
  <c r="AX99" i="31"/>
  <c r="AW164" i="31"/>
  <c r="AX82" i="31"/>
  <c r="AW147" i="31"/>
  <c r="AX83" i="31"/>
  <c r="AW148" i="31"/>
  <c r="AJ53" i="13"/>
  <c r="AK53" i="13"/>
  <c r="AO53" i="13" s="1"/>
  <c r="X53" i="15" s="1"/>
  <c r="V10" i="18"/>
  <c r="V18" i="18"/>
  <c r="Z120" i="32" l="1"/>
  <c r="AZ120" i="31"/>
  <c r="Z109" i="32"/>
  <c r="AZ109" i="31"/>
  <c r="Z80" i="32"/>
  <c r="AZ80" i="31"/>
  <c r="Z97" i="32"/>
  <c r="AZ97" i="31"/>
  <c r="Z90" i="32"/>
  <c r="AZ90" i="31"/>
  <c r="Z132" i="32"/>
  <c r="AZ132" i="31"/>
  <c r="BA112" i="31"/>
  <c r="AZ177" i="31"/>
  <c r="AZ173" i="31"/>
  <c r="BA108" i="31"/>
  <c r="Z128" i="32"/>
  <c r="AZ128" i="31"/>
  <c r="Z101" i="32"/>
  <c r="AZ101" i="31"/>
  <c r="Z105" i="32"/>
  <c r="AZ105" i="31"/>
  <c r="BD4" i="31"/>
  <c r="BC140" i="31"/>
  <c r="BD140" i="31" s="1"/>
  <c r="AA140" i="32" s="1"/>
  <c r="Z110" i="32"/>
  <c r="AZ110" i="31"/>
  <c r="Z102" i="32"/>
  <c r="AZ102" i="31"/>
  <c r="BB195" i="31"/>
  <c r="BC130" i="31"/>
  <c r="AZ144" i="31"/>
  <c r="BA79" i="31"/>
  <c r="AZ183" i="31"/>
  <c r="BA118" i="31"/>
  <c r="AW201" i="31"/>
  <c r="AY99" i="31"/>
  <c r="AX164" i="31"/>
  <c r="AY164" i="31" s="1"/>
  <c r="Z164" i="32" s="1"/>
  <c r="AY89" i="31"/>
  <c r="AX154" i="31"/>
  <c r="AY154" i="31" s="1"/>
  <c r="Z154" i="32" s="1"/>
  <c r="AY115" i="31"/>
  <c r="AX180" i="31"/>
  <c r="AY180" i="31" s="1"/>
  <c r="Z180" i="32" s="1"/>
  <c r="AY83" i="31"/>
  <c r="AX148" i="31"/>
  <c r="AY148" i="31" s="1"/>
  <c r="Z148" i="32" s="1"/>
  <c r="AY131" i="31"/>
  <c r="AX196" i="31"/>
  <c r="AY196" i="31" s="1"/>
  <c r="Z196" i="32" s="1"/>
  <c r="AY134" i="31"/>
  <c r="AX199" i="31"/>
  <c r="AY199" i="31" s="1"/>
  <c r="Z199" i="32" s="1"/>
  <c r="AY96" i="31"/>
  <c r="AX161" i="31"/>
  <c r="AY161" i="31" s="1"/>
  <c r="Z161" i="32" s="1"/>
  <c r="AY87" i="31"/>
  <c r="AX152" i="31"/>
  <c r="AY152" i="31" s="1"/>
  <c r="Z152" i="32" s="1"/>
  <c r="AY86" i="31"/>
  <c r="AX151" i="31"/>
  <c r="AY151" i="31" s="1"/>
  <c r="Z151" i="32" s="1"/>
  <c r="AY95" i="31"/>
  <c r="AX160" i="31"/>
  <c r="AY160" i="31" s="1"/>
  <c r="Z160" i="32" s="1"/>
  <c r="AY111" i="31"/>
  <c r="AX176" i="31"/>
  <c r="AY176" i="31" s="1"/>
  <c r="Z176" i="32" s="1"/>
  <c r="AY77" i="31"/>
  <c r="AX142" i="31"/>
  <c r="AY124" i="31"/>
  <c r="AX189" i="31"/>
  <c r="AY189" i="31" s="1"/>
  <c r="Z189" i="32" s="1"/>
  <c r="AY114" i="31"/>
  <c r="AX179" i="31"/>
  <c r="AY179" i="31" s="1"/>
  <c r="Z179" i="32" s="1"/>
  <c r="AY106" i="31"/>
  <c r="AX171" i="31"/>
  <c r="AY171" i="31" s="1"/>
  <c r="Z171" i="32" s="1"/>
  <c r="AY113" i="31"/>
  <c r="AX178" i="31"/>
  <c r="AY178" i="31" s="1"/>
  <c r="Z178" i="32" s="1"/>
  <c r="AY82" i="31"/>
  <c r="AX147" i="31"/>
  <c r="AY147" i="31" s="1"/>
  <c r="Z147" i="32" s="1"/>
  <c r="AY121" i="31"/>
  <c r="AX186" i="31"/>
  <c r="AY186" i="31" s="1"/>
  <c r="Z186" i="32" s="1"/>
  <c r="AY84" i="31"/>
  <c r="AX149" i="31"/>
  <c r="AY149" i="31" s="1"/>
  <c r="Z149" i="32" s="1"/>
  <c r="AY103" i="31"/>
  <c r="AX168" i="31"/>
  <c r="AY168" i="31" s="1"/>
  <c r="Z168" i="32" s="1"/>
  <c r="AY119" i="31"/>
  <c r="AX184" i="31"/>
  <c r="AY184" i="31" s="1"/>
  <c r="Z184" i="32" s="1"/>
  <c r="AY116" i="31"/>
  <c r="AX181" i="31"/>
  <c r="AY181" i="31" s="1"/>
  <c r="Z181" i="32" s="1"/>
  <c r="AY117" i="31"/>
  <c r="AX182" i="31"/>
  <c r="AY182" i="31" s="1"/>
  <c r="Z182" i="32" s="1"/>
  <c r="AY104" i="31"/>
  <c r="AX169" i="31"/>
  <c r="AY169" i="31" s="1"/>
  <c r="Z169" i="32" s="1"/>
  <c r="AY98" i="31"/>
  <c r="AX163" i="31"/>
  <c r="AY163" i="31" s="1"/>
  <c r="Z163" i="32" s="1"/>
  <c r="AY127" i="31"/>
  <c r="AX192" i="31"/>
  <c r="AY192" i="31" s="1"/>
  <c r="Z192" i="32" s="1"/>
  <c r="AY94" i="31"/>
  <c r="AX159" i="31"/>
  <c r="AY159" i="31" s="1"/>
  <c r="Z159" i="32" s="1"/>
  <c r="AY125" i="31"/>
  <c r="AX190" i="31"/>
  <c r="AY190" i="31" s="1"/>
  <c r="Z190" i="32" s="1"/>
  <c r="AY107" i="31"/>
  <c r="AX172" i="31"/>
  <c r="AY172" i="31" s="1"/>
  <c r="Z172" i="32" s="1"/>
  <c r="AY129" i="31"/>
  <c r="AX194" i="31"/>
  <c r="AY194" i="31" s="1"/>
  <c r="Z194" i="32" s="1"/>
  <c r="AY85" i="31"/>
  <c r="AX150" i="31"/>
  <c r="AY150" i="31" s="1"/>
  <c r="Z150" i="32" s="1"/>
  <c r="AY100" i="31"/>
  <c r="AX165" i="31"/>
  <c r="AY165" i="31" s="1"/>
  <c r="Z165" i="32" s="1"/>
  <c r="AY122" i="31"/>
  <c r="AX187" i="31"/>
  <c r="AY187" i="31" s="1"/>
  <c r="Z187" i="32" s="1"/>
  <c r="AY133" i="31"/>
  <c r="AX198" i="31"/>
  <c r="AY198" i="31" s="1"/>
  <c r="Z198" i="32" s="1"/>
  <c r="AY88" i="31"/>
  <c r="AX153" i="31"/>
  <c r="AY153" i="31" s="1"/>
  <c r="Z153" i="32" s="1"/>
  <c r="AY123" i="31"/>
  <c r="AX188" i="31"/>
  <c r="AY188" i="31" s="1"/>
  <c r="Z188" i="32" s="1"/>
  <c r="AY126" i="31"/>
  <c r="AX191" i="31"/>
  <c r="AY191" i="31" s="1"/>
  <c r="Z191" i="32" s="1"/>
  <c r="E67" i="13"/>
  <c r="J67" i="13"/>
  <c r="O67" i="13"/>
  <c r="T67" i="13"/>
  <c r="Y67" i="13"/>
  <c r="W67" i="15"/>
  <c r="AD67" i="13"/>
  <c r="AE67" i="13" s="1"/>
  <c r="V67" i="15" s="1"/>
  <c r="U67" i="15"/>
  <c r="T67" i="15"/>
  <c r="S67" i="15"/>
  <c r="R67" i="15"/>
  <c r="Q67" i="15"/>
  <c r="A67" i="15"/>
  <c r="AD66" i="13"/>
  <c r="AE66" i="13" s="1"/>
  <c r="E19" i="13"/>
  <c r="AJ19" i="13"/>
  <c r="AE19" i="13"/>
  <c r="Y19" i="13"/>
  <c r="T19" i="13"/>
  <c r="O19" i="13"/>
  <c r="J19" i="13"/>
  <c r="AJ18" i="13"/>
  <c r="AE18" i="13"/>
  <c r="Y18" i="13"/>
  <c r="T18" i="13"/>
  <c r="O18" i="13"/>
  <c r="J18" i="13"/>
  <c r="AJ17" i="13"/>
  <c r="AE17" i="13"/>
  <c r="Y17" i="13"/>
  <c r="T17" i="13"/>
  <c r="O17" i="13"/>
  <c r="J17" i="13"/>
  <c r="AJ9" i="13"/>
  <c r="AE9" i="13"/>
  <c r="AJ8" i="13"/>
  <c r="AJ7" i="13"/>
  <c r="AA4" i="32" l="1"/>
  <c r="BE4" i="31"/>
  <c r="AX201" i="31"/>
  <c r="Z126" i="32"/>
  <c r="AZ126" i="31"/>
  <c r="Z88" i="32"/>
  <c r="AZ88" i="31"/>
  <c r="Z122" i="32"/>
  <c r="AZ122" i="31"/>
  <c r="Z85" i="32"/>
  <c r="AZ85" i="31"/>
  <c r="Z107" i="32"/>
  <c r="AZ107" i="31"/>
  <c r="Z94" i="32"/>
  <c r="AZ94" i="31"/>
  <c r="Z98" i="32"/>
  <c r="AZ98" i="31"/>
  <c r="Z117" i="32"/>
  <c r="AZ117" i="31"/>
  <c r="Z119" i="32"/>
  <c r="AZ119" i="31"/>
  <c r="Z84" i="32"/>
  <c r="AZ84" i="31"/>
  <c r="Z82" i="32"/>
  <c r="AZ82" i="31"/>
  <c r="Z106" i="32"/>
  <c r="AZ106" i="31"/>
  <c r="Z124" i="32"/>
  <c r="AZ124" i="31"/>
  <c r="Z111" i="32"/>
  <c r="AZ111" i="31"/>
  <c r="Z86" i="32"/>
  <c r="AZ86" i="31"/>
  <c r="Z96" i="32"/>
  <c r="AZ96" i="31"/>
  <c r="Z131" i="32"/>
  <c r="AZ131" i="31"/>
  <c r="Z115" i="32"/>
  <c r="AZ115" i="31"/>
  <c r="Z99" i="32"/>
  <c r="AZ99" i="31"/>
  <c r="BA183" i="31"/>
  <c r="BB118" i="31"/>
  <c r="BD130" i="31"/>
  <c r="BC195" i="31"/>
  <c r="BD195" i="31" s="1"/>
  <c r="AA195" i="32" s="1"/>
  <c r="BA110" i="31"/>
  <c r="AZ175" i="31"/>
  <c r="AZ170" i="31"/>
  <c r="BA105" i="31"/>
  <c r="BA128" i="31"/>
  <c r="AZ193" i="31"/>
  <c r="AZ197" i="31"/>
  <c r="BA132" i="31"/>
  <c r="BA97" i="31"/>
  <c r="AZ162" i="31"/>
  <c r="AZ174" i="31"/>
  <c r="BA109" i="31"/>
  <c r="Z123" i="32"/>
  <c r="AZ123" i="31"/>
  <c r="Z133" i="32"/>
  <c r="AZ133" i="31"/>
  <c r="Z100" i="32"/>
  <c r="AZ100" i="31"/>
  <c r="Z129" i="32"/>
  <c r="AZ129" i="31"/>
  <c r="Z125" i="32"/>
  <c r="AZ125" i="31"/>
  <c r="Z127" i="32"/>
  <c r="AZ127" i="31"/>
  <c r="Z104" i="32"/>
  <c r="AZ104" i="31"/>
  <c r="Z116" i="32"/>
  <c r="AZ116" i="31"/>
  <c r="Z103" i="32"/>
  <c r="AZ103" i="31"/>
  <c r="Z121" i="32"/>
  <c r="AZ121" i="31"/>
  <c r="Z113" i="32"/>
  <c r="AZ113" i="31"/>
  <c r="Z114" i="32"/>
  <c r="AZ114" i="31"/>
  <c r="Z77" i="32"/>
  <c r="AZ77" i="31"/>
  <c r="Z95" i="32"/>
  <c r="AZ95" i="31"/>
  <c r="Z87" i="32"/>
  <c r="AZ87" i="31"/>
  <c r="Z134" i="32"/>
  <c r="AZ134" i="31"/>
  <c r="Z83" i="32"/>
  <c r="AZ83" i="31"/>
  <c r="Z89" i="32"/>
  <c r="AZ89" i="31"/>
  <c r="BB79" i="31"/>
  <c r="BA144" i="31"/>
  <c r="BA102" i="31"/>
  <c r="AZ167" i="31"/>
  <c r="BA101" i="31"/>
  <c r="AZ166" i="31"/>
  <c r="BB108" i="31"/>
  <c r="BA173" i="31"/>
  <c r="AZ155" i="31"/>
  <c r="BA90" i="31"/>
  <c r="BA80" i="31"/>
  <c r="AZ145" i="31"/>
  <c r="AZ185" i="31"/>
  <c r="BA120" i="31"/>
  <c r="BB112" i="31"/>
  <c r="BA177" i="31"/>
  <c r="AY142" i="31"/>
  <c r="AE25" i="13"/>
  <c r="AC28" i="13"/>
  <c r="AD28" i="13" s="1"/>
  <c r="AE27" i="13"/>
  <c r="Y8" i="13"/>
  <c r="Y7" i="13"/>
  <c r="T8" i="13"/>
  <c r="T7" i="13"/>
  <c r="O8" i="13"/>
  <c r="O7" i="13"/>
  <c r="J8" i="13"/>
  <c r="J7" i="13"/>
  <c r="AA130" i="32" l="1"/>
  <c r="BE130" i="31"/>
  <c r="BF4" i="31"/>
  <c r="BE140" i="31"/>
  <c r="BB177" i="31"/>
  <c r="BC112" i="31"/>
  <c r="BB80" i="31"/>
  <c r="BA145" i="31"/>
  <c r="BB173" i="31"/>
  <c r="BC108" i="31"/>
  <c r="BA89" i="31"/>
  <c r="AZ154" i="31"/>
  <c r="AZ199" i="31"/>
  <c r="BA134" i="31"/>
  <c r="AZ160" i="31"/>
  <c r="BA95" i="31"/>
  <c r="BA114" i="31"/>
  <c r="AZ179" i="31"/>
  <c r="BA121" i="31"/>
  <c r="AZ186" i="31"/>
  <c r="BA116" i="31"/>
  <c r="AZ181" i="31"/>
  <c r="BA127" i="31"/>
  <c r="AZ192" i="31"/>
  <c r="AZ194" i="31"/>
  <c r="BA129" i="31"/>
  <c r="AZ198" i="31"/>
  <c r="BA133" i="31"/>
  <c r="BA174" i="31"/>
  <c r="BB109" i="31"/>
  <c r="BA197" i="31"/>
  <c r="BB132" i="31"/>
  <c r="BB105" i="31"/>
  <c r="BA170" i="31"/>
  <c r="BB120" i="31"/>
  <c r="BA185" i="31"/>
  <c r="BA155" i="31"/>
  <c r="BB90" i="31"/>
  <c r="BA167" i="31"/>
  <c r="BB102" i="31"/>
  <c r="AZ164" i="31"/>
  <c r="BA99" i="31"/>
  <c r="BA131" i="31"/>
  <c r="AZ196" i="31"/>
  <c r="AZ151" i="31"/>
  <c r="BA86" i="31"/>
  <c r="BA124" i="31"/>
  <c r="AZ189" i="31"/>
  <c r="AZ147" i="31"/>
  <c r="BA82" i="31"/>
  <c r="AZ184" i="31"/>
  <c r="BA119" i="31"/>
  <c r="AZ163" i="31"/>
  <c r="BA98" i="31"/>
  <c r="BA107" i="31"/>
  <c r="AZ172" i="31"/>
  <c r="BA122" i="31"/>
  <c r="AZ187" i="31"/>
  <c r="BA126" i="31"/>
  <c r="AZ191" i="31"/>
  <c r="BA166" i="31"/>
  <c r="BB101" i="31"/>
  <c r="BA83" i="31"/>
  <c r="AZ148" i="31"/>
  <c r="BA87" i="31"/>
  <c r="AZ152" i="31"/>
  <c r="BA77" i="31"/>
  <c r="AZ142" i="31"/>
  <c r="BA113" i="31"/>
  <c r="AZ178" i="31"/>
  <c r="AZ168" i="31"/>
  <c r="BA103" i="31"/>
  <c r="AZ169" i="31"/>
  <c r="BA104" i="31"/>
  <c r="BA125" i="31"/>
  <c r="AZ190" i="31"/>
  <c r="BA100" i="31"/>
  <c r="AZ165" i="31"/>
  <c r="AZ188" i="31"/>
  <c r="BA123" i="31"/>
  <c r="BB183" i="31"/>
  <c r="BC118" i="31"/>
  <c r="BB144" i="31"/>
  <c r="BC79" i="31"/>
  <c r="BB97" i="31"/>
  <c r="BA162" i="31"/>
  <c r="BA193" i="31"/>
  <c r="BB128" i="31"/>
  <c r="BB110" i="31"/>
  <c r="BA175" i="31"/>
  <c r="BA115" i="31"/>
  <c r="AZ180" i="31"/>
  <c r="BA96" i="31"/>
  <c r="AZ161" i="31"/>
  <c r="AZ176" i="31"/>
  <c r="BA111" i="31"/>
  <c r="BA106" i="31"/>
  <c r="AZ171" i="31"/>
  <c r="BA84" i="31"/>
  <c r="AZ149" i="31"/>
  <c r="AZ182" i="31"/>
  <c r="BA117" i="31"/>
  <c r="AZ159" i="31"/>
  <c r="BA94" i="31"/>
  <c r="BA85" i="31"/>
  <c r="AZ150" i="31"/>
  <c r="BA88" i="31"/>
  <c r="AZ153" i="31"/>
  <c r="Z142" i="32"/>
  <c r="W18" i="18"/>
  <c r="W10" i="18"/>
  <c r="AE29" i="13"/>
  <c r="AE28" i="13"/>
  <c r="BG4" i="31" l="1"/>
  <c r="BF140" i="31"/>
  <c r="BF130" i="31"/>
  <c r="BE195" i="31"/>
  <c r="AZ201" i="31"/>
  <c r="BB85" i="31"/>
  <c r="BA150" i="31"/>
  <c r="BB106" i="31"/>
  <c r="BA171" i="31"/>
  <c r="BB96" i="31"/>
  <c r="BA161" i="31"/>
  <c r="BC110" i="31"/>
  <c r="BB175" i="31"/>
  <c r="BC97" i="31"/>
  <c r="BB162" i="31"/>
  <c r="BD118" i="31"/>
  <c r="BC183" i="31"/>
  <c r="BD183" i="31" s="1"/>
  <c r="AA183" i="32" s="1"/>
  <c r="BA190" i="31"/>
  <c r="BB125" i="31"/>
  <c r="BB77" i="31"/>
  <c r="BA142" i="31"/>
  <c r="BB83" i="31"/>
  <c r="BA148" i="31"/>
  <c r="BA191" i="31"/>
  <c r="BB126" i="31"/>
  <c r="BB107" i="31"/>
  <c r="BA172" i="31"/>
  <c r="BB124" i="31"/>
  <c r="BA189" i="31"/>
  <c r="BA196" i="31"/>
  <c r="BB131" i="31"/>
  <c r="BB167" i="31"/>
  <c r="BC102" i="31"/>
  <c r="BC132" i="31"/>
  <c r="BB197" i="31"/>
  <c r="BB133" i="31"/>
  <c r="BA198" i="31"/>
  <c r="BB95" i="31"/>
  <c r="BA160" i="31"/>
  <c r="BA164" i="31"/>
  <c r="BB99" i="31"/>
  <c r="BC120" i="31"/>
  <c r="BB185" i="31"/>
  <c r="BB127" i="31"/>
  <c r="BA192" i="31"/>
  <c r="BB121" i="31"/>
  <c r="BA186" i="31"/>
  <c r="BA154" i="31"/>
  <c r="BB89" i="31"/>
  <c r="BC80" i="31"/>
  <c r="BB145" i="31"/>
  <c r="BA159" i="31"/>
  <c r="BB94" i="31"/>
  <c r="BD79" i="31"/>
  <c r="BC144" i="31"/>
  <c r="BD144" i="31" s="1"/>
  <c r="AA144" i="32" s="1"/>
  <c r="BB104" i="31"/>
  <c r="BA169" i="31"/>
  <c r="BC101" i="31"/>
  <c r="BB166" i="31"/>
  <c r="BB82" i="31"/>
  <c r="BA147" i="31"/>
  <c r="BA151" i="31"/>
  <c r="BB86" i="31"/>
  <c r="BB88" i="31"/>
  <c r="BA153" i="31"/>
  <c r="BB84" i="31"/>
  <c r="BA149" i="31"/>
  <c r="BA180" i="31"/>
  <c r="BB115" i="31"/>
  <c r="BB100" i="31"/>
  <c r="BA165" i="31"/>
  <c r="BB113" i="31"/>
  <c r="BA178" i="31"/>
  <c r="BA152" i="31"/>
  <c r="BB87" i="31"/>
  <c r="BA187" i="31"/>
  <c r="BB122" i="31"/>
  <c r="BB155" i="31"/>
  <c r="BC90" i="31"/>
  <c r="BB174" i="31"/>
  <c r="BC109" i="31"/>
  <c r="BA194" i="31"/>
  <c r="BB129" i="31"/>
  <c r="BB134" i="31"/>
  <c r="BA199" i="31"/>
  <c r="BC173" i="31"/>
  <c r="BD173" i="31" s="1"/>
  <c r="AA173" i="32" s="1"/>
  <c r="BD108" i="31"/>
  <c r="BD112" i="31"/>
  <c r="BC177" i="31"/>
  <c r="BD177" i="31" s="1"/>
  <c r="AA177" i="32" s="1"/>
  <c r="BA176" i="31"/>
  <c r="BB111" i="31"/>
  <c r="BB193" i="31"/>
  <c r="BC128" i="31"/>
  <c r="BA163" i="31"/>
  <c r="BB98" i="31"/>
  <c r="BA182" i="31"/>
  <c r="BB117" i="31"/>
  <c r="BA188" i="31"/>
  <c r="BB123" i="31"/>
  <c r="BA168" i="31"/>
  <c r="BB103" i="31"/>
  <c r="BA184" i="31"/>
  <c r="BB119" i="31"/>
  <c r="BC105" i="31"/>
  <c r="BB170" i="31"/>
  <c r="BB116" i="31"/>
  <c r="BA181" i="31"/>
  <c r="BB114" i="31"/>
  <c r="BA179" i="31"/>
  <c r="AA108" i="32" l="1"/>
  <c r="BE108" i="31"/>
  <c r="AA112" i="32"/>
  <c r="BE112" i="31"/>
  <c r="AA118" i="32"/>
  <c r="BE118" i="31"/>
  <c r="AA79" i="32"/>
  <c r="BE79" i="31"/>
  <c r="BG130" i="31"/>
  <c r="BF195" i="31"/>
  <c r="BH4" i="31"/>
  <c r="BG140" i="31"/>
  <c r="BA201" i="31"/>
  <c r="BB188" i="31"/>
  <c r="BC123" i="31"/>
  <c r="BC98" i="31"/>
  <c r="BB163" i="31"/>
  <c r="BB176" i="31"/>
  <c r="BC111" i="31"/>
  <c r="BB199" i="31"/>
  <c r="BC134" i="31"/>
  <c r="BC174" i="31"/>
  <c r="BD174" i="31" s="1"/>
  <c r="AA174" i="32" s="1"/>
  <c r="BD109" i="31"/>
  <c r="BB165" i="31"/>
  <c r="BC100" i="31"/>
  <c r="BC84" i="31"/>
  <c r="BB149" i="31"/>
  <c r="BD101" i="31"/>
  <c r="BC166" i="31"/>
  <c r="BD166" i="31" s="1"/>
  <c r="AA166" i="32" s="1"/>
  <c r="BB198" i="31"/>
  <c r="BC133" i="31"/>
  <c r="BB189" i="31"/>
  <c r="BC124" i="31"/>
  <c r="BC77" i="31"/>
  <c r="BB142" i="31"/>
  <c r="BC175" i="31"/>
  <c r="BD175" i="31" s="1"/>
  <c r="AA175" i="32" s="1"/>
  <c r="BD110" i="31"/>
  <c r="BB171" i="31"/>
  <c r="BC106" i="31"/>
  <c r="BC114" i="31"/>
  <c r="BB179" i="31"/>
  <c r="BD105" i="31"/>
  <c r="BC170" i="31"/>
  <c r="BD170" i="31" s="1"/>
  <c r="AA170" i="32" s="1"/>
  <c r="BB168" i="31"/>
  <c r="BC103" i="31"/>
  <c r="BB187" i="31"/>
  <c r="BC122" i="31"/>
  <c r="BB180" i="31"/>
  <c r="BC115" i="31"/>
  <c r="BC145" i="31"/>
  <c r="BD145" i="31" s="1"/>
  <c r="AA145" i="32" s="1"/>
  <c r="BD80" i="31"/>
  <c r="BB186" i="31"/>
  <c r="BC121" i="31"/>
  <c r="BC185" i="31"/>
  <c r="BD185" i="31" s="1"/>
  <c r="AA185" i="32" s="1"/>
  <c r="BD120" i="31"/>
  <c r="BB160" i="31"/>
  <c r="BC95" i="31"/>
  <c r="BB196" i="31"/>
  <c r="BC131" i="31"/>
  <c r="BB190" i="31"/>
  <c r="BC125" i="31"/>
  <c r="BB184" i="31"/>
  <c r="BC119" i="31"/>
  <c r="BB182" i="31"/>
  <c r="BC117" i="31"/>
  <c r="BC193" i="31"/>
  <c r="BD193" i="31" s="1"/>
  <c r="AA193" i="32" s="1"/>
  <c r="BD128" i="31"/>
  <c r="BB194" i="31"/>
  <c r="BC129" i="31"/>
  <c r="BC155" i="31"/>
  <c r="BD155" i="31" s="1"/>
  <c r="AA155" i="32" s="1"/>
  <c r="BD90" i="31"/>
  <c r="BB178" i="31"/>
  <c r="BC113" i="31"/>
  <c r="BC88" i="31"/>
  <c r="BB153" i="31"/>
  <c r="BB147" i="31"/>
  <c r="BC82" i="31"/>
  <c r="BC104" i="31"/>
  <c r="BB169" i="31"/>
  <c r="BC94" i="31"/>
  <c r="BB159" i="31"/>
  <c r="BC89" i="31"/>
  <c r="BB154" i="31"/>
  <c r="BB164" i="31"/>
  <c r="BC99" i="31"/>
  <c r="BC197" i="31"/>
  <c r="BD197" i="31" s="1"/>
  <c r="AA197" i="32" s="1"/>
  <c r="BD132" i="31"/>
  <c r="BB172" i="31"/>
  <c r="BC107" i="31"/>
  <c r="BB148" i="31"/>
  <c r="BC83" i="31"/>
  <c r="BC162" i="31"/>
  <c r="BD162" i="31" s="1"/>
  <c r="AA162" i="32" s="1"/>
  <c r="BD97" i="31"/>
  <c r="BB161" i="31"/>
  <c r="BC96" i="31"/>
  <c r="BB150" i="31"/>
  <c r="BC85" i="31"/>
  <c r="BC116" i="31"/>
  <c r="BB181" i="31"/>
  <c r="BB152" i="31"/>
  <c r="BC87" i="31"/>
  <c r="BB151" i="31"/>
  <c r="BC86" i="31"/>
  <c r="BC127" i="31"/>
  <c r="BB192" i="31"/>
  <c r="BC167" i="31"/>
  <c r="BD167" i="31" s="1"/>
  <c r="AA167" i="32" s="1"/>
  <c r="BD102" i="31"/>
  <c r="BB191" i="31"/>
  <c r="BC126" i="31"/>
  <c r="Y32" i="14"/>
  <c r="T32" i="14"/>
  <c r="O32" i="14"/>
  <c r="J32" i="14"/>
  <c r="E32" i="14"/>
  <c r="E10" i="14"/>
  <c r="J10" i="14"/>
  <c r="O10" i="14"/>
  <c r="T10" i="14"/>
  <c r="Y10" i="14"/>
  <c r="Y7" i="14"/>
  <c r="T7" i="14"/>
  <c r="O7" i="14"/>
  <c r="J7" i="14"/>
  <c r="E7" i="14"/>
  <c r="F13" i="16"/>
  <c r="E13" i="16"/>
  <c r="D13" i="16"/>
  <c r="U56" i="18"/>
  <c r="T56" i="18"/>
  <c r="S56" i="18"/>
  <c r="R56" i="18"/>
  <c r="Q56" i="18"/>
  <c r="U55" i="18"/>
  <c r="T55" i="18"/>
  <c r="S55" i="18"/>
  <c r="R55" i="18"/>
  <c r="Q55" i="18"/>
  <c r="U54" i="18"/>
  <c r="T54" i="18"/>
  <c r="S54" i="18"/>
  <c r="R54" i="18"/>
  <c r="Q54" i="18"/>
  <c r="P58" i="18"/>
  <c r="P62" i="18" s="1"/>
  <c r="O58" i="18"/>
  <c r="O62" i="18" s="1"/>
  <c r="N58" i="18"/>
  <c r="N62" i="18" s="1"/>
  <c r="M58" i="18"/>
  <c r="M62" i="18" s="1"/>
  <c r="L58" i="18"/>
  <c r="L62" i="18" s="1"/>
  <c r="P55" i="16"/>
  <c r="O55" i="16"/>
  <c r="N55" i="16"/>
  <c r="M55" i="16"/>
  <c r="L55" i="16"/>
  <c r="K55" i="16"/>
  <c r="J55" i="16"/>
  <c r="I55" i="16"/>
  <c r="H55" i="16"/>
  <c r="G55" i="16"/>
  <c r="F55" i="16"/>
  <c r="E55" i="16"/>
  <c r="D55" i="16"/>
  <c r="C55" i="16"/>
  <c r="B55" i="16"/>
  <c r="P41" i="16"/>
  <c r="O41" i="16"/>
  <c r="N41" i="16"/>
  <c r="M41" i="16"/>
  <c r="J41" i="16"/>
  <c r="I41" i="16"/>
  <c r="H41" i="16"/>
  <c r="E41" i="16"/>
  <c r="D41" i="16"/>
  <c r="C41" i="16"/>
  <c r="B41" i="16"/>
  <c r="L40" i="16"/>
  <c r="L41" i="16" s="1"/>
  <c r="K40" i="16"/>
  <c r="K41" i="16" s="1"/>
  <c r="G36" i="16"/>
  <c r="G41" i="16" s="1"/>
  <c r="F36" i="16"/>
  <c r="F41" i="16" s="1"/>
  <c r="P28" i="16"/>
  <c r="O28" i="16"/>
  <c r="N28" i="16"/>
  <c r="M28" i="16"/>
  <c r="L28" i="16"/>
  <c r="K28" i="16"/>
  <c r="J28" i="16"/>
  <c r="I28" i="16"/>
  <c r="G27" i="16"/>
  <c r="F27" i="16"/>
  <c r="E27" i="16"/>
  <c r="C27" i="16"/>
  <c r="H25" i="16"/>
  <c r="H28" i="16" s="1"/>
  <c r="G25" i="16"/>
  <c r="F25" i="16"/>
  <c r="E25" i="16"/>
  <c r="D25" i="16"/>
  <c r="D28" i="16" s="1"/>
  <c r="C25" i="16"/>
  <c r="B25" i="16"/>
  <c r="B28" i="16" s="1"/>
  <c r="L13" i="16"/>
  <c r="K13" i="16"/>
  <c r="J13" i="16"/>
  <c r="I13" i="16"/>
  <c r="H13" i="16"/>
  <c r="G13" i="16"/>
  <c r="C13" i="16"/>
  <c r="L5" i="16"/>
  <c r="K5" i="16"/>
  <c r="K71" i="16" s="1"/>
  <c r="J5" i="16"/>
  <c r="J71" i="16" s="1"/>
  <c r="I5" i="16"/>
  <c r="I71" i="16" s="1"/>
  <c r="H5" i="16"/>
  <c r="H71" i="16" s="1"/>
  <c r="G5" i="16"/>
  <c r="G71" i="16" s="1"/>
  <c r="F5" i="16"/>
  <c r="F71" i="16" s="1"/>
  <c r="E5" i="16"/>
  <c r="E71" i="16" s="1"/>
  <c r="D5" i="16"/>
  <c r="D71" i="16" s="1"/>
  <c r="C5" i="16"/>
  <c r="C71" i="16" s="1"/>
  <c r="B5" i="16"/>
  <c r="B71" i="16" s="1"/>
  <c r="Z63" i="14"/>
  <c r="Z6" i="17" s="1"/>
  <c r="Z7" i="17" s="1"/>
  <c r="U63" i="14"/>
  <c r="U6" i="17" s="1"/>
  <c r="U7" i="17" s="1"/>
  <c r="P63" i="14"/>
  <c r="P6" i="17" s="1"/>
  <c r="P7" i="17" s="1"/>
  <c r="K63" i="14"/>
  <c r="K6" i="17" s="1"/>
  <c r="K15" i="17" s="1"/>
  <c r="F63" i="14"/>
  <c r="F6" i="17" s="1"/>
  <c r="F15" i="17" s="1"/>
  <c r="Y58" i="14"/>
  <c r="T58" i="14"/>
  <c r="P58" i="14"/>
  <c r="L58" i="14"/>
  <c r="J58" i="14"/>
  <c r="E58" i="14"/>
  <c r="W57" i="14"/>
  <c r="X57" i="14" s="1"/>
  <c r="R57" i="14"/>
  <c r="M57" i="14"/>
  <c r="N57" i="14" s="1"/>
  <c r="O57" i="14" s="1"/>
  <c r="H57" i="14"/>
  <c r="I57" i="14" s="1"/>
  <c r="J57" i="14" s="1"/>
  <c r="C57" i="14"/>
  <c r="D57" i="14" s="1"/>
  <c r="AA55" i="14"/>
  <c r="Z55" i="14"/>
  <c r="V55" i="14"/>
  <c r="U55" i="14"/>
  <c r="Q55" i="14"/>
  <c r="P55" i="14"/>
  <c r="L55" i="14"/>
  <c r="K55" i="14"/>
  <c r="G55" i="14"/>
  <c r="F55" i="14"/>
  <c r="B55" i="14"/>
  <c r="W54" i="14"/>
  <c r="X54" i="14" s="1"/>
  <c r="R54" i="14"/>
  <c r="S54" i="14" s="1"/>
  <c r="M54" i="14"/>
  <c r="H54" i="14"/>
  <c r="I54" i="14" s="1"/>
  <c r="J54" i="14" s="1"/>
  <c r="C54" i="14"/>
  <c r="D54" i="14" s="1"/>
  <c r="E54" i="14" s="1"/>
  <c r="W52" i="14"/>
  <c r="X52" i="14" s="1"/>
  <c r="R52" i="14"/>
  <c r="S52" i="14" s="1"/>
  <c r="M52" i="14"/>
  <c r="N52" i="14" s="1"/>
  <c r="H52" i="14"/>
  <c r="C52" i="14"/>
  <c r="D52" i="14" s="1"/>
  <c r="E52" i="14" s="1"/>
  <c r="W51" i="14"/>
  <c r="R51" i="14"/>
  <c r="M51" i="14"/>
  <c r="H51" i="14"/>
  <c r="C51" i="14"/>
  <c r="W50" i="14"/>
  <c r="R50" i="14"/>
  <c r="M50" i="14"/>
  <c r="N50" i="14" s="1"/>
  <c r="O50" i="14" s="1"/>
  <c r="H50" i="14"/>
  <c r="C50" i="14"/>
  <c r="D50" i="14" s="1"/>
  <c r="W49" i="14"/>
  <c r="R49" i="14"/>
  <c r="S49" i="14" s="1"/>
  <c r="T49" i="14" s="1"/>
  <c r="M49" i="14"/>
  <c r="N49" i="14" s="1"/>
  <c r="H49" i="14"/>
  <c r="I49" i="14" s="1"/>
  <c r="C49" i="14"/>
  <c r="W48" i="14"/>
  <c r="X48" i="14" s="1"/>
  <c r="Y48" i="14" s="1"/>
  <c r="R48" i="14"/>
  <c r="M48" i="14"/>
  <c r="H48" i="14"/>
  <c r="C48" i="14"/>
  <c r="D48" i="14" s="1"/>
  <c r="E48" i="14" s="1"/>
  <c r="W47" i="14"/>
  <c r="X47" i="14" s="1"/>
  <c r="R47" i="14"/>
  <c r="S47" i="14" s="1"/>
  <c r="M47" i="14"/>
  <c r="H47" i="14"/>
  <c r="I47" i="14" s="1"/>
  <c r="J47" i="14" s="1"/>
  <c r="C47" i="14"/>
  <c r="W46" i="14"/>
  <c r="X46" i="14" s="1"/>
  <c r="R46" i="14"/>
  <c r="M46" i="14"/>
  <c r="N46" i="14" s="1"/>
  <c r="O46" i="14" s="1"/>
  <c r="H46" i="14"/>
  <c r="I46" i="14" s="1"/>
  <c r="C46" i="14"/>
  <c r="D46" i="14" s="1"/>
  <c r="W45" i="14"/>
  <c r="R45" i="14"/>
  <c r="S45" i="14" s="1"/>
  <c r="T45" i="14" s="1"/>
  <c r="M45" i="14"/>
  <c r="N45" i="14" s="1"/>
  <c r="O45" i="14" s="1"/>
  <c r="H45" i="14"/>
  <c r="C45" i="14"/>
  <c r="W44" i="14"/>
  <c r="R44" i="14"/>
  <c r="S44" i="14" s="1"/>
  <c r="M44" i="14"/>
  <c r="N44" i="14" s="1"/>
  <c r="H44" i="14"/>
  <c r="C44" i="14"/>
  <c r="W40" i="14"/>
  <c r="R40" i="14"/>
  <c r="S40" i="14" s="1"/>
  <c r="T40" i="14" s="1"/>
  <c r="M40" i="14"/>
  <c r="H40" i="14"/>
  <c r="I40" i="14" s="1"/>
  <c r="C40" i="14"/>
  <c r="W39" i="14"/>
  <c r="X39" i="14" s="1"/>
  <c r="Y39" i="14" s="1"/>
  <c r="R39" i="14"/>
  <c r="M39" i="14"/>
  <c r="N39" i="14" s="1"/>
  <c r="H39" i="14"/>
  <c r="C39" i="14"/>
  <c r="D39" i="14" s="1"/>
  <c r="E39" i="14" s="1"/>
  <c r="W38" i="14"/>
  <c r="X38" i="14" s="1"/>
  <c r="R38" i="14"/>
  <c r="M38" i="14"/>
  <c r="H38" i="14"/>
  <c r="I38" i="14" s="1"/>
  <c r="J38" i="14" s="1"/>
  <c r="C38" i="14"/>
  <c r="D38" i="14" s="1"/>
  <c r="E38" i="14" s="1"/>
  <c r="W37" i="14"/>
  <c r="R37" i="14"/>
  <c r="M37" i="14"/>
  <c r="N37" i="14" s="1"/>
  <c r="O37" i="14" s="1"/>
  <c r="H37" i="14"/>
  <c r="I37" i="14" s="1"/>
  <c r="C37" i="14"/>
  <c r="D37" i="14" s="1"/>
  <c r="W36" i="14"/>
  <c r="R36" i="14"/>
  <c r="S36" i="14" s="1"/>
  <c r="T36" i="14" s="1"/>
  <c r="M36" i="14"/>
  <c r="H36" i="14"/>
  <c r="I36" i="14" s="1"/>
  <c r="C36" i="14"/>
  <c r="W35" i="14"/>
  <c r="X35" i="14" s="1"/>
  <c r="Y35" i="14" s="1"/>
  <c r="R35" i="14"/>
  <c r="S35" i="14" s="1"/>
  <c r="M35" i="14"/>
  <c r="N35" i="14" s="1"/>
  <c r="H35" i="14"/>
  <c r="C35" i="14"/>
  <c r="D35" i="14" s="1"/>
  <c r="E35" i="14" s="1"/>
  <c r="W34" i="14"/>
  <c r="R34" i="14"/>
  <c r="M34" i="14"/>
  <c r="H34" i="14"/>
  <c r="I34" i="14" s="1"/>
  <c r="J34" i="14" s="1"/>
  <c r="C34" i="14"/>
  <c r="D34" i="14" s="1"/>
  <c r="W33" i="14"/>
  <c r="R33" i="14"/>
  <c r="M33" i="14"/>
  <c r="H33" i="14"/>
  <c r="C33" i="14"/>
  <c r="W27" i="14"/>
  <c r="R27" i="14"/>
  <c r="S27" i="14" s="1"/>
  <c r="M27" i="14"/>
  <c r="N27" i="14" s="1"/>
  <c r="O27" i="14" s="1"/>
  <c r="H27" i="14"/>
  <c r="I27" i="14" s="1"/>
  <c r="J27" i="14" s="1"/>
  <c r="C27" i="14"/>
  <c r="D27" i="14" s="1"/>
  <c r="W26" i="14"/>
  <c r="X26" i="14" s="1"/>
  <c r="R26" i="14"/>
  <c r="S26" i="14" s="1"/>
  <c r="T26" i="14" s="1"/>
  <c r="M26" i="14"/>
  <c r="N26" i="14" s="1"/>
  <c r="H26" i="14"/>
  <c r="C26" i="14"/>
  <c r="W25" i="14"/>
  <c r="X25" i="14" s="1"/>
  <c r="Y25" i="14" s="1"/>
  <c r="R25" i="14"/>
  <c r="S25" i="14" s="1"/>
  <c r="T25" i="14" s="1"/>
  <c r="M25" i="14"/>
  <c r="N25" i="14" s="1"/>
  <c r="H25" i="14"/>
  <c r="I25" i="14" s="1"/>
  <c r="C25" i="14"/>
  <c r="W24" i="14"/>
  <c r="R24" i="14"/>
  <c r="M24" i="14"/>
  <c r="N24" i="14" s="1"/>
  <c r="H24" i="14"/>
  <c r="C24" i="14"/>
  <c r="D24" i="14" s="1"/>
  <c r="E24" i="14" s="1"/>
  <c r="W23" i="14"/>
  <c r="X23" i="14" s="1"/>
  <c r="Y23" i="14" s="1"/>
  <c r="R23" i="14"/>
  <c r="S23" i="14" s="1"/>
  <c r="M23" i="14"/>
  <c r="H23" i="14"/>
  <c r="I23" i="14" s="1"/>
  <c r="J23" i="14" s="1"/>
  <c r="C23" i="14"/>
  <c r="D23" i="14" s="1"/>
  <c r="E23" i="14" s="1"/>
  <c r="W22" i="14"/>
  <c r="R22" i="14"/>
  <c r="M22" i="14"/>
  <c r="N22" i="14" s="1"/>
  <c r="O22" i="14" s="1"/>
  <c r="H22" i="14"/>
  <c r="C22" i="14"/>
  <c r="W21" i="14"/>
  <c r="R21" i="14"/>
  <c r="S21" i="14" s="1"/>
  <c r="T21" i="14" s="1"/>
  <c r="M21" i="14"/>
  <c r="H21" i="14"/>
  <c r="I21" i="14" s="1"/>
  <c r="C21" i="14"/>
  <c r="W20" i="14"/>
  <c r="X20" i="14" s="1"/>
  <c r="Y20" i="14" s="1"/>
  <c r="R20" i="14"/>
  <c r="S20" i="14" s="1"/>
  <c r="T20" i="14" s="1"/>
  <c r="M20" i="14"/>
  <c r="H20" i="14"/>
  <c r="C20" i="14"/>
  <c r="D20" i="14" s="1"/>
  <c r="E20" i="14" s="1"/>
  <c r="W19" i="14"/>
  <c r="X19" i="14" s="1"/>
  <c r="Y19" i="14" s="1"/>
  <c r="R19" i="14"/>
  <c r="M19" i="14"/>
  <c r="H19" i="14"/>
  <c r="I19" i="14" s="1"/>
  <c r="J19" i="14" s="1"/>
  <c r="C19" i="14"/>
  <c r="D19" i="14" s="1"/>
  <c r="W18" i="14"/>
  <c r="R18" i="14"/>
  <c r="M18" i="14"/>
  <c r="N18" i="14" s="1"/>
  <c r="O18" i="14" s="1"/>
  <c r="H18" i="14"/>
  <c r="C18" i="14"/>
  <c r="D18" i="14" s="1"/>
  <c r="W17" i="14"/>
  <c r="R17" i="14"/>
  <c r="S17" i="14" s="1"/>
  <c r="T17" i="14" s="1"/>
  <c r="M17" i="14"/>
  <c r="N17" i="14" s="1"/>
  <c r="O17" i="14" s="1"/>
  <c r="H17" i="14"/>
  <c r="I17" i="14" s="1"/>
  <c r="C17" i="14"/>
  <c r="W16" i="14"/>
  <c r="X16" i="14" s="1"/>
  <c r="Y16" i="14" s="1"/>
  <c r="R16" i="14"/>
  <c r="S16" i="14" s="1"/>
  <c r="T16" i="14" s="1"/>
  <c r="M16" i="14"/>
  <c r="H16" i="14"/>
  <c r="C16" i="14"/>
  <c r="D16" i="14" s="1"/>
  <c r="E16" i="14" s="1"/>
  <c r="W15" i="14"/>
  <c r="R15" i="14"/>
  <c r="M15" i="14"/>
  <c r="H15" i="14"/>
  <c r="C15" i="14"/>
  <c r="W13" i="14"/>
  <c r="X13" i="14" s="1"/>
  <c r="R13" i="14"/>
  <c r="M13" i="14"/>
  <c r="N13" i="14" s="1"/>
  <c r="O13" i="14" s="1"/>
  <c r="H13" i="14"/>
  <c r="I13" i="14" s="1"/>
  <c r="C13" i="14"/>
  <c r="W12" i="14"/>
  <c r="X12" i="14" s="1"/>
  <c r="Y12" i="14" s="1"/>
  <c r="R12" i="14"/>
  <c r="M12" i="14"/>
  <c r="H12" i="14"/>
  <c r="C12" i="14"/>
  <c r="D12" i="14" s="1"/>
  <c r="E12" i="14" s="1"/>
  <c r="W11" i="14"/>
  <c r="X11" i="14" s="1"/>
  <c r="R11" i="14"/>
  <c r="S11" i="14" s="1"/>
  <c r="M11" i="14"/>
  <c r="H11" i="14"/>
  <c r="I11" i="14" s="1"/>
  <c r="J11" i="14" s="1"/>
  <c r="C11" i="14"/>
  <c r="D11" i="14" s="1"/>
  <c r="W9" i="14"/>
  <c r="X9" i="14" s="1"/>
  <c r="R9" i="14"/>
  <c r="M9" i="14"/>
  <c r="N9" i="14" s="1"/>
  <c r="O9" i="14" s="1"/>
  <c r="H9" i="14"/>
  <c r="I9" i="14" s="1"/>
  <c r="J9" i="14" s="1"/>
  <c r="C9" i="14"/>
  <c r="D9" i="14" s="1"/>
  <c r="W8" i="14"/>
  <c r="R8" i="14"/>
  <c r="S8" i="14" s="1"/>
  <c r="T8" i="14" s="1"/>
  <c r="M8" i="14"/>
  <c r="N8" i="14" s="1"/>
  <c r="O8" i="14" s="1"/>
  <c r="H8" i="14"/>
  <c r="C8" i="14"/>
  <c r="W6" i="14"/>
  <c r="X6" i="14" s="1"/>
  <c r="Y6" i="14" s="1"/>
  <c r="R6" i="14"/>
  <c r="M6" i="14"/>
  <c r="N6" i="14" s="1"/>
  <c r="H6" i="14"/>
  <c r="C6" i="14"/>
  <c r="D6" i="14" s="1"/>
  <c r="E6" i="14" s="1"/>
  <c r="W5" i="14"/>
  <c r="R5" i="14"/>
  <c r="M5" i="14"/>
  <c r="H5" i="14"/>
  <c r="C5" i="14"/>
  <c r="U61" i="14"/>
  <c r="K58" i="18"/>
  <c r="K62" i="18" s="1"/>
  <c r="J58" i="18"/>
  <c r="J62" i="18" s="1"/>
  <c r="I58" i="18"/>
  <c r="I62" i="18" s="1"/>
  <c r="H58" i="18"/>
  <c r="H62" i="18" s="1"/>
  <c r="G58" i="18"/>
  <c r="G62" i="18" s="1"/>
  <c r="F58" i="18"/>
  <c r="F62" i="18" s="1"/>
  <c r="E58" i="18"/>
  <c r="E62" i="18" s="1"/>
  <c r="D58" i="18"/>
  <c r="D62" i="18" s="1"/>
  <c r="C57" i="18"/>
  <c r="C58" i="18" s="1"/>
  <c r="C62" i="18" s="1"/>
  <c r="B57" i="18"/>
  <c r="B58" i="18" s="1"/>
  <c r="B62" i="18" s="1"/>
  <c r="P46" i="18"/>
  <c r="O46" i="18"/>
  <c r="N46" i="18"/>
  <c r="M46" i="18"/>
  <c r="L46" i="18"/>
  <c r="K46" i="18"/>
  <c r="J46" i="18"/>
  <c r="I46" i="18"/>
  <c r="H46" i="18"/>
  <c r="G46" i="18"/>
  <c r="F46" i="18"/>
  <c r="E46" i="18"/>
  <c r="D46" i="18"/>
  <c r="C46" i="18"/>
  <c r="B46" i="18"/>
  <c r="P37" i="18"/>
  <c r="O37" i="18"/>
  <c r="N37" i="18"/>
  <c r="M37" i="18"/>
  <c r="L37" i="18"/>
  <c r="K37" i="18"/>
  <c r="J37" i="18"/>
  <c r="I37" i="18"/>
  <c r="H37" i="18"/>
  <c r="G37" i="18"/>
  <c r="F37" i="18"/>
  <c r="E37" i="18"/>
  <c r="D37" i="18"/>
  <c r="C37" i="18"/>
  <c r="B37" i="18"/>
  <c r="P25" i="18"/>
  <c r="O25" i="18"/>
  <c r="N25" i="18"/>
  <c r="M25" i="18"/>
  <c r="H25" i="18"/>
  <c r="L24" i="18"/>
  <c r="L25" i="18" s="1"/>
  <c r="K24" i="18"/>
  <c r="K25" i="18" s="1"/>
  <c r="J24" i="18"/>
  <c r="J25" i="18" s="1"/>
  <c r="I24" i="18"/>
  <c r="I25" i="18" s="1"/>
  <c r="G24" i="18"/>
  <c r="G25" i="18" s="1"/>
  <c r="F24" i="18"/>
  <c r="F25" i="18" s="1"/>
  <c r="E24" i="18"/>
  <c r="E25" i="18" s="1"/>
  <c r="D24" i="18"/>
  <c r="D25" i="18" s="1"/>
  <c r="C24" i="18"/>
  <c r="B24" i="18"/>
  <c r="C21" i="18"/>
  <c r="B21" i="18"/>
  <c r="P15" i="18"/>
  <c r="O15" i="18"/>
  <c r="N15" i="18"/>
  <c r="M15" i="18"/>
  <c r="L15" i="18"/>
  <c r="K15" i="18"/>
  <c r="J15" i="18"/>
  <c r="I15" i="18"/>
  <c r="H15" i="18"/>
  <c r="G15" i="18"/>
  <c r="F15" i="18"/>
  <c r="E15" i="18"/>
  <c r="D15" i="18"/>
  <c r="C15" i="18"/>
  <c r="B15" i="18"/>
  <c r="Y60" i="17"/>
  <c r="T60" i="17"/>
  <c r="O60" i="17"/>
  <c r="J60" i="17"/>
  <c r="E60" i="17"/>
  <c r="AA62" i="17"/>
  <c r="Z62" i="17"/>
  <c r="X62" i="17"/>
  <c r="W62" i="17"/>
  <c r="V62" i="17"/>
  <c r="U62" i="17"/>
  <c r="S62" i="17"/>
  <c r="R62" i="17"/>
  <c r="Q62" i="17"/>
  <c r="P62" i="17"/>
  <c r="N62" i="17"/>
  <c r="M62" i="17"/>
  <c r="L62" i="17"/>
  <c r="K62" i="17"/>
  <c r="I62" i="17"/>
  <c r="H62" i="17"/>
  <c r="G62" i="17"/>
  <c r="F62" i="17"/>
  <c r="D62" i="17"/>
  <c r="C62" i="17"/>
  <c r="B62" i="17"/>
  <c r="Y56" i="17"/>
  <c r="T56" i="17"/>
  <c r="O56" i="17"/>
  <c r="J56" i="17"/>
  <c r="E56" i="17"/>
  <c r="Y55" i="17"/>
  <c r="T55" i="17"/>
  <c r="O55" i="17"/>
  <c r="J55" i="17"/>
  <c r="E55" i="17"/>
  <c r="Y54" i="17"/>
  <c r="T54" i="17"/>
  <c r="O54" i="17"/>
  <c r="J54" i="17"/>
  <c r="E54" i="17"/>
  <c r="Y53" i="17"/>
  <c r="T53" i="17"/>
  <c r="O53" i="17"/>
  <c r="J53" i="17"/>
  <c r="E53" i="17"/>
  <c r="Y52" i="17"/>
  <c r="T52" i="17"/>
  <c r="O52" i="17"/>
  <c r="J52" i="17"/>
  <c r="E52" i="17"/>
  <c r="AA46" i="17"/>
  <c r="Z46" i="17"/>
  <c r="X46" i="17"/>
  <c r="W46" i="17"/>
  <c r="V46" i="17"/>
  <c r="U46" i="17"/>
  <c r="S46" i="17"/>
  <c r="R46" i="17"/>
  <c r="Q46" i="17"/>
  <c r="P46" i="17"/>
  <c r="N46" i="17"/>
  <c r="M46" i="17"/>
  <c r="L46" i="17"/>
  <c r="K46" i="17"/>
  <c r="I46" i="17"/>
  <c r="H46" i="17"/>
  <c r="G46" i="17"/>
  <c r="F46" i="17"/>
  <c r="D46" i="17"/>
  <c r="C46" i="17"/>
  <c r="B46" i="17"/>
  <c r="Y45" i="17"/>
  <c r="T45" i="17"/>
  <c r="O45" i="17"/>
  <c r="J45" i="17"/>
  <c r="E45" i="17"/>
  <c r="Y44" i="17"/>
  <c r="T44" i="17"/>
  <c r="O44" i="17"/>
  <c r="J44" i="17"/>
  <c r="E44" i="17"/>
  <c r="Y42" i="17"/>
  <c r="T42" i="17"/>
  <c r="O42" i="17"/>
  <c r="J42" i="17"/>
  <c r="E42" i="17"/>
  <c r="Y41" i="17"/>
  <c r="T41" i="17"/>
  <c r="O41" i="17"/>
  <c r="J41" i="17"/>
  <c r="E41" i="17"/>
  <c r="Y40" i="17"/>
  <c r="T40" i="17"/>
  <c r="O40" i="17"/>
  <c r="J40" i="17"/>
  <c r="E40" i="17"/>
  <c r="AA37" i="17"/>
  <c r="Z37" i="17"/>
  <c r="X37" i="17"/>
  <c r="W37" i="17"/>
  <c r="V37" i="17"/>
  <c r="U37" i="17"/>
  <c r="S37" i="17"/>
  <c r="R37" i="17"/>
  <c r="Q37" i="17"/>
  <c r="P37" i="17"/>
  <c r="N37" i="17"/>
  <c r="M37" i="17"/>
  <c r="L37" i="17"/>
  <c r="K37" i="17"/>
  <c r="I37" i="17"/>
  <c r="H37" i="17"/>
  <c r="G37" i="17"/>
  <c r="F37" i="17"/>
  <c r="D37" i="17"/>
  <c r="C37" i="17"/>
  <c r="B37" i="17"/>
  <c r="Y36" i="17"/>
  <c r="T36" i="17"/>
  <c r="O36" i="17"/>
  <c r="J36" i="17"/>
  <c r="E36" i="17"/>
  <c r="Y34" i="17"/>
  <c r="T34" i="17"/>
  <c r="O34" i="17"/>
  <c r="J34" i="17"/>
  <c r="E34" i="17"/>
  <c r="Y33" i="17"/>
  <c r="T33" i="17"/>
  <c r="O33" i="17"/>
  <c r="J33" i="17"/>
  <c r="E33" i="17"/>
  <c r="Y32" i="17"/>
  <c r="T32" i="17"/>
  <c r="O32" i="17"/>
  <c r="J32" i="17"/>
  <c r="E32" i="17"/>
  <c r="Y31" i="17"/>
  <c r="T31" i="17"/>
  <c r="O31" i="17"/>
  <c r="J31" i="17"/>
  <c r="E31" i="17"/>
  <c r="AA25" i="17"/>
  <c r="Z25" i="17"/>
  <c r="X25" i="17"/>
  <c r="W25" i="17"/>
  <c r="V25" i="17"/>
  <c r="U25" i="17"/>
  <c r="S25" i="17"/>
  <c r="R25" i="17"/>
  <c r="Q25" i="17"/>
  <c r="P25" i="17"/>
  <c r="N25" i="17"/>
  <c r="M25" i="17"/>
  <c r="L25" i="17"/>
  <c r="K25" i="17"/>
  <c r="I25" i="17"/>
  <c r="H25" i="17"/>
  <c r="G25" i="17"/>
  <c r="F25" i="17"/>
  <c r="D25" i="17"/>
  <c r="C25" i="17"/>
  <c r="B25" i="17"/>
  <c r="Y24" i="17"/>
  <c r="T24" i="17"/>
  <c r="O24" i="17"/>
  <c r="J24" i="17"/>
  <c r="E24" i="17"/>
  <c r="Y23" i="17"/>
  <c r="T23" i="17"/>
  <c r="O23" i="17"/>
  <c r="J23" i="17"/>
  <c r="E23" i="17"/>
  <c r="Y22" i="17"/>
  <c r="T22" i="17"/>
  <c r="O22" i="17"/>
  <c r="J22" i="17"/>
  <c r="E22" i="17"/>
  <c r="Y21" i="17"/>
  <c r="T21" i="17"/>
  <c r="O21" i="17"/>
  <c r="J21" i="17"/>
  <c r="E21" i="17"/>
  <c r="Y20" i="17"/>
  <c r="T20" i="17"/>
  <c r="O20" i="17"/>
  <c r="J20" i="17"/>
  <c r="E20" i="17"/>
  <c r="Y19" i="17"/>
  <c r="T19" i="17"/>
  <c r="O19" i="17"/>
  <c r="J19" i="17"/>
  <c r="E19" i="17"/>
  <c r="Y18" i="17"/>
  <c r="T18" i="17"/>
  <c r="O18" i="17"/>
  <c r="J18" i="17"/>
  <c r="E18" i="17"/>
  <c r="AA15" i="17"/>
  <c r="X15" i="17"/>
  <c r="W15" i="17"/>
  <c r="V15" i="17"/>
  <c r="S15" i="17"/>
  <c r="R15" i="17"/>
  <c r="Q15" i="17"/>
  <c r="N15" i="17"/>
  <c r="M15" i="17"/>
  <c r="L15" i="17"/>
  <c r="I15" i="17"/>
  <c r="H15" i="17"/>
  <c r="G15" i="17"/>
  <c r="D15" i="17"/>
  <c r="C15" i="17"/>
  <c r="B15" i="17"/>
  <c r="Y14" i="17"/>
  <c r="T14" i="17"/>
  <c r="O14" i="17"/>
  <c r="J14" i="17"/>
  <c r="E14" i="17"/>
  <c r="Y12" i="17"/>
  <c r="BK124" i="48" s="1"/>
  <c r="T12" i="17"/>
  <c r="BG124" i="48" s="1"/>
  <c r="O12" i="17"/>
  <c r="BC124" i="48" s="1"/>
  <c r="J12" i="17"/>
  <c r="AY124" i="48" s="1"/>
  <c r="E12" i="17"/>
  <c r="AU124" i="48" s="1"/>
  <c r="Y10" i="17"/>
  <c r="T10" i="17"/>
  <c r="O10" i="17"/>
  <c r="J10" i="17"/>
  <c r="E10" i="17"/>
  <c r="Y9" i="17"/>
  <c r="T9" i="17"/>
  <c r="O9" i="17"/>
  <c r="J9" i="17"/>
  <c r="E9" i="17"/>
  <c r="Y8" i="17"/>
  <c r="T8" i="17"/>
  <c r="O8" i="17"/>
  <c r="J8" i="17"/>
  <c r="E8" i="17"/>
  <c r="J7" i="17"/>
  <c r="E7" i="17"/>
  <c r="Y5" i="17"/>
  <c r="T5" i="17"/>
  <c r="O5" i="17"/>
  <c r="J5" i="17"/>
  <c r="E5" i="17"/>
  <c r="AA101" i="32" l="1"/>
  <c r="BE101" i="31"/>
  <c r="BI4" i="31"/>
  <c r="AB4" i="32" s="1"/>
  <c r="BH140" i="31"/>
  <c r="BI140" i="31" s="1"/>
  <c r="AB140" i="32" s="1"/>
  <c r="BF79" i="31"/>
  <c r="BE144" i="31"/>
  <c r="BF112" i="31"/>
  <c r="BE177" i="31"/>
  <c r="AA102" i="32"/>
  <c r="BE102" i="31"/>
  <c r="AA132" i="32"/>
  <c r="BE132" i="31"/>
  <c r="AA90" i="32"/>
  <c r="BE90" i="31"/>
  <c r="AA128" i="32"/>
  <c r="BE128" i="31"/>
  <c r="AA120" i="32"/>
  <c r="BE120" i="31"/>
  <c r="AA80" i="32"/>
  <c r="BE80" i="31"/>
  <c r="AA109" i="32"/>
  <c r="BE109" i="31"/>
  <c r="AA105" i="32"/>
  <c r="BE105" i="31"/>
  <c r="BF118" i="31"/>
  <c r="BE183" i="31"/>
  <c r="BF108" i="31"/>
  <c r="BE173" i="31"/>
  <c r="AA97" i="32"/>
  <c r="BE97" i="31"/>
  <c r="AA110" i="32"/>
  <c r="BE110" i="31"/>
  <c r="BH130" i="31"/>
  <c r="BG195" i="31"/>
  <c r="BB201" i="31"/>
  <c r="BD201" i="31" s="1"/>
  <c r="AA201" i="32" s="1"/>
  <c r="BC151" i="31"/>
  <c r="BD151" i="31" s="1"/>
  <c r="AA151" i="32" s="1"/>
  <c r="BD86" i="31"/>
  <c r="BC161" i="31"/>
  <c r="BD161" i="31" s="1"/>
  <c r="AA161" i="32" s="1"/>
  <c r="BD96" i="31"/>
  <c r="BD83" i="31"/>
  <c r="BC148" i="31"/>
  <c r="BD148" i="31" s="1"/>
  <c r="AA148" i="32" s="1"/>
  <c r="BD119" i="31"/>
  <c r="BC184" i="31"/>
  <c r="BD184" i="31" s="1"/>
  <c r="AA184" i="32" s="1"/>
  <c r="BD131" i="31"/>
  <c r="BC196" i="31"/>
  <c r="BD196" i="31" s="1"/>
  <c r="AA196" i="32" s="1"/>
  <c r="BD115" i="31"/>
  <c r="BC180" i="31"/>
  <c r="BD180" i="31" s="1"/>
  <c r="AA180" i="32" s="1"/>
  <c r="BD103" i="31"/>
  <c r="BC168" i="31"/>
  <c r="BD168" i="31" s="1"/>
  <c r="AA168" i="32" s="1"/>
  <c r="BC189" i="31"/>
  <c r="BD189" i="31" s="1"/>
  <c r="AA189" i="32" s="1"/>
  <c r="BD124" i="31"/>
  <c r="BD84" i="31"/>
  <c r="BC149" i="31"/>
  <c r="BD149" i="31" s="1"/>
  <c r="AA149" i="32" s="1"/>
  <c r="BC181" i="31"/>
  <c r="BD181" i="31" s="1"/>
  <c r="AA181" i="32" s="1"/>
  <c r="BD116" i="31"/>
  <c r="BC154" i="31"/>
  <c r="BD154" i="31" s="1"/>
  <c r="AA154" i="32" s="1"/>
  <c r="BD89" i="31"/>
  <c r="BD104" i="31"/>
  <c r="BC169" i="31"/>
  <c r="BD169" i="31" s="1"/>
  <c r="AA169" i="32" s="1"/>
  <c r="BD88" i="31"/>
  <c r="BC153" i="31"/>
  <c r="BD153" i="31" s="1"/>
  <c r="AA153" i="32" s="1"/>
  <c r="BD114" i="31"/>
  <c r="BC179" i="31"/>
  <c r="BD179" i="31" s="1"/>
  <c r="AA179" i="32" s="1"/>
  <c r="BD100" i="31"/>
  <c r="BC165" i="31"/>
  <c r="BD165" i="31" s="1"/>
  <c r="AA165" i="32" s="1"/>
  <c r="BD134" i="31"/>
  <c r="BC199" i="31"/>
  <c r="BD199" i="31" s="1"/>
  <c r="AA199" i="32" s="1"/>
  <c r="BC191" i="31"/>
  <c r="BD191" i="31" s="1"/>
  <c r="AA191" i="32" s="1"/>
  <c r="BD126" i="31"/>
  <c r="BC152" i="31"/>
  <c r="BD152" i="31" s="1"/>
  <c r="AA152" i="32" s="1"/>
  <c r="BD87" i="31"/>
  <c r="BD85" i="31"/>
  <c r="BC150" i="31"/>
  <c r="BD150" i="31" s="1"/>
  <c r="AA150" i="32" s="1"/>
  <c r="BD107" i="31"/>
  <c r="BC172" i="31"/>
  <c r="BD172" i="31" s="1"/>
  <c r="AA172" i="32" s="1"/>
  <c r="BD99" i="31"/>
  <c r="BC164" i="31"/>
  <c r="BD164" i="31" s="1"/>
  <c r="AA164" i="32" s="1"/>
  <c r="BC147" i="31"/>
  <c r="BD147" i="31" s="1"/>
  <c r="AA147" i="32" s="1"/>
  <c r="BD82" i="31"/>
  <c r="BC178" i="31"/>
  <c r="BD178" i="31" s="1"/>
  <c r="AA178" i="32" s="1"/>
  <c r="BD113" i="31"/>
  <c r="BD129" i="31"/>
  <c r="BC194" i="31"/>
  <c r="BD194" i="31" s="1"/>
  <c r="AA194" i="32" s="1"/>
  <c r="BC182" i="31"/>
  <c r="BD182" i="31" s="1"/>
  <c r="AA182" i="32" s="1"/>
  <c r="BD117" i="31"/>
  <c r="BD125" i="31"/>
  <c r="BC190" i="31"/>
  <c r="BD190" i="31" s="1"/>
  <c r="AA190" i="32" s="1"/>
  <c r="BC187" i="31"/>
  <c r="BD187" i="31" s="1"/>
  <c r="AA187" i="32" s="1"/>
  <c r="BD122" i="31"/>
  <c r="BC171" i="31"/>
  <c r="BD171" i="31" s="1"/>
  <c r="AA171" i="32" s="1"/>
  <c r="BD106" i="31"/>
  <c r="BC198" i="31"/>
  <c r="BD198" i="31" s="1"/>
  <c r="AA198" i="32" s="1"/>
  <c r="BD133" i="31"/>
  <c r="BC163" i="31"/>
  <c r="BD163" i="31" s="1"/>
  <c r="AA163" i="32" s="1"/>
  <c r="BD98" i="31"/>
  <c r="BC192" i="31"/>
  <c r="BD192" i="31" s="1"/>
  <c r="AA192" i="32" s="1"/>
  <c r="BD127" i="31"/>
  <c r="BC159" i="31"/>
  <c r="BD159" i="31" s="1"/>
  <c r="AA159" i="32" s="1"/>
  <c r="BD94" i="31"/>
  <c r="BC160" i="31"/>
  <c r="BD160" i="31" s="1"/>
  <c r="AA160" i="32" s="1"/>
  <c r="BD95" i="31"/>
  <c r="BD121" i="31"/>
  <c r="BC186" i="31"/>
  <c r="BD186" i="31" s="1"/>
  <c r="AA186" i="32" s="1"/>
  <c r="BC142" i="31"/>
  <c r="BD77" i="31"/>
  <c r="BC176" i="31"/>
  <c r="BD176" i="31" s="1"/>
  <c r="AA176" i="32" s="1"/>
  <c r="BD111" i="31"/>
  <c r="BC188" i="31"/>
  <c r="BD188" i="31" s="1"/>
  <c r="AA188" i="32" s="1"/>
  <c r="BD123" i="31"/>
  <c r="J6" i="17"/>
  <c r="J15" i="17" s="1"/>
  <c r="M27" i="17"/>
  <c r="N27" i="18"/>
  <c r="H28" i="14"/>
  <c r="Y7" i="17"/>
  <c r="O7" i="17"/>
  <c r="T7" i="17"/>
  <c r="D15" i="14"/>
  <c r="E15" i="14" s="1"/>
  <c r="C28" i="14"/>
  <c r="L71" i="16"/>
  <c r="B162" i="48"/>
  <c r="M28" i="14"/>
  <c r="S15" i="14"/>
  <c r="T15" i="14" s="1"/>
  <c r="R28" i="14"/>
  <c r="X15" i="14"/>
  <c r="Y15" i="14" s="1"/>
  <c r="W28" i="14"/>
  <c r="R175" i="13"/>
  <c r="Y52" i="14"/>
  <c r="AZ125" i="48"/>
  <c r="AY125" i="48"/>
  <c r="BD125" i="48"/>
  <c r="BC125" i="48"/>
  <c r="BG125" i="48"/>
  <c r="BH125" i="48"/>
  <c r="AU125" i="48"/>
  <c r="AV125" i="48"/>
  <c r="BK125" i="48"/>
  <c r="BL125" i="48"/>
  <c r="J58" i="17"/>
  <c r="J62" i="17" s="1"/>
  <c r="T67" i="31"/>
  <c r="T66" i="31"/>
  <c r="O58" i="17"/>
  <c r="O62" i="17" s="1"/>
  <c r="D51" i="14"/>
  <c r="D175" i="13" s="1"/>
  <c r="C175" i="13"/>
  <c r="X51" i="14"/>
  <c r="W175" i="13"/>
  <c r="Y66" i="31"/>
  <c r="Y67" i="31"/>
  <c r="T58" i="17"/>
  <c r="T62" i="17" s="1"/>
  <c r="I51" i="14"/>
  <c r="H175" i="13"/>
  <c r="O6" i="17"/>
  <c r="P15" i="17"/>
  <c r="P27" i="17" s="1"/>
  <c r="E58" i="17"/>
  <c r="E62" i="17" s="1"/>
  <c r="Y58" i="17"/>
  <c r="Y62" i="17" s="1"/>
  <c r="O27" i="18"/>
  <c r="M175" i="13"/>
  <c r="T6" i="17"/>
  <c r="U15" i="17"/>
  <c r="U27" i="17" s="1"/>
  <c r="D33" i="14"/>
  <c r="E33" i="14" s="1"/>
  <c r="C41" i="14"/>
  <c r="X33" i="14"/>
  <c r="W41" i="14"/>
  <c r="E6" i="17"/>
  <c r="E15" i="17" s="1"/>
  <c r="Y6" i="17"/>
  <c r="R41" i="14"/>
  <c r="Z15" i="17"/>
  <c r="Z27" i="17" s="1"/>
  <c r="D5" i="14"/>
  <c r="X5" i="14"/>
  <c r="Y5" i="14" s="1"/>
  <c r="H41" i="14"/>
  <c r="I5" i="14"/>
  <c r="M41" i="14"/>
  <c r="F27" i="18"/>
  <c r="C25" i="18"/>
  <c r="C27" i="18" s="1"/>
  <c r="I48" i="18"/>
  <c r="I64" i="18" s="1"/>
  <c r="M48" i="18"/>
  <c r="M64" i="18" s="1"/>
  <c r="B25" i="18"/>
  <c r="B27" i="18" s="1"/>
  <c r="C48" i="18"/>
  <c r="C64" i="18" s="1"/>
  <c r="K48" i="18"/>
  <c r="K64" i="18" s="1"/>
  <c r="O48" i="18"/>
  <c r="O64" i="18" s="1"/>
  <c r="B48" i="17"/>
  <c r="B64" i="17" s="1"/>
  <c r="T37" i="17"/>
  <c r="T25" i="17"/>
  <c r="J46" i="17"/>
  <c r="U48" i="17"/>
  <c r="U64" i="17" s="1"/>
  <c r="G27" i="18"/>
  <c r="J27" i="18"/>
  <c r="P27" i="18"/>
  <c r="I27" i="18"/>
  <c r="G48" i="18"/>
  <c r="G64" i="18" s="1"/>
  <c r="E48" i="18"/>
  <c r="E64" i="18" s="1"/>
  <c r="D27" i="18"/>
  <c r="I27" i="17"/>
  <c r="Q27" i="17"/>
  <c r="G48" i="17"/>
  <c r="G64" i="17" s="1"/>
  <c r="L48" i="17"/>
  <c r="L64" i="17" s="1"/>
  <c r="Q48" i="17"/>
  <c r="Q64" i="17" s="1"/>
  <c r="V48" i="17"/>
  <c r="V64" i="17" s="1"/>
  <c r="AA48" i="17"/>
  <c r="AA64" i="17" s="1"/>
  <c r="M48" i="17"/>
  <c r="M64" i="17" s="1"/>
  <c r="I48" i="17"/>
  <c r="I64" i="17" s="1"/>
  <c r="G28" i="16"/>
  <c r="Y38" i="14"/>
  <c r="T27" i="14"/>
  <c r="T35" i="14"/>
  <c r="C28" i="16"/>
  <c r="F28" i="16"/>
  <c r="O24" i="14"/>
  <c r="X34" i="14"/>
  <c r="Y34" i="14" s="1"/>
  <c r="O49" i="14"/>
  <c r="S48" i="14"/>
  <c r="T48" i="14" s="1"/>
  <c r="C55" i="14"/>
  <c r="J46" i="14"/>
  <c r="T52" i="14"/>
  <c r="Y54" i="14"/>
  <c r="E28" i="16"/>
  <c r="I18" i="14"/>
  <c r="J18" i="14" s="1"/>
  <c r="S19" i="14"/>
  <c r="T19" i="14" s="1"/>
  <c r="S12" i="14"/>
  <c r="T12" i="14" s="1"/>
  <c r="D13" i="14"/>
  <c r="E13" i="14" s="1"/>
  <c r="I33" i="14"/>
  <c r="E34" i="14"/>
  <c r="S34" i="14"/>
  <c r="T34" i="14" s="1"/>
  <c r="S39" i="14"/>
  <c r="T39" i="14" s="1"/>
  <c r="E46" i="14"/>
  <c r="D47" i="14"/>
  <c r="E47" i="14" s="1"/>
  <c r="Y47" i="14"/>
  <c r="N48" i="14"/>
  <c r="O48" i="14" s="1"/>
  <c r="O52" i="14"/>
  <c r="T54" i="14"/>
  <c r="T23" i="14"/>
  <c r="O26" i="14"/>
  <c r="I8" i="14"/>
  <c r="J8" i="14" s="1"/>
  <c r="N21" i="14"/>
  <c r="O21" i="14" s="1"/>
  <c r="X22" i="14"/>
  <c r="Y22" i="14" s="1"/>
  <c r="D26" i="14"/>
  <c r="E26" i="14" s="1"/>
  <c r="S38" i="14"/>
  <c r="T38" i="14" s="1"/>
  <c r="N40" i="14"/>
  <c r="O40" i="14" s="1"/>
  <c r="E9" i="14"/>
  <c r="J17" i="14"/>
  <c r="E19" i="14"/>
  <c r="E57" i="14"/>
  <c r="E11" i="14"/>
  <c r="N16" i="14"/>
  <c r="O16" i="14" s="1"/>
  <c r="S5" i="14"/>
  <c r="S6" i="14"/>
  <c r="T6" i="14" s="1"/>
  <c r="Y9" i="14"/>
  <c r="Y11" i="14"/>
  <c r="N12" i="14"/>
  <c r="O12" i="14" s="1"/>
  <c r="J13" i="14"/>
  <c r="N20" i="14"/>
  <c r="O20" i="14" s="1"/>
  <c r="I22" i="14"/>
  <c r="J22" i="14" s="1"/>
  <c r="D25" i="14"/>
  <c r="E25" i="14" s="1"/>
  <c r="O35" i="14"/>
  <c r="N36" i="14"/>
  <c r="O36" i="14" s="1"/>
  <c r="J37" i="14"/>
  <c r="X37" i="14"/>
  <c r="Y37" i="14" s="1"/>
  <c r="R55" i="14"/>
  <c r="T44" i="14"/>
  <c r="I45" i="14"/>
  <c r="J45" i="14" s="1"/>
  <c r="J49" i="14"/>
  <c r="I50" i="14"/>
  <c r="J50" i="14" s="1"/>
  <c r="S51" i="14"/>
  <c r="O6" i="14"/>
  <c r="T11" i="14"/>
  <c r="Y13" i="14"/>
  <c r="E18" i="14"/>
  <c r="X18" i="14"/>
  <c r="Y18" i="14" s="1"/>
  <c r="J21" i="14"/>
  <c r="D22" i="14"/>
  <c r="E22" i="14" s="1"/>
  <c r="X24" i="14"/>
  <c r="Y24" i="14" s="1"/>
  <c r="W55" i="14"/>
  <c r="E50" i="14"/>
  <c r="X50" i="14"/>
  <c r="Y50" i="14" s="1"/>
  <c r="Y57" i="14"/>
  <c r="O58" i="14"/>
  <c r="L27" i="18"/>
  <c r="E27" i="18"/>
  <c r="M27" i="18"/>
  <c r="B48" i="18"/>
  <c r="B64" i="18" s="1"/>
  <c r="F48" i="18"/>
  <c r="F64" i="18" s="1"/>
  <c r="J48" i="18"/>
  <c r="J64" i="18" s="1"/>
  <c r="N48" i="18"/>
  <c r="N64" i="18" s="1"/>
  <c r="K27" i="18"/>
  <c r="H27" i="18"/>
  <c r="D48" i="18"/>
  <c r="D64" i="18" s="1"/>
  <c r="H48" i="18"/>
  <c r="H64" i="18" s="1"/>
  <c r="L48" i="18"/>
  <c r="L64" i="18" s="1"/>
  <c r="P48" i="18"/>
  <c r="P64" i="18" s="1"/>
  <c r="G27" i="17"/>
  <c r="V27" i="17"/>
  <c r="E25" i="17"/>
  <c r="Y25" i="17"/>
  <c r="O25" i="17"/>
  <c r="C27" i="17"/>
  <c r="H27" i="17"/>
  <c r="R27" i="17"/>
  <c r="W27" i="17"/>
  <c r="E37" i="17"/>
  <c r="Y37" i="17"/>
  <c r="O46" i="17"/>
  <c r="C48" i="17"/>
  <c r="C64" i="17" s="1"/>
  <c r="H48" i="17"/>
  <c r="H64" i="17" s="1"/>
  <c r="R48" i="17"/>
  <c r="R64" i="17" s="1"/>
  <c r="W48" i="17"/>
  <c r="W64" i="17" s="1"/>
  <c r="S27" i="17"/>
  <c r="D48" i="17"/>
  <c r="D64" i="17" s="1"/>
  <c r="S48" i="17"/>
  <c r="S64" i="17" s="1"/>
  <c r="X48" i="17"/>
  <c r="X64" i="17" s="1"/>
  <c r="B27" i="17"/>
  <c r="L27" i="17"/>
  <c r="AA27" i="17"/>
  <c r="J25" i="17"/>
  <c r="D27" i="17"/>
  <c r="N27" i="17"/>
  <c r="X27" i="17"/>
  <c r="J37" i="17"/>
  <c r="T46" i="17"/>
  <c r="N48" i="17"/>
  <c r="N64" i="17" s="1"/>
  <c r="F27" i="17"/>
  <c r="K27" i="17"/>
  <c r="O37" i="17"/>
  <c r="E46" i="17"/>
  <c r="Y46" i="17"/>
  <c r="F48" i="17"/>
  <c r="F64" i="17" s="1"/>
  <c r="K48" i="17"/>
  <c r="K64" i="17" s="1"/>
  <c r="P48" i="17"/>
  <c r="P64" i="17" s="1"/>
  <c r="Z48" i="17"/>
  <c r="Z64" i="17" s="1"/>
  <c r="O25" i="14"/>
  <c r="E27" i="14"/>
  <c r="I35" i="14"/>
  <c r="J35" i="14" s="1"/>
  <c r="J36" i="14"/>
  <c r="N38" i="14"/>
  <c r="O38" i="14" s="1"/>
  <c r="O39" i="14"/>
  <c r="X45" i="14"/>
  <c r="Y45" i="14" s="1"/>
  <c r="Y46" i="14"/>
  <c r="D49" i="14"/>
  <c r="E49" i="14" s="1"/>
  <c r="N34" i="14"/>
  <c r="O34" i="14" s="1"/>
  <c r="S37" i="14"/>
  <c r="T37" i="14" s="1"/>
  <c r="X40" i="14"/>
  <c r="Y40" i="14" s="1"/>
  <c r="D45" i="14"/>
  <c r="E45" i="14" s="1"/>
  <c r="I48" i="14"/>
  <c r="J48" i="14" s="1"/>
  <c r="N5" i="14"/>
  <c r="I6" i="14"/>
  <c r="D8" i="14"/>
  <c r="E8" i="14" s="1"/>
  <c r="X8" i="14"/>
  <c r="Y8" i="14" s="1"/>
  <c r="S9" i="14"/>
  <c r="T9" i="14" s="1"/>
  <c r="N11" i="14"/>
  <c r="O11" i="14" s="1"/>
  <c r="I12" i="14"/>
  <c r="J12" i="14" s="1"/>
  <c r="S13" i="14"/>
  <c r="T13" i="14" s="1"/>
  <c r="N15" i="14"/>
  <c r="I16" i="14"/>
  <c r="J16" i="14" s="1"/>
  <c r="D17" i="14"/>
  <c r="X17" i="14"/>
  <c r="Y17" i="14" s="1"/>
  <c r="S18" i="14"/>
  <c r="T18" i="14" s="1"/>
  <c r="N19" i="14"/>
  <c r="O19" i="14" s="1"/>
  <c r="I20" i="14"/>
  <c r="J20" i="14" s="1"/>
  <c r="D21" i="14"/>
  <c r="E21" i="14" s="1"/>
  <c r="X21" i="14"/>
  <c r="Y21" i="14" s="1"/>
  <c r="S22" i="14"/>
  <c r="N23" i="14"/>
  <c r="O23" i="14" s="1"/>
  <c r="I24" i="14"/>
  <c r="J24" i="14" s="1"/>
  <c r="X27" i="14"/>
  <c r="Y27" i="14" s="1"/>
  <c r="S33" i="14"/>
  <c r="X36" i="14"/>
  <c r="D40" i="14"/>
  <c r="E40" i="14" s="1"/>
  <c r="I44" i="14"/>
  <c r="J44" i="14" s="1"/>
  <c r="H55" i="14"/>
  <c r="N47" i="14"/>
  <c r="O47" i="14" s="1"/>
  <c r="I15" i="14"/>
  <c r="S24" i="14"/>
  <c r="T24" i="14" s="1"/>
  <c r="J25" i="14"/>
  <c r="I26" i="14"/>
  <c r="J26" i="14" s="1"/>
  <c r="Y26" i="14"/>
  <c r="D36" i="14"/>
  <c r="E37" i="14"/>
  <c r="I39" i="14"/>
  <c r="J39" i="14" s="1"/>
  <c r="J40" i="14"/>
  <c r="O44" i="14"/>
  <c r="S46" i="14"/>
  <c r="T46" i="14" s="1"/>
  <c r="T47" i="14"/>
  <c r="M55" i="14"/>
  <c r="X49" i="14"/>
  <c r="Y49" i="14" s="1"/>
  <c r="S50" i="14"/>
  <c r="T50" i="14" s="1"/>
  <c r="N51" i="14"/>
  <c r="I52" i="14"/>
  <c r="J52" i="14" s="1"/>
  <c r="N54" i="14"/>
  <c r="O54" i="14" s="1"/>
  <c r="S57" i="14"/>
  <c r="T57" i="14" s="1"/>
  <c r="N33" i="14"/>
  <c r="D44" i="14"/>
  <c r="X44" i="14"/>
  <c r="AA123" i="32" l="1"/>
  <c r="BE123" i="31"/>
  <c r="AA77" i="32"/>
  <c r="BE77" i="31"/>
  <c r="AA95" i="32"/>
  <c r="BE95" i="31"/>
  <c r="AA127" i="32"/>
  <c r="BE127" i="31"/>
  <c r="AA133" i="32"/>
  <c r="BE133" i="31"/>
  <c r="AA122" i="32"/>
  <c r="BE122" i="31"/>
  <c r="AA117" i="32"/>
  <c r="BE117" i="31"/>
  <c r="AA113" i="32"/>
  <c r="BE113" i="31"/>
  <c r="AA126" i="32"/>
  <c r="BE126" i="31"/>
  <c r="AA89" i="32"/>
  <c r="BE89" i="31"/>
  <c r="AA86" i="32"/>
  <c r="BE86" i="31"/>
  <c r="BG108" i="31"/>
  <c r="BF173" i="31"/>
  <c r="BG112" i="31"/>
  <c r="BF177" i="31"/>
  <c r="AA85" i="32"/>
  <c r="BE85" i="31"/>
  <c r="AA131" i="32"/>
  <c r="BE131" i="31"/>
  <c r="BE162" i="31"/>
  <c r="BF97" i="31"/>
  <c r="BF109" i="31"/>
  <c r="BE174" i="31"/>
  <c r="BF120" i="31"/>
  <c r="BE185" i="31"/>
  <c r="BF90" i="31"/>
  <c r="BE155" i="31"/>
  <c r="BE167" i="31"/>
  <c r="BF102" i="31"/>
  <c r="AA99" i="32"/>
  <c r="BE99" i="31"/>
  <c r="AA84" i="32"/>
  <c r="BE84" i="31"/>
  <c r="AA83" i="32"/>
  <c r="BE83" i="31"/>
  <c r="AA111" i="32"/>
  <c r="BE111" i="31"/>
  <c r="AA94" i="32"/>
  <c r="BE94" i="31"/>
  <c r="AA98" i="32"/>
  <c r="BE98" i="31"/>
  <c r="AA106" i="32"/>
  <c r="BE106" i="31"/>
  <c r="AA82" i="32"/>
  <c r="BE82" i="31"/>
  <c r="AA87" i="32"/>
  <c r="BE87" i="31"/>
  <c r="AA116" i="32"/>
  <c r="BE116" i="31"/>
  <c r="AA124" i="32"/>
  <c r="BE124" i="31"/>
  <c r="AA96" i="32"/>
  <c r="BE96" i="31"/>
  <c r="BI130" i="31"/>
  <c r="AB130" i="32" s="1"/>
  <c r="BH195" i="31"/>
  <c r="BI195" i="31" s="1"/>
  <c r="AB195" i="32" s="1"/>
  <c r="BG118" i="31"/>
  <c r="BF183" i="31"/>
  <c r="BG79" i="31"/>
  <c r="BF144" i="31"/>
  <c r="BF101" i="31"/>
  <c r="BE166" i="31"/>
  <c r="AA100" i="32"/>
  <c r="BE100" i="31"/>
  <c r="AA88" i="32"/>
  <c r="BE88" i="31"/>
  <c r="AA103" i="32"/>
  <c r="BE103" i="31"/>
  <c r="AA121" i="32"/>
  <c r="BE121" i="31"/>
  <c r="AA125" i="32"/>
  <c r="BE125" i="31"/>
  <c r="AA129" i="32"/>
  <c r="BE129" i="31"/>
  <c r="AA107" i="32"/>
  <c r="BE107" i="31"/>
  <c r="AA134" i="32"/>
  <c r="BE134" i="31"/>
  <c r="AA114" i="32"/>
  <c r="BE114" i="31"/>
  <c r="AA104" i="32"/>
  <c r="BE104" i="31"/>
  <c r="AA115" i="32"/>
  <c r="BE115" i="31"/>
  <c r="AA119" i="32"/>
  <c r="BE119" i="31"/>
  <c r="BE175" i="31"/>
  <c r="BF110" i="31"/>
  <c r="BF105" i="31"/>
  <c r="BE170" i="31"/>
  <c r="BF80" i="31"/>
  <c r="BE145" i="31"/>
  <c r="BF128" i="31"/>
  <c r="BE193" i="31"/>
  <c r="BE197" i="31"/>
  <c r="BF132" i="31"/>
  <c r="BD142" i="31"/>
  <c r="O15" i="17"/>
  <c r="O27" i="17" s="1"/>
  <c r="AJ79" i="18"/>
  <c r="AC10" i="18"/>
  <c r="T15" i="17"/>
  <c r="T27" i="17" s="1"/>
  <c r="J48" i="17"/>
  <c r="J64" i="17" s="1"/>
  <c r="Y15" i="17"/>
  <c r="Y27" i="17" s="1"/>
  <c r="T48" i="17"/>
  <c r="T64" i="17" s="1"/>
  <c r="I28" i="14"/>
  <c r="S28" i="14"/>
  <c r="Y33" i="14"/>
  <c r="O15" i="14"/>
  <c r="O28" i="14" s="1"/>
  <c r="N28" i="14"/>
  <c r="Y28" i="14"/>
  <c r="X28" i="14"/>
  <c r="D28" i="14"/>
  <c r="T51" i="14"/>
  <c r="T175" i="13" s="1"/>
  <c r="S175" i="13"/>
  <c r="Y68" i="31"/>
  <c r="Y65" i="31"/>
  <c r="Y51" i="14"/>
  <c r="Y175" i="13" s="1"/>
  <c r="X175" i="13"/>
  <c r="T68" i="31"/>
  <c r="T65" i="31"/>
  <c r="O51" i="14"/>
  <c r="O175" i="13" s="1"/>
  <c r="N175" i="13"/>
  <c r="E51" i="14"/>
  <c r="E175" i="13" s="1"/>
  <c r="E27" i="17"/>
  <c r="J51" i="14"/>
  <c r="J175" i="13" s="1"/>
  <c r="I175" i="13"/>
  <c r="J33" i="14"/>
  <c r="J41" i="14" s="1"/>
  <c r="I41" i="14"/>
  <c r="E5" i="14"/>
  <c r="T5" i="14"/>
  <c r="J5" i="14"/>
  <c r="X41" i="14"/>
  <c r="N41" i="14"/>
  <c r="T33" i="14"/>
  <c r="T41" i="14" s="1"/>
  <c r="S41" i="14"/>
  <c r="D41" i="14"/>
  <c r="E48" i="17"/>
  <c r="E64" i="17" s="1"/>
  <c r="J27" i="17"/>
  <c r="Y48" i="17"/>
  <c r="Y64" i="17" s="1"/>
  <c r="O48" i="17"/>
  <c r="O64" i="17" s="1"/>
  <c r="N55" i="14"/>
  <c r="T22" i="14"/>
  <c r="T28" i="14" s="1"/>
  <c r="D55" i="14"/>
  <c r="E44" i="14"/>
  <c r="I55" i="14"/>
  <c r="J6" i="14"/>
  <c r="E17" i="14"/>
  <c r="E28" i="14" s="1"/>
  <c r="O5" i="14"/>
  <c r="O33" i="14"/>
  <c r="O41" i="14" s="1"/>
  <c r="S55" i="14"/>
  <c r="Y36" i="14"/>
  <c r="X55" i="14"/>
  <c r="Y44" i="14"/>
  <c r="E36" i="14"/>
  <c r="E41" i="14" s="1"/>
  <c r="J15" i="14"/>
  <c r="J28" i="14" s="1"/>
  <c r="BD37" i="13" l="1"/>
  <c r="AA37" i="15" s="1"/>
  <c r="BF77" i="31"/>
  <c r="BE142" i="31"/>
  <c r="BF106" i="31"/>
  <c r="BE171" i="31"/>
  <c r="BF197" i="31"/>
  <c r="BG132" i="31"/>
  <c r="BG110" i="31"/>
  <c r="BF175" i="31"/>
  <c r="BE180" i="31"/>
  <c r="BF115" i="31"/>
  <c r="BE172" i="31"/>
  <c r="BF107" i="31"/>
  <c r="BF125" i="31"/>
  <c r="BE190" i="31"/>
  <c r="BF103" i="31"/>
  <c r="BE168" i="31"/>
  <c r="BF100" i="31"/>
  <c r="BE165" i="31"/>
  <c r="BG120" i="31"/>
  <c r="BF185" i="31"/>
  <c r="BF113" i="31"/>
  <c r="BE178" i="31"/>
  <c r="BF122" i="31"/>
  <c r="BE187" i="31"/>
  <c r="BG80" i="31"/>
  <c r="BF145" i="31"/>
  <c r="BF99" i="31"/>
  <c r="BE164" i="31"/>
  <c r="BE184" i="31"/>
  <c r="BF119" i="31"/>
  <c r="BF104" i="31"/>
  <c r="BE169" i="31"/>
  <c r="BE199" i="31"/>
  <c r="BF134" i="31"/>
  <c r="BE194" i="31"/>
  <c r="BF129" i="31"/>
  <c r="BF121" i="31"/>
  <c r="BE186" i="31"/>
  <c r="BF88" i="31"/>
  <c r="BE153" i="31"/>
  <c r="BF155" i="31"/>
  <c r="BG90" i="31"/>
  <c r="BG109" i="31"/>
  <c r="BF174" i="31"/>
  <c r="BE151" i="31"/>
  <c r="BF86" i="31"/>
  <c r="BF126" i="31"/>
  <c r="BE191" i="31"/>
  <c r="BF117" i="31"/>
  <c r="BE182" i="31"/>
  <c r="BF133" i="31"/>
  <c r="BE198" i="31"/>
  <c r="BF95" i="31"/>
  <c r="BE160" i="31"/>
  <c r="BE188" i="31"/>
  <c r="BF123" i="31"/>
  <c r="BF114" i="31"/>
  <c r="BE179" i="31"/>
  <c r="BF89" i="31"/>
  <c r="BE154" i="31"/>
  <c r="BF127" i="31"/>
  <c r="BE192" i="31"/>
  <c r="BH79" i="31"/>
  <c r="BG144" i="31"/>
  <c r="BF124" i="31"/>
  <c r="BE189" i="31"/>
  <c r="BE152" i="31"/>
  <c r="BF87" i="31"/>
  <c r="BF94" i="31"/>
  <c r="BE159" i="31"/>
  <c r="BF83" i="31"/>
  <c r="BE148" i="31"/>
  <c r="BE196" i="31"/>
  <c r="BF131" i="31"/>
  <c r="BH108" i="31"/>
  <c r="BG173" i="31"/>
  <c r="BG128" i="31"/>
  <c r="BF193" i="31"/>
  <c r="BG105" i="31"/>
  <c r="BF170" i="31"/>
  <c r="BG101" i="31"/>
  <c r="BF166" i="31"/>
  <c r="BG183" i="31"/>
  <c r="BH118" i="31"/>
  <c r="BF96" i="31"/>
  <c r="BE161" i="31"/>
  <c r="BE181" i="31"/>
  <c r="BF116" i="31"/>
  <c r="BF82" i="31"/>
  <c r="BE147" i="31"/>
  <c r="BF98" i="31"/>
  <c r="BE163" i="31"/>
  <c r="BF111" i="31"/>
  <c r="BE176" i="31"/>
  <c r="BE149" i="31"/>
  <c r="BF84" i="31"/>
  <c r="BF167" i="31"/>
  <c r="BG102" i="31"/>
  <c r="BF162" i="31"/>
  <c r="BG97" i="31"/>
  <c r="BF85" i="31"/>
  <c r="BE150" i="31"/>
  <c r="BH112" i="31"/>
  <c r="BG177" i="31"/>
  <c r="BD202" i="31"/>
  <c r="AA202" i="32" s="1"/>
  <c r="AA142" i="32"/>
  <c r="AD10" i="18"/>
  <c r="AC26" i="16"/>
  <c r="AK79" i="18" s="1"/>
  <c r="E55" i="14"/>
  <c r="O55" i="14"/>
  <c r="Y55" i="14"/>
  <c r="T55" i="14"/>
  <c r="Y41" i="14"/>
  <c r="T70" i="31"/>
  <c r="T71" i="31"/>
  <c r="Y70" i="31"/>
  <c r="Y71" i="31"/>
  <c r="J55" i="14"/>
  <c r="AA7" i="4"/>
  <c r="Z7" i="4"/>
  <c r="U7" i="11" s="1"/>
  <c r="Y7" i="4"/>
  <c r="X7" i="4"/>
  <c r="W7" i="4"/>
  <c r="V7" i="4"/>
  <c r="U7" i="4"/>
  <c r="T7" i="11" s="1"/>
  <c r="S7" i="4"/>
  <c r="R7" i="4"/>
  <c r="Q7" i="4"/>
  <c r="P7" i="4"/>
  <c r="S7" i="11" s="1"/>
  <c r="N7" i="4"/>
  <c r="M7" i="4"/>
  <c r="L7" i="4"/>
  <c r="A7" i="11"/>
  <c r="U7" i="10"/>
  <c r="T7" i="10"/>
  <c r="S7" i="10"/>
  <c r="A7" i="10"/>
  <c r="Y6" i="2"/>
  <c r="T6" i="2"/>
  <c r="A7" i="7"/>
  <c r="AA8" i="1"/>
  <c r="AA7" i="1"/>
  <c r="Z7" i="1"/>
  <c r="U7" i="7" s="1"/>
  <c r="X7" i="1"/>
  <c r="W7" i="1"/>
  <c r="V7" i="1"/>
  <c r="U7" i="1"/>
  <c r="T7" i="7" s="1"/>
  <c r="S7" i="1"/>
  <c r="R7" i="1"/>
  <c r="Q7" i="1"/>
  <c r="P7" i="1"/>
  <c r="S7" i="7" s="1"/>
  <c r="N7" i="1"/>
  <c r="M7" i="1"/>
  <c r="L7" i="1"/>
  <c r="J6" i="1"/>
  <c r="O6" i="1"/>
  <c r="T6" i="1"/>
  <c r="Y6" i="1"/>
  <c r="AD7" i="1" s="1"/>
  <c r="U23" i="40"/>
  <c r="T23" i="40"/>
  <c r="S23" i="40"/>
  <c r="R23" i="40"/>
  <c r="Q23" i="40"/>
  <c r="U15" i="40"/>
  <c r="U13" i="47" s="1"/>
  <c r="T15" i="40"/>
  <c r="T13" i="47" s="1"/>
  <c r="S15" i="40"/>
  <c r="S13" i="47" s="1"/>
  <c r="R15" i="40"/>
  <c r="R13" i="47" s="1"/>
  <c r="Q15" i="40"/>
  <c r="Q13" i="47" s="1"/>
  <c r="U14" i="40"/>
  <c r="U12" i="47" s="1"/>
  <c r="T14" i="40"/>
  <c r="T12" i="47" s="1"/>
  <c r="S14" i="40"/>
  <c r="S12" i="47" s="1"/>
  <c r="R14" i="40"/>
  <c r="R12" i="47" s="1"/>
  <c r="Q14" i="40"/>
  <c r="Q12" i="47" s="1"/>
  <c r="U13" i="40"/>
  <c r="U11" i="47" s="1"/>
  <c r="T13" i="40"/>
  <c r="T11" i="47" s="1"/>
  <c r="S13" i="40"/>
  <c r="S11" i="47" s="1"/>
  <c r="R13" i="40"/>
  <c r="R11" i="47" s="1"/>
  <c r="Q13" i="40"/>
  <c r="Q11" i="47" s="1"/>
  <c r="U12" i="40"/>
  <c r="U10" i="47" s="1"/>
  <c r="T12" i="40"/>
  <c r="T10" i="47" s="1"/>
  <c r="S12" i="40"/>
  <c r="S10" i="47" s="1"/>
  <c r="R12" i="40"/>
  <c r="R10" i="47" s="1"/>
  <c r="Q12" i="40"/>
  <c r="Q10" i="47" s="1"/>
  <c r="U11" i="40"/>
  <c r="U9" i="47" s="1"/>
  <c r="T11" i="40"/>
  <c r="T9" i="47" s="1"/>
  <c r="S11" i="40"/>
  <c r="S9" i="47" s="1"/>
  <c r="R11" i="40"/>
  <c r="R9" i="47" s="1"/>
  <c r="Q11" i="40"/>
  <c r="Q9" i="47" s="1"/>
  <c r="U10" i="40"/>
  <c r="U8" i="47" s="1"/>
  <c r="T10" i="40"/>
  <c r="T8" i="47" s="1"/>
  <c r="S10" i="40"/>
  <c r="S8" i="47" s="1"/>
  <c r="R10" i="40"/>
  <c r="R8" i="47" s="1"/>
  <c r="Q10" i="40"/>
  <c r="Q8" i="47" s="1"/>
  <c r="U9" i="40"/>
  <c r="U7" i="47" s="1"/>
  <c r="T9" i="40"/>
  <c r="T7" i="47" s="1"/>
  <c r="S9" i="40"/>
  <c r="S7" i="47" s="1"/>
  <c r="R9" i="40"/>
  <c r="R7" i="47" s="1"/>
  <c r="Q9" i="40"/>
  <c r="Q7" i="47" s="1"/>
  <c r="U8" i="40"/>
  <c r="U6" i="47" s="1"/>
  <c r="T8" i="40"/>
  <c r="T6" i="47" s="1"/>
  <c r="S8" i="40"/>
  <c r="S6" i="47" s="1"/>
  <c r="R8" i="40"/>
  <c r="R6" i="47" s="1"/>
  <c r="Q8" i="40"/>
  <c r="Q6" i="47" s="1"/>
  <c r="A23" i="40"/>
  <c r="A15" i="40"/>
  <c r="A14" i="40"/>
  <c r="A13" i="40"/>
  <c r="A12" i="40"/>
  <c r="A11" i="40"/>
  <c r="A10" i="40"/>
  <c r="A9" i="40"/>
  <c r="A8" i="40"/>
  <c r="A9" i="8"/>
  <c r="A8" i="8"/>
  <c r="A7" i="8"/>
  <c r="A6" i="8"/>
  <c r="A5" i="8"/>
  <c r="BE202" i="31" l="1"/>
  <c r="BE37" i="13" s="1"/>
  <c r="BG162" i="31"/>
  <c r="BH97" i="31"/>
  <c r="BF149" i="31"/>
  <c r="BG84" i="31"/>
  <c r="BG116" i="31"/>
  <c r="BF181" i="31"/>
  <c r="BI118" i="31"/>
  <c r="AB118" i="32" s="1"/>
  <c r="AC118" i="32" s="1"/>
  <c r="BH183" i="31"/>
  <c r="BI183" i="31" s="1"/>
  <c r="AB183" i="32" s="1"/>
  <c r="BG131" i="31"/>
  <c r="BF196" i="31"/>
  <c r="BF148" i="31"/>
  <c r="BG83" i="31"/>
  <c r="BI79" i="31"/>
  <c r="AB79" i="32" s="1"/>
  <c r="AC79" i="32" s="1"/>
  <c r="BH144" i="31"/>
  <c r="BI144" i="31" s="1"/>
  <c r="AB144" i="32" s="1"/>
  <c r="BF154" i="31"/>
  <c r="BG89" i="31"/>
  <c r="BG86" i="31"/>
  <c r="BF151" i="31"/>
  <c r="BH90" i="31"/>
  <c r="BG155" i="31"/>
  <c r="BG88" i="31"/>
  <c r="BF153" i="31"/>
  <c r="BG104" i="31"/>
  <c r="BF169" i="31"/>
  <c r="BF172" i="31"/>
  <c r="BG107" i="31"/>
  <c r="BH105" i="31"/>
  <c r="BG170" i="31"/>
  <c r="BG95" i="31"/>
  <c r="BF160" i="31"/>
  <c r="BG117" i="31"/>
  <c r="BF182" i="31"/>
  <c r="BG134" i="31"/>
  <c r="BF199" i="31"/>
  <c r="BG119" i="31"/>
  <c r="BF184" i="31"/>
  <c r="BF164" i="31"/>
  <c r="BG99" i="31"/>
  <c r="BF187" i="31"/>
  <c r="BG122" i="31"/>
  <c r="BH120" i="31"/>
  <c r="BG185" i="31"/>
  <c r="BG103" i="31"/>
  <c r="BF168" i="31"/>
  <c r="BG175" i="31"/>
  <c r="BH110" i="31"/>
  <c r="BG106" i="31"/>
  <c r="BF171" i="31"/>
  <c r="BH102" i="31"/>
  <c r="BG167" i="31"/>
  <c r="BG94" i="31"/>
  <c r="BF159" i="31"/>
  <c r="BG124" i="31"/>
  <c r="BF189" i="31"/>
  <c r="BF192" i="31"/>
  <c r="BG127" i="31"/>
  <c r="BG123" i="31"/>
  <c r="BF188" i="31"/>
  <c r="BF186" i="31"/>
  <c r="BG121" i="31"/>
  <c r="BF180" i="31"/>
  <c r="BG115" i="31"/>
  <c r="BH132" i="31"/>
  <c r="BG197" i="31"/>
  <c r="BI112" i="31"/>
  <c r="AB112" i="32" s="1"/>
  <c r="AC112" i="32" s="1"/>
  <c r="BH177" i="31"/>
  <c r="BI177" i="31" s="1"/>
  <c r="AB177" i="32" s="1"/>
  <c r="BG98" i="31"/>
  <c r="BF163" i="31"/>
  <c r="BG85" i="31"/>
  <c r="BF150" i="31"/>
  <c r="BG111" i="31"/>
  <c r="BF176" i="31"/>
  <c r="BG82" i="31"/>
  <c r="BF147" i="31"/>
  <c r="BG96" i="31"/>
  <c r="BF161" i="31"/>
  <c r="BH101" i="31"/>
  <c r="BG166" i="31"/>
  <c r="BH128" i="31"/>
  <c r="BG193" i="31"/>
  <c r="BI108" i="31"/>
  <c r="AB108" i="32" s="1"/>
  <c r="AC108" i="32" s="1"/>
  <c r="BH173" i="31"/>
  <c r="BI173" i="31" s="1"/>
  <c r="AB173" i="32" s="1"/>
  <c r="BG87" i="31"/>
  <c r="BF152" i="31"/>
  <c r="BG114" i="31"/>
  <c r="BF179" i="31"/>
  <c r="BF198" i="31"/>
  <c r="BG133" i="31"/>
  <c r="BG126" i="31"/>
  <c r="BF191" i="31"/>
  <c r="BH109" i="31"/>
  <c r="BG174" i="31"/>
  <c r="BF194" i="31"/>
  <c r="BG129" i="31"/>
  <c r="BG145" i="31"/>
  <c r="BH80" i="31"/>
  <c r="BG113" i="31"/>
  <c r="BF178" i="31"/>
  <c r="BG100" i="31"/>
  <c r="BF165" i="31"/>
  <c r="BG125" i="31"/>
  <c r="BF190" i="31"/>
  <c r="BG77" i="31"/>
  <c r="BF142" i="31"/>
  <c r="AD26" i="16"/>
  <c r="AL79" i="18" s="1"/>
  <c r="AE10" i="18"/>
  <c r="AC18" i="18"/>
  <c r="AD7" i="2"/>
  <c r="Y72" i="31"/>
  <c r="Y7" i="2"/>
  <c r="T72" i="31"/>
  <c r="Y7" i="1"/>
  <c r="O7" i="1"/>
  <c r="T7" i="1"/>
  <c r="AD108" i="32" l="1"/>
  <c r="AC173" i="32"/>
  <c r="AC183" i="32"/>
  <c r="AD118" i="32"/>
  <c r="AF10" i="18"/>
  <c r="AF26" i="16"/>
  <c r="AD79" i="32"/>
  <c r="AC144" i="32"/>
  <c r="AC177" i="32"/>
  <c r="AD112" i="32"/>
  <c r="AE26" i="16"/>
  <c r="AM79" i="18" s="1"/>
  <c r="BF202" i="31"/>
  <c r="BF37" i="13" s="1"/>
  <c r="BH125" i="31"/>
  <c r="BG190" i="31"/>
  <c r="BG178" i="31"/>
  <c r="BH113" i="31"/>
  <c r="BH197" i="31"/>
  <c r="BI197" i="31" s="1"/>
  <c r="AB197" i="32" s="1"/>
  <c r="BI132" i="31"/>
  <c r="AB132" i="32" s="1"/>
  <c r="AC132" i="32" s="1"/>
  <c r="BG186" i="31"/>
  <c r="BH121" i="31"/>
  <c r="BG188" i="31"/>
  <c r="BH123" i="31"/>
  <c r="BH122" i="31"/>
  <c r="BG187" i="31"/>
  <c r="BH88" i="31"/>
  <c r="BG153" i="31"/>
  <c r="BG151" i="31"/>
  <c r="BH86" i="31"/>
  <c r="BH162" i="31"/>
  <c r="BI162" i="31" s="1"/>
  <c r="AB162" i="32" s="1"/>
  <c r="BI97" i="31"/>
  <c r="AB97" i="32" s="1"/>
  <c r="AC97" i="32" s="1"/>
  <c r="BG191" i="31"/>
  <c r="BH126" i="31"/>
  <c r="BH82" i="31"/>
  <c r="BG147" i="31"/>
  <c r="BG180" i="31"/>
  <c r="BH115" i="31"/>
  <c r="BH124" i="31"/>
  <c r="BG189" i="31"/>
  <c r="BH106" i="31"/>
  <c r="BG171" i="31"/>
  <c r="BG168" i="31"/>
  <c r="BH103" i="31"/>
  <c r="BG184" i="31"/>
  <c r="BH119" i="31"/>
  <c r="BH117" i="31"/>
  <c r="BG182" i="31"/>
  <c r="BH170" i="31"/>
  <c r="BI170" i="31" s="1"/>
  <c r="AB170" i="32" s="1"/>
  <c r="BI105" i="31"/>
  <c r="AB105" i="32" s="1"/>
  <c r="AC105" i="32" s="1"/>
  <c r="BG196" i="31"/>
  <c r="BH131" i="31"/>
  <c r="BG181" i="31"/>
  <c r="BH116" i="31"/>
  <c r="BI80" i="31"/>
  <c r="AB80" i="32" s="1"/>
  <c r="AC80" i="32" s="1"/>
  <c r="BH145" i="31"/>
  <c r="BI145" i="31" s="1"/>
  <c r="AB145" i="32" s="1"/>
  <c r="BH114" i="31"/>
  <c r="BG179" i="31"/>
  <c r="BI101" i="31"/>
  <c r="AB101" i="32" s="1"/>
  <c r="AC101" i="32" s="1"/>
  <c r="BH166" i="31"/>
  <c r="BI166" i="31" s="1"/>
  <c r="AB166" i="32" s="1"/>
  <c r="BH77" i="31"/>
  <c r="BG142" i="31"/>
  <c r="BG165" i="31"/>
  <c r="BH100" i="31"/>
  <c r="BH133" i="31"/>
  <c r="BG198" i="31"/>
  <c r="BG192" i="31"/>
  <c r="BH127" i="31"/>
  <c r="BI102" i="31"/>
  <c r="AB102" i="32" s="1"/>
  <c r="AC102" i="32" s="1"/>
  <c r="BH167" i="31"/>
  <c r="BI167" i="31" s="1"/>
  <c r="AB167" i="32" s="1"/>
  <c r="BH175" i="31"/>
  <c r="BI175" i="31" s="1"/>
  <c r="AB175" i="32" s="1"/>
  <c r="BI110" i="31"/>
  <c r="AB110" i="32" s="1"/>
  <c r="AC110" i="32" s="1"/>
  <c r="BH99" i="31"/>
  <c r="BG164" i="31"/>
  <c r="BH107" i="31"/>
  <c r="BG172" i="31"/>
  <c r="BH104" i="31"/>
  <c r="BG169" i="31"/>
  <c r="BI90" i="31"/>
  <c r="AB90" i="32" s="1"/>
  <c r="AC90" i="32" s="1"/>
  <c r="BH155" i="31"/>
  <c r="BI155" i="31" s="1"/>
  <c r="AB155" i="32" s="1"/>
  <c r="BH89" i="31"/>
  <c r="BG154" i="31"/>
  <c r="BG148" i="31"/>
  <c r="BH83" i="31"/>
  <c r="BG149" i="31"/>
  <c r="BH84" i="31"/>
  <c r="BH85" i="31"/>
  <c r="BG150" i="31"/>
  <c r="BG194" i="31"/>
  <c r="BH129" i="31"/>
  <c r="BI109" i="31"/>
  <c r="AB109" i="32" s="1"/>
  <c r="AC109" i="32" s="1"/>
  <c r="BH174" i="31"/>
  <c r="BI174" i="31" s="1"/>
  <c r="AB174" i="32" s="1"/>
  <c r="BG152" i="31"/>
  <c r="BH87" i="31"/>
  <c r="BI128" i="31"/>
  <c r="AB128" i="32" s="1"/>
  <c r="AC128" i="32" s="1"/>
  <c r="BH193" i="31"/>
  <c r="BI193" i="31" s="1"/>
  <c r="AB193" i="32" s="1"/>
  <c r="BH96" i="31"/>
  <c r="BG161" i="31"/>
  <c r="BG176" i="31"/>
  <c r="BH111" i="31"/>
  <c r="BH98" i="31"/>
  <c r="BG163" i="31"/>
  <c r="BH94" i="31"/>
  <c r="BG159" i="31"/>
  <c r="BI120" i="31"/>
  <c r="AB120" i="32" s="1"/>
  <c r="AC120" i="32" s="1"/>
  <c r="BH185" i="31"/>
  <c r="BI185" i="31" s="1"/>
  <c r="AB185" i="32" s="1"/>
  <c r="BG199" i="31"/>
  <c r="BH134" i="31"/>
  <c r="BG160" i="31"/>
  <c r="BH95" i="31"/>
  <c r="AD18" i="18"/>
  <c r="AC32" i="16"/>
  <c r="V7" i="11"/>
  <c r="W7" i="10"/>
  <c r="V7" i="10"/>
  <c r="AC167" i="32" l="1"/>
  <c r="AD102" i="32"/>
  <c r="AD177" i="32"/>
  <c r="AE112" i="32"/>
  <c r="AC166" i="32"/>
  <c r="AD101" i="32"/>
  <c r="AC185" i="32"/>
  <c r="AD120" i="32"/>
  <c r="AD144" i="32"/>
  <c r="AE79" i="32"/>
  <c r="AC145" i="32"/>
  <c r="AD80" i="32"/>
  <c r="AD110" i="32"/>
  <c r="AC175" i="32"/>
  <c r="AD128" i="32"/>
  <c r="AC193" i="32"/>
  <c r="AC197" i="32"/>
  <c r="AD132" i="32"/>
  <c r="AC170" i="32"/>
  <c r="AD105" i="32"/>
  <c r="AC162" i="32"/>
  <c r="AD97" i="32"/>
  <c r="AC155" i="32"/>
  <c r="AD90" i="32"/>
  <c r="AD183" i="32"/>
  <c r="AE118" i="32"/>
  <c r="AC174" i="32"/>
  <c r="AD109" i="32"/>
  <c r="AE108" i="32"/>
  <c r="AD173" i="32"/>
  <c r="BG202" i="31"/>
  <c r="BG37" i="13" s="1"/>
  <c r="BH152" i="31"/>
  <c r="BI152" i="31" s="1"/>
  <c r="AB152" i="32" s="1"/>
  <c r="BI87" i="31"/>
  <c r="AB87" i="32" s="1"/>
  <c r="AC87" i="32" s="1"/>
  <c r="BH194" i="31"/>
  <c r="BI194" i="31" s="1"/>
  <c r="AB194" i="32" s="1"/>
  <c r="BI129" i="31"/>
  <c r="AB129" i="32" s="1"/>
  <c r="AC129" i="32" s="1"/>
  <c r="BI84" i="31"/>
  <c r="AB84" i="32" s="1"/>
  <c r="AC84" i="32" s="1"/>
  <c r="BH149" i="31"/>
  <c r="BI149" i="31" s="1"/>
  <c r="AB149" i="32" s="1"/>
  <c r="BI98" i="31"/>
  <c r="AB98" i="32" s="1"/>
  <c r="AC98" i="32" s="1"/>
  <c r="BH163" i="31"/>
  <c r="BI163" i="31" s="1"/>
  <c r="AB163" i="32" s="1"/>
  <c r="BI96" i="31"/>
  <c r="AB96" i="32" s="1"/>
  <c r="AC96" i="32" s="1"/>
  <c r="BH161" i="31"/>
  <c r="BI161" i="31" s="1"/>
  <c r="AB161" i="32" s="1"/>
  <c r="BH154" i="31"/>
  <c r="BI154" i="31" s="1"/>
  <c r="AB154" i="32" s="1"/>
  <c r="BI89" i="31"/>
  <c r="AB89" i="32" s="1"/>
  <c r="AC89" i="32" s="1"/>
  <c r="BI104" i="31"/>
  <c r="AB104" i="32" s="1"/>
  <c r="AC104" i="32" s="1"/>
  <c r="BH169" i="31"/>
  <c r="BI169" i="31" s="1"/>
  <c r="AB169" i="32" s="1"/>
  <c r="BH164" i="31"/>
  <c r="BI164" i="31" s="1"/>
  <c r="AB164" i="32" s="1"/>
  <c r="BI99" i="31"/>
  <c r="AB99" i="32" s="1"/>
  <c r="AC99" i="32" s="1"/>
  <c r="BI100" i="31"/>
  <c r="AB100" i="32" s="1"/>
  <c r="AC100" i="32" s="1"/>
  <c r="BH165" i="31"/>
  <c r="BI165" i="31" s="1"/>
  <c r="AB165" i="32" s="1"/>
  <c r="BI131" i="31"/>
  <c r="AB131" i="32" s="1"/>
  <c r="AC131" i="32" s="1"/>
  <c r="BH196" i="31"/>
  <c r="BI196" i="31" s="1"/>
  <c r="AB196" i="32" s="1"/>
  <c r="BH168" i="31"/>
  <c r="BI168" i="31" s="1"/>
  <c r="AB168" i="32" s="1"/>
  <c r="BI103" i="31"/>
  <c r="AB103" i="32" s="1"/>
  <c r="AC103" i="32" s="1"/>
  <c r="BH187" i="31"/>
  <c r="BI187" i="31" s="1"/>
  <c r="AB187" i="32" s="1"/>
  <c r="BI122" i="31"/>
  <c r="AB122" i="32" s="1"/>
  <c r="AC122" i="32" s="1"/>
  <c r="BI134" i="31"/>
  <c r="AB134" i="32" s="1"/>
  <c r="AC134" i="32" s="1"/>
  <c r="BH199" i="31"/>
  <c r="BI199" i="31" s="1"/>
  <c r="AB199" i="32" s="1"/>
  <c r="BH176" i="31"/>
  <c r="BI176" i="31" s="1"/>
  <c r="AB176" i="32" s="1"/>
  <c r="BI111" i="31"/>
  <c r="AB111" i="32" s="1"/>
  <c r="AC111" i="32" s="1"/>
  <c r="BI83" i="31"/>
  <c r="AB83" i="32" s="1"/>
  <c r="AC83" i="32" s="1"/>
  <c r="BH148" i="31"/>
  <c r="BI148" i="31" s="1"/>
  <c r="AB148" i="32" s="1"/>
  <c r="BI127" i="31"/>
  <c r="AB127" i="32" s="1"/>
  <c r="AC127" i="32" s="1"/>
  <c r="BH192" i="31"/>
  <c r="BI192" i="31" s="1"/>
  <c r="AB192" i="32" s="1"/>
  <c r="BI133" i="31"/>
  <c r="AB133" i="32" s="1"/>
  <c r="AC133" i="32" s="1"/>
  <c r="BH198" i="31"/>
  <c r="BI198" i="31" s="1"/>
  <c r="AB198" i="32" s="1"/>
  <c r="BI117" i="31"/>
  <c r="AB117" i="32" s="1"/>
  <c r="AC117" i="32" s="1"/>
  <c r="BH182" i="31"/>
  <c r="BI182" i="31" s="1"/>
  <c r="AB182" i="32" s="1"/>
  <c r="BI124" i="31"/>
  <c r="AB124" i="32" s="1"/>
  <c r="AC124" i="32" s="1"/>
  <c r="BH189" i="31"/>
  <c r="BI189" i="31" s="1"/>
  <c r="AB189" i="32" s="1"/>
  <c r="BI82" i="31"/>
  <c r="AB82" i="32" s="1"/>
  <c r="AC82" i="32" s="1"/>
  <c r="BH147" i="31"/>
  <c r="BI147" i="31" s="1"/>
  <c r="AB147" i="32" s="1"/>
  <c r="BI88" i="31"/>
  <c r="AB88" i="32" s="1"/>
  <c r="AC88" i="32" s="1"/>
  <c r="BH153" i="31"/>
  <c r="BI153" i="31" s="1"/>
  <c r="AB153" i="32" s="1"/>
  <c r="BH188" i="31"/>
  <c r="BI188" i="31" s="1"/>
  <c r="AB188" i="32" s="1"/>
  <c r="BI123" i="31"/>
  <c r="AB123" i="32" s="1"/>
  <c r="AC123" i="32" s="1"/>
  <c r="BI94" i="31"/>
  <c r="AB94" i="32" s="1"/>
  <c r="AC94" i="32" s="1"/>
  <c r="BH159" i="31"/>
  <c r="BI159" i="31" s="1"/>
  <c r="AB159" i="32" s="1"/>
  <c r="BI85" i="31"/>
  <c r="AB85" i="32" s="1"/>
  <c r="AC85" i="32" s="1"/>
  <c r="BH150" i="31"/>
  <c r="BI150" i="31" s="1"/>
  <c r="AB150" i="32" s="1"/>
  <c r="BH172" i="31"/>
  <c r="BI172" i="31" s="1"/>
  <c r="AB172" i="32" s="1"/>
  <c r="BI107" i="31"/>
  <c r="AB107" i="32" s="1"/>
  <c r="AC107" i="32" s="1"/>
  <c r="BI179" i="31"/>
  <c r="AB179" i="32" s="1"/>
  <c r="BI116" i="31"/>
  <c r="AB116" i="32" s="1"/>
  <c r="AC116" i="32" s="1"/>
  <c r="BH181" i="31"/>
  <c r="BI181" i="31" s="1"/>
  <c r="AB181" i="32" s="1"/>
  <c r="BI119" i="31"/>
  <c r="AB119" i="32" s="1"/>
  <c r="AC119" i="32" s="1"/>
  <c r="BH184" i="31"/>
  <c r="BI184" i="31" s="1"/>
  <c r="AB184" i="32" s="1"/>
  <c r="BI115" i="31"/>
  <c r="AB115" i="32" s="1"/>
  <c r="AC115" i="32" s="1"/>
  <c r="BH180" i="31"/>
  <c r="BI180" i="31" s="1"/>
  <c r="AB180" i="32" s="1"/>
  <c r="BI126" i="31"/>
  <c r="AB126" i="32" s="1"/>
  <c r="AC126" i="32" s="1"/>
  <c r="BH191" i="31"/>
  <c r="BI191" i="31" s="1"/>
  <c r="AB191" i="32" s="1"/>
  <c r="BH151" i="31"/>
  <c r="BI151" i="31" s="1"/>
  <c r="AB151" i="32" s="1"/>
  <c r="BI86" i="31"/>
  <c r="AB86" i="32" s="1"/>
  <c r="AC86" i="32" s="1"/>
  <c r="BH190" i="31"/>
  <c r="BI190" i="31" s="1"/>
  <c r="AB190" i="32" s="1"/>
  <c r="BI125" i="31"/>
  <c r="AB125" i="32" s="1"/>
  <c r="AC125" i="32" s="1"/>
  <c r="BI95" i="31"/>
  <c r="AB95" i="32" s="1"/>
  <c r="AC95" i="32" s="1"/>
  <c r="BH160" i="31"/>
  <c r="BI160" i="31" s="1"/>
  <c r="AB160" i="32" s="1"/>
  <c r="BI77" i="31"/>
  <c r="AB77" i="32" s="1"/>
  <c r="AC77" i="32" s="1"/>
  <c r="BH142" i="31"/>
  <c r="BI114" i="31"/>
  <c r="AB114" i="32" s="1"/>
  <c r="AC114" i="32" s="1"/>
  <c r="BH179" i="31"/>
  <c r="BI106" i="31"/>
  <c r="AB106" i="32" s="1"/>
  <c r="AC106" i="32" s="1"/>
  <c r="BH171" i="31"/>
  <c r="BI171" i="31" s="1"/>
  <c r="AB171" i="32" s="1"/>
  <c r="BH186" i="31"/>
  <c r="BI186" i="31" s="1"/>
  <c r="AB186" i="32" s="1"/>
  <c r="BI121" i="31"/>
  <c r="AB121" i="32" s="1"/>
  <c r="AC121" i="32" s="1"/>
  <c r="BH178" i="31"/>
  <c r="BI178" i="31" s="1"/>
  <c r="AB178" i="32" s="1"/>
  <c r="BI113" i="31"/>
  <c r="AB113" i="32" s="1"/>
  <c r="AC113" i="32" s="1"/>
  <c r="AD32" i="16"/>
  <c r="AE18" i="18"/>
  <c r="W7" i="11"/>
  <c r="A115" i="15"/>
  <c r="A114" i="15"/>
  <c r="A111" i="15"/>
  <c r="A110" i="15"/>
  <c r="A109" i="15"/>
  <c r="A108" i="15"/>
  <c r="F115" i="13"/>
  <c r="D115" i="13"/>
  <c r="C115" i="13"/>
  <c r="B115" i="13"/>
  <c r="W111" i="15"/>
  <c r="AH111" i="13"/>
  <c r="AG111" i="13"/>
  <c r="AF111" i="13"/>
  <c r="AE111" i="13"/>
  <c r="V111" i="15" s="1"/>
  <c r="AD111" i="13"/>
  <c r="AC111" i="13"/>
  <c r="AA111" i="13"/>
  <c r="Z111" i="13"/>
  <c r="U111" i="15" s="1"/>
  <c r="Y111" i="13"/>
  <c r="X111" i="13"/>
  <c r="W111" i="13"/>
  <c r="V111" i="13"/>
  <c r="U111" i="13"/>
  <c r="T111" i="15" s="1"/>
  <c r="T111" i="13"/>
  <c r="S111" i="13"/>
  <c r="R111" i="13"/>
  <c r="P111" i="13"/>
  <c r="S111" i="15" s="1"/>
  <c r="N111" i="13"/>
  <c r="M111" i="13"/>
  <c r="L111" i="13"/>
  <c r="K111" i="13"/>
  <c r="R111" i="15" s="1"/>
  <c r="I111" i="13"/>
  <c r="H111" i="13"/>
  <c r="G111" i="13"/>
  <c r="W110" i="15"/>
  <c r="AH110" i="13"/>
  <c r="AG110" i="13"/>
  <c r="AF110" i="13"/>
  <c r="AE110" i="13"/>
  <c r="V110" i="15" s="1"/>
  <c r="AD110" i="13"/>
  <c r="AC110" i="13"/>
  <c r="AA110" i="13"/>
  <c r="Z110" i="13"/>
  <c r="U110" i="15" s="1"/>
  <c r="Y110" i="13"/>
  <c r="X110" i="13"/>
  <c r="W110" i="13"/>
  <c r="V110" i="13"/>
  <c r="U110" i="13"/>
  <c r="T110" i="15" s="1"/>
  <c r="T110" i="13"/>
  <c r="S110" i="13"/>
  <c r="R110" i="13"/>
  <c r="Q110" i="13"/>
  <c r="P110" i="13"/>
  <c r="S110" i="15" s="1"/>
  <c r="N110" i="13"/>
  <c r="M110" i="13"/>
  <c r="L110" i="13"/>
  <c r="K110" i="13"/>
  <c r="R110" i="15" s="1"/>
  <c r="I110" i="13"/>
  <c r="H110" i="13"/>
  <c r="G110" i="13"/>
  <c r="AA109" i="13"/>
  <c r="Z109" i="13"/>
  <c r="U109" i="15" s="1"/>
  <c r="Y109" i="13"/>
  <c r="X109" i="13"/>
  <c r="W109" i="13"/>
  <c r="V109" i="13"/>
  <c r="U109" i="13"/>
  <c r="T109" i="15" s="1"/>
  <c r="T109" i="13"/>
  <c r="S109" i="13"/>
  <c r="R109" i="13"/>
  <c r="Q109" i="13"/>
  <c r="P109" i="13"/>
  <c r="S109" i="15" s="1"/>
  <c r="O109" i="13"/>
  <c r="N109" i="13"/>
  <c r="M109" i="13"/>
  <c r="L109" i="13"/>
  <c r="K109" i="13"/>
  <c r="R109" i="15" s="1"/>
  <c r="J109" i="13"/>
  <c r="I109" i="13"/>
  <c r="H109" i="13"/>
  <c r="G109" i="13"/>
  <c r="AD88" i="32" l="1"/>
  <c r="AC153" i="32"/>
  <c r="AD83" i="32"/>
  <c r="AC148" i="32"/>
  <c r="AD100" i="32"/>
  <c r="AC165" i="32"/>
  <c r="AC149" i="32"/>
  <c r="AD84" i="32"/>
  <c r="AD155" i="32"/>
  <c r="AE90" i="32"/>
  <c r="AD145" i="32"/>
  <c r="AE80" i="32"/>
  <c r="AC160" i="32"/>
  <c r="AD95" i="32"/>
  <c r="AC181" i="32"/>
  <c r="AD116" i="32"/>
  <c r="AC176" i="32"/>
  <c r="AD111" i="32"/>
  <c r="AD99" i="32"/>
  <c r="AC164" i="32"/>
  <c r="AD129" i="32"/>
  <c r="AC194" i="32"/>
  <c r="AD113" i="32"/>
  <c r="AC178" i="32"/>
  <c r="AD82" i="32"/>
  <c r="AC147" i="32"/>
  <c r="AD162" i="32"/>
  <c r="AE97" i="32"/>
  <c r="AE144" i="32"/>
  <c r="AF79" i="32"/>
  <c r="AF144" i="32" s="1"/>
  <c r="AF18" i="18"/>
  <c r="AF32" i="16" s="1"/>
  <c r="AD107" i="32"/>
  <c r="AC172" i="32"/>
  <c r="AD87" i="32"/>
  <c r="AC152" i="32"/>
  <c r="AC189" i="32"/>
  <c r="AD124" i="32"/>
  <c r="AC199" i="32"/>
  <c r="AD134" i="32"/>
  <c r="AC169" i="32"/>
  <c r="AD104" i="32"/>
  <c r="AE105" i="32"/>
  <c r="AD170" i="32"/>
  <c r="AD185" i="32"/>
  <c r="AE120" i="32"/>
  <c r="AC187" i="32"/>
  <c r="AD122" i="32"/>
  <c r="AD89" i="32"/>
  <c r="AC154" i="32"/>
  <c r="AC190" i="32"/>
  <c r="AD125" i="32"/>
  <c r="AC150" i="32"/>
  <c r="AD85" i="32"/>
  <c r="AC182" i="32"/>
  <c r="AD117" i="32"/>
  <c r="AD197" i="32"/>
  <c r="AE132" i="32"/>
  <c r="AE101" i="32"/>
  <c r="AD166" i="32"/>
  <c r="AC191" i="32"/>
  <c r="AD126" i="32"/>
  <c r="AC168" i="32"/>
  <c r="AD103" i="32"/>
  <c r="AE173" i="32"/>
  <c r="AF108" i="32"/>
  <c r="AF173" i="32" s="1"/>
  <c r="AD94" i="32"/>
  <c r="AC159" i="32"/>
  <c r="AD133" i="32"/>
  <c r="AC198" i="32"/>
  <c r="AC161" i="32"/>
  <c r="AD96" i="32"/>
  <c r="AD174" i="32"/>
  <c r="AE109" i="32"/>
  <c r="AE177" i="32"/>
  <c r="AF112" i="32"/>
  <c r="AF177" i="32" s="1"/>
  <c r="AC151" i="32"/>
  <c r="AD86" i="32"/>
  <c r="AC171" i="32"/>
  <c r="AD106" i="32"/>
  <c r="AD114" i="32"/>
  <c r="AC179" i="32"/>
  <c r="AD115" i="32"/>
  <c r="AC180" i="32"/>
  <c r="AD123" i="32"/>
  <c r="AC188" i="32"/>
  <c r="AE128" i="32"/>
  <c r="AD193" i="32"/>
  <c r="AC186" i="32"/>
  <c r="AD121" i="32"/>
  <c r="AD127" i="32"/>
  <c r="AC192" i="32"/>
  <c r="AD131" i="32"/>
  <c r="AC196" i="32"/>
  <c r="AC163" i="32"/>
  <c r="AD98" i="32"/>
  <c r="AE183" i="32"/>
  <c r="AF118" i="32"/>
  <c r="AF183" i="32" s="1"/>
  <c r="AE102" i="32"/>
  <c r="AD167" i="32"/>
  <c r="AC142" i="32"/>
  <c r="AD77" i="32"/>
  <c r="AD119" i="32"/>
  <c r="AC184" i="32"/>
  <c r="AD175" i="32"/>
  <c r="AE110" i="32"/>
  <c r="AE32" i="16"/>
  <c r="BH202" i="31"/>
  <c r="BH37" i="13" s="1"/>
  <c r="BI37" i="13" s="1"/>
  <c r="AB37" i="15" s="1"/>
  <c r="BI142" i="31"/>
  <c r="R115" i="15"/>
  <c r="T115" i="15"/>
  <c r="U115" i="15"/>
  <c r="S115" i="15"/>
  <c r="M115" i="13"/>
  <c r="I115" i="13"/>
  <c r="Q115" i="13"/>
  <c r="U115" i="13"/>
  <c r="Y115" i="13"/>
  <c r="L115" i="13"/>
  <c r="W115" i="13"/>
  <c r="K115" i="13"/>
  <c r="S115" i="13"/>
  <c r="AA115" i="13"/>
  <c r="H115" i="13"/>
  <c r="P115" i="13"/>
  <c r="X115" i="13"/>
  <c r="G115" i="13"/>
  <c r="T115" i="13"/>
  <c r="N115" i="13"/>
  <c r="R115" i="13"/>
  <c r="V115" i="13"/>
  <c r="Z115" i="13"/>
  <c r="W55" i="15"/>
  <c r="AD55" i="13"/>
  <c r="AE55" i="13" s="1"/>
  <c r="V55" i="15" s="1"/>
  <c r="AD59" i="13"/>
  <c r="Y55" i="13"/>
  <c r="T55" i="13"/>
  <c r="O55" i="13"/>
  <c r="J55" i="13"/>
  <c r="E55" i="13"/>
  <c r="U3" i="11"/>
  <c r="T3" i="11"/>
  <c r="S3" i="11"/>
  <c r="R3" i="11"/>
  <c r="U3" i="10"/>
  <c r="T3" i="10"/>
  <c r="S3" i="10"/>
  <c r="U3" i="7"/>
  <c r="U32" i="46" s="1"/>
  <c r="T3" i="7"/>
  <c r="T32" i="46" s="1"/>
  <c r="S3" i="7"/>
  <c r="S32" i="46" s="1"/>
  <c r="R3" i="7"/>
  <c r="R32" i="46" s="1"/>
  <c r="B30" i="15"/>
  <c r="B24" i="15"/>
  <c r="B9" i="15"/>
  <c r="C30" i="15"/>
  <c r="C9" i="15"/>
  <c r="D30" i="15"/>
  <c r="D9" i="15"/>
  <c r="AD163" i="32" l="1"/>
  <c r="AE98" i="32"/>
  <c r="AE96" i="32"/>
  <c r="AD161" i="32"/>
  <c r="AD187" i="32"/>
  <c r="AE122" i="32"/>
  <c r="AE145" i="32"/>
  <c r="AF80" i="32"/>
  <c r="AF145" i="32" s="1"/>
  <c r="AD180" i="32"/>
  <c r="AE115" i="32"/>
  <c r="AE166" i="32"/>
  <c r="AF101" i="32"/>
  <c r="AF166" i="32" s="1"/>
  <c r="AD152" i="32"/>
  <c r="AE87" i="32"/>
  <c r="AE113" i="32"/>
  <c r="AD178" i="32"/>
  <c r="AE175" i="32"/>
  <c r="AF110" i="32"/>
  <c r="AF175" i="32" s="1"/>
  <c r="AE197" i="32"/>
  <c r="AF132" i="32"/>
  <c r="AF197" i="32" s="1"/>
  <c r="AE185" i="32"/>
  <c r="AF120" i="32"/>
  <c r="AF185" i="32" s="1"/>
  <c r="AE155" i="32"/>
  <c r="AF90" i="32"/>
  <c r="AF155" i="32" s="1"/>
  <c r="AD179" i="32"/>
  <c r="AE114" i="32"/>
  <c r="AE107" i="32"/>
  <c r="AD172" i="32"/>
  <c r="AD194" i="32"/>
  <c r="AE129" i="32"/>
  <c r="AE106" i="32"/>
  <c r="AD171" i="32"/>
  <c r="AE117" i="32"/>
  <c r="AD182" i="32"/>
  <c r="AD149" i="32"/>
  <c r="AE84" i="32"/>
  <c r="AD184" i="32"/>
  <c r="AE119" i="32"/>
  <c r="AE127" i="32"/>
  <c r="AD192" i="32"/>
  <c r="AD159" i="32"/>
  <c r="AE94" i="32"/>
  <c r="AE170" i="32"/>
  <c r="AF105" i="32"/>
  <c r="AF170" i="32" s="1"/>
  <c r="AD164" i="32"/>
  <c r="AE99" i="32"/>
  <c r="AE131" i="32"/>
  <c r="AD196" i="32"/>
  <c r="AD142" i="32"/>
  <c r="AE77" i="32"/>
  <c r="AD186" i="32"/>
  <c r="AE121" i="32"/>
  <c r="AD151" i="32"/>
  <c r="AE86" i="32"/>
  <c r="AD150" i="32"/>
  <c r="AE85" i="32"/>
  <c r="AD169" i="32"/>
  <c r="AE104" i="32"/>
  <c r="AD176" i="32"/>
  <c r="AE111" i="32"/>
  <c r="AD165" i="32"/>
  <c r="AE100" i="32"/>
  <c r="AD168" i="32"/>
  <c r="AE103" i="32"/>
  <c r="AD190" i="32"/>
  <c r="AE125" i="32"/>
  <c r="AD199" i="32"/>
  <c r="AE134" i="32"/>
  <c r="AE162" i="32"/>
  <c r="AF97" i="32"/>
  <c r="AF162" i="32" s="1"/>
  <c r="AD181" i="32"/>
  <c r="AE116" i="32"/>
  <c r="AE167" i="32"/>
  <c r="AF102" i="32"/>
  <c r="AF167" i="32" s="1"/>
  <c r="AE193" i="32"/>
  <c r="AF128" i="32"/>
  <c r="AF193" i="32" s="1"/>
  <c r="AD148" i="32"/>
  <c r="AE83" i="32"/>
  <c r="AD198" i="32"/>
  <c r="AE133" i="32"/>
  <c r="AE174" i="32"/>
  <c r="AF109" i="32"/>
  <c r="AF174" i="32" s="1"/>
  <c r="AD191" i="32"/>
  <c r="AE126" i="32"/>
  <c r="AD189" i="32"/>
  <c r="AE124" i="32"/>
  <c r="AD160" i="32"/>
  <c r="AE95" i="32"/>
  <c r="BI202" i="31"/>
  <c r="AB202" i="32" s="1"/>
  <c r="AB142" i="32"/>
  <c r="AE123" i="32"/>
  <c r="AD188" i="32"/>
  <c r="AE89" i="32"/>
  <c r="AD154" i="32"/>
  <c r="AE82" i="32"/>
  <c r="AD147" i="32"/>
  <c r="AE88" i="32"/>
  <c r="AD153" i="32"/>
  <c r="K32" i="52"/>
  <c r="I38" i="52" s="1"/>
  <c r="K52" i="52"/>
  <c r="H32" i="52"/>
  <c r="F38" i="52" s="1"/>
  <c r="H52" i="52"/>
  <c r="H53" i="52" s="1"/>
  <c r="H54" i="52" s="1"/>
  <c r="I32" i="52"/>
  <c r="H40" i="52" s="1"/>
  <c r="I52" i="52"/>
  <c r="J32" i="52"/>
  <c r="J52" i="52"/>
  <c r="AE48" i="13"/>
  <c r="E30" i="15"/>
  <c r="E9" i="15"/>
  <c r="F30" i="15"/>
  <c r="F9" i="15"/>
  <c r="F100" i="15"/>
  <c r="A55" i="15"/>
  <c r="C61" i="46"/>
  <c r="B61" i="46"/>
  <c r="G9" i="15"/>
  <c r="G100" i="15"/>
  <c r="W66" i="15"/>
  <c r="V66" i="15"/>
  <c r="U66" i="15"/>
  <c r="T66" i="15"/>
  <c r="S66" i="15"/>
  <c r="R66" i="15"/>
  <c r="Q66" i="15"/>
  <c r="U48" i="15"/>
  <c r="U59" i="15" s="1"/>
  <c r="T48" i="15"/>
  <c r="T59" i="15" s="1"/>
  <c r="S48" i="15"/>
  <c r="S59" i="15" s="1"/>
  <c r="R48" i="15"/>
  <c r="R59" i="15" s="1"/>
  <c r="Q48" i="15"/>
  <c r="Q59" i="15" s="1"/>
  <c r="H9" i="15"/>
  <c r="H100" i="15"/>
  <c r="I9" i="15"/>
  <c r="I100" i="15"/>
  <c r="J9" i="15"/>
  <c r="J100" i="15"/>
  <c r="K9" i="15"/>
  <c r="K100" i="15"/>
  <c r="L9" i="15"/>
  <c r="L100" i="15"/>
  <c r="M9" i="15"/>
  <c r="M100" i="15"/>
  <c r="N9" i="15"/>
  <c r="N100" i="15"/>
  <c r="O100" i="15"/>
  <c r="A66" i="15"/>
  <c r="T29" i="13"/>
  <c r="T28" i="13"/>
  <c r="T27" i="13"/>
  <c r="T25" i="13"/>
  <c r="W29" i="15"/>
  <c r="V29" i="15"/>
  <c r="U29" i="15"/>
  <c r="T29" i="15"/>
  <c r="S29" i="15"/>
  <c r="R29" i="15"/>
  <c r="Q29" i="15"/>
  <c r="W28" i="15"/>
  <c r="V28" i="15"/>
  <c r="U28" i="15"/>
  <c r="T28" i="15"/>
  <c r="S28" i="15"/>
  <c r="R28" i="15"/>
  <c r="Q28" i="15"/>
  <c r="W27" i="15"/>
  <c r="V27" i="15"/>
  <c r="U27" i="15"/>
  <c r="T27" i="15"/>
  <c r="S27" i="15"/>
  <c r="R27" i="15"/>
  <c r="Q27" i="15"/>
  <c r="U26" i="15"/>
  <c r="T26" i="15"/>
  <c r="S26" i="15"/>
  <c r="R26" i="15"/>
  <c r="Q26" i="15"/>
  <c r="W25" i="15"/>
  <c r="V25" i="15"/>
  <c r="U25" i="15"/>
  <c r="T25" i="15"/>
  <c r="S25" i="15"/>
  <c r="R25" i="15"/>
  <c r="Q25" i="15"/>
  <c r="P100" i="15"/>
  <c r="M14" i="15"/>
  <c r="M47" i="47"/>
  <c r="M5" i="15"/>
  <c r="M4" i="15"/>
  <c r="M3" i="15"/>
  <c r="P66" i="47"/>
  <c r="O66" i="47"/>
  <c r="D100" i="13"/>
  <c r="C100" i="13"/>
  <c r="B100" i="13"/>
  <c r="E79" i="13"/>
  <c r="E76" i="13"/>
  <c r="E66" i="13"/>
  <c r="F134" i="13"/>
  <c r="F133" i="13"/>
  <c r="D134" i="13"/>
  <c r="D133" i="13"/>
  <c r="F100" i="13"/>
  <c r="E48" i="13"/>
  <c r="E59" i="13" s="1"/>
  <c r="E30" i="13"/>
  <c r="E29" i="13"/>
  <c r="E28" i="13"/>
  <c r="E27" i="13"/>
  <c r="E26" i="13"/>
  <c r="E25" i="13"/>
  <c r="J66" i="13"/>
  <c r="J79" i="13"/>
  <c r="J76" i="13"/>
  <c r="J29" i="13"/>
  <c r="J28" i="13"/>
  <c r="J27" i="13"/>
  <c r="J25" i="13"/>
  <c r="K100" i="13"/>
  <c r="J48" i="13"/>
  <c r="J59" i="13" s="1"/>
  <c r="H100" i="13"/>
  <c r="I100" i="13"/>
  <c r="G100" i="13"/>
  <c r="O66" i="13"/>
  <c r="O48" i="13"/>
  <c r="O59" i="13" s="1"/>
  <c r="O29" i="13"/>
  <c r="O28" i="13"/>
  <c r="O27" i="13"/>
  <c r="O26" i="13"/>
  <c r="O25" i="13"/>
  <c r="O79" i="13"/>
  <c r="O76" i="13"/>
  <c r="P100" i="13"/>
  <c r="N100" i="13"/>
  <c r="M100" i="13"/>
  <c r="L100" i="13"/>
  <c r="Y76" i="13"/>
  <c r="Y79" i="13"/>
  <c r="T79" i="13"/>
  <c r="T76" i="13"/>
  <c r="Y66" i="13"/>
  <c r="T66" i="13"/>
  <c r="T48" i="13"/>
  <c r="T59" i="13" s="1"/>
  <c r="Y48" i="13"/>
  <c r="Y59" i="13" s="1"/>
  <c r="Y30" i="13"/>
  <c r="Y29" i="13"/>
  <c r="Y28" i="13"/>
  <c r="Y27" i="13"/>
  <c r="Y25" i="13"/>
  <c r="AE191" i="32" l="1"/>
  <c r="AF126" i="32"/>
  <c r="AF191" i="32" s="1"/>
  <c r="AE181" i="32"/>
  <c r="AF116" i="32"/>
  <c r="AF181" i="32" s="1"/>
  <c r="AE176" i="32"/>
  <c r="AF111" i="32"/>
  <c r="AF176" i="32" s="1"/>
  <c r="AE149" i="32"/>
  <c r="AF84" i="32"/>
  <c r="AF149" i="32" s="1"/>
  <c r="AE147" i="32"/>
  <c r="AF82" i="32"/>
  <c r="AF147" i="32" s="1"/>
  <c r="AE196" i="32"/>
  <c r="AF131" i="32"/>
  <c r="AF196" i="32" s="1"/>
  <c r="AE169" i="32"/>
  <c r="AF104" i="32"/>
  <c r="AF169" i="32" s="1"/>
  <c r="AE164" i="32"/>
  <c r="AF99" i="32"/>
  <c r="AF164" i="32" s="1"/>
  <c r="AE180" i="32"/>
  <c r="AF115" i="32"/>
  <c r="AF180" i="32" s="1"/>
  <c r="AE154" i="32"/>
  <c r="AF89" i="32"/>
  <c r="AF154" i="32" s="1"/>
  <c r="AE182" i="32"/>
  <c r="AF117" i="32"/>
  <c r="AF182" i="32" s="1"/>
  <c r="AE198" i="32"/>
  <c r="AF133" i="32"/>
  <c r="AF198" i="32" s="1"/>
  <c r="AE199" i="32"/>
  <c r="AF134" i="32"/>
  <c r="AF199" i="32" s="1"/>
  <c r="AE150" i="32"/>
  <c r="AF85" i="32"/>
  <c r="AF150" i="32" s="1"/>
  <c r="AE188" i="32"/>
  <c r="AF123" i="32"/>
  <c r="AF188" i="32" s="1"/>
  <c r="AE171" i="32"/>
  <c r="AF106" i="32"/>
  <c r="AF171" i="32" s="1"/>
  <c r="AE148" i="32"/>
  <c r="AF83" i="32"/>
  <c r="AF148" i="32" s="1"/>
  <c r="AE190" i="32"/>
  <c r="AF125" i="32"/>
  <c r="AF190" i="32" s="1"/>
  <c r="AE151" i="32"/>
  <c r="AF86" i="32"/>
  <c r="AF151" i="32" s="1"/>
  <c r="AE159" i="32"/>
  <c r="AF94" i="32"/>
  <c r="AF159" i="32" s="1"/>
  <c r="AE194" i="32"/>
  <c r="AF129" i="32"/>
  <c r="AF194" i="32" s="1"/>
  <c r="AE187" i="32"/>
  <c r="AF122" i="32"/>
  <c r="AF187" i="32" s="1"/>
  <c r="AE160" i="32"/>
  <c r="AF95" i="32"/>
  <c r="AF160" i="32" s="1"/>
  <c r="AE168" i="32"/>
  <c r="AF103" i="32"/>
  <c r="AF168" i="32" s="1"/>
  <c r="AE186" i="32"/>
  <c r="AF121" i="32"/>
  <c r="AF186" i="32" s="1"/>
  <c r="AE192" i="32"/>
  <c r="AF127" i="32"/>
  <c r="AF192" i="32" s="1"/>
  <c r="AE172" i="32"/>
  <c r="AF107" i="32"/>
  <c r="AF172" i="32" s="1"/>
  <c r="AE178" i="32"/>
  <c r="AF113" i="32"/>
  <c r="AF178" i="32" s="1"/>
  <c r="AE161" i="32"/>
  <c r="AF96" i="32"/>
  <c r="AF161" i="32" s="1"/>
  <c r="AE189" i="32"/>
  <c r="AF124" i="32"/>
  <c r="AF189" i="32" s="1"/>
  <c r="AE165" i="32"/>
  <c r="AF100" i="32"/>
  <c r="AF165" i="32" s="1"/>
  <c r="AE142" i="32"/>
  <c r="AF77" i="32"/>
  <c r="AF142" i="32" s="1"/>
  <c r="AE184" i="32"/>
  <c r="AF119" i="32"/>
  <c r="AF184" i="32" s="1"/>
  <c r="AE179" i="32"/>
  <c r="AF114" i="32"/>
  <c r="AF179" i="32" s="1"/>
  <c r="AE152" i="32"/>
  <c r="AF87" i="32"/>
  <c r="AF152" i="32" s="1"/>
  <c r="AE163" i="32"/>
  <c r="AF98" i="32"/>
  <c r="AF163" i="32" s="1"/>
  <c r="AE153" i="32"/>
  <c r="AF88" i="32"/>
  <c r="AF153" i="32" s="1"/>
  <c r="J40" i="52"/>
  <c r="M59" i="47"/>
  <c r="M46" i="47"/>
  <c r="I39" i="52"/>
  <c r="G39" i="52"/>
  <c r="H41" i="52"/>
  <c r="G40" i="52"/>
  <c r="H38" i="52"/>
  <c r="J41" i="52"/>
  <c r="I41" i="52"/>
  <c r="I40" i="52"/>
  <c r="I20" i="52"/>
  <c r="I33" i="52"/>
  <c r="I53" i="52"/>
  <c r="I54" i="52" s="1"/>
  <c r="H20" i="52"/>
  <c r="V48" i="15"/>
  <c r="V59" i="15" s="1"/>
  <c r="AE59" i="13"/>
  <c r="H39" i="52"/>
  <c r="J53" i="52"/>
  <c r="J54" i="52" s="1"/>
  <c r="K53" i="52"/>
  <c r="K54" i="52" s="1"/>
  <c r="G38" i="52"/>
  <c r="J20" i="52"/>
  <c r="J33" i="52"/>
  <c r="K20" i="52"/>
  <c r="K33" i="52"/>
  <c r="E61" i="46"/>
  <c r="R44" i="47"/>
  <c r="Q52" i="47"/>
  <c r="Q63" i="47"/>
  <c r="F61" i="46"/>
  <c r="G61" i="46"/>
  <c r="Q64" i="47"/>
  <c r="Q53" i="47"/>
  <c r="Q62" i="47"/>
  <c r="Q50" i="47"/>
  <c r="R50" i="47"/>
  <c r="D61" i="46"/>
  <c r="N66" i="47"/>
  <c r="W48" i="15"/>
  <c r="J77" i="13"/>
  <c r="O77" i="13"/>
  <c r="J80" i="13"/>
  <c r="O80" i="13"/>
  <c r="M66" i="47"/>
  <c r="Y77" i="13"/>
  <c r="U100" i="13"/>
  <c r="Z100" i="13"/>
  <c r="X100" i="13"/>
  <c r="S100" i="13"/>
  <c r="S30" i="13"/>
  <c r="T30" i="13" s="1"/>
  <c r="S24" i="13"/>
  <c r="R100" i="13"/>
  <c r="W100" i="13"/>
  <c r="Q100" i="13"/>
  <c r="A32" i="15"/>
  <c r="A29" i="15"/>
  <c r="A28" i="15"/>
  <c r="A27" i="15"/>
  <c r="A26" i="15"/>
  <c r="A25" i="15"/>
  <c r="A48" i="15"/>
  <c r="Q65" i="47" l="1"/>
  <c r="H37" i="52"/>
  <c r="H57" i="52" s="1"/>
  <c r="I37" i="52"/>
  <c r="I57" i="52" s="1"/>
  <c r="W59" i="15"/>
  <c r="R63" i="47"/>
  <c r="S44" i="47"/>
  <c r="S31" i="13"/>
  <c r="V100" i="13"/>
  <c r="AA100" i="13"/>
  <c r="AE100" i="13" s="1"/>
  <c r="AE102" i="13" s="1"/>
  <c r="AJ103" i="13" s="1"/>
  <c r="AA77" i="13"/>
  <c r="AA24" i="13"/>
  <c r="AA31" i="13" s="1"/>
  <c r="Y3" i="4"/>
  <c r="AD4" i="4" s="1"/>
  <c r="I58" i="52" l="1"/>
  <c r="S63" i="47"/>
  <c r="T44" i="47"/>
  <c r="Q66" i="47"/>
  <c r="A57" i="18"/>
  <c r="A56" i="18"/>
  <c r="A55" i="18"/>
  <c r="A54" i="18"/>
  <c r="A53" i="18"/>
  <c r="A52" i="18"/>
  <c r="A46" i="18"/>
  <c r="A45" i="18"/>
  <c r="A44" i="18"/>
  <c r="A43" i="18"/>
  <c r="A42" i="18"/>
  <c r="A41" i="18"/>
  <c r="A40" i="18"/>
  <c r="A37" i="18"/>
  <c r="A36" i="18"/>
  <c r="A35" i="18"/>
  <c r="A34" i="18"/>
  <c r="A33" i="18"/>
  <c r="A25" i="18"/>
  <c r="A24" i="18"/>
  <c r="A23" i="18"/>
  <c r="A22" i="18"/>
  <c r="A21" i="18"/>
  <c r="A20" i="18"/>
  <c r="A19" i="18"/>
  <c r="A18" i="18"/>
  <c r="A17" i="18"/>
  <c r="A15" i="18"/>
  <c r="A14" i="18"/>
  <c r="A13" i="18"/>
  <c r="A12" i="18"/>
  <c r="A11" i="18"/>
  <c r="A10" i="18"/>
  <c r="A9" i="18"/>
  <c r="A8" i="18"/>
  <c r="A7" i="18"/>
  <c r="A6" i="18"/>
  <c r="U63" i="16"/>
  <c r="T63" i="16"/>
  <c r="S63" i="16"/>
  <c r="R63" i="16"/>
  <c r="Q63" i="16"/>
  <c r="T61" i="16"/>
  <c r="U58" i="16"/>
  <c r="T58" i="16"/>
  <c r="S58" i="16"/>
  <c r="R58" i="16"/>
  <c r="Q58" i="16"/>
  <c r="U57" i="16"/>
  <c r="T57" i="16"/>
  <c r="S57" i="16"/>
  <c r="R57" i="16"/>
  <c r="Q57" i="16"/>
  <c r="U55" i="16"/>
  <c r="T55" i="16"/>
  <c r="S55" i="16"/>
  <c r="R55" i="16"/>
  <c r="Q55" i="16"/>
  <c r="U54" i="16"/>
  <c r="T54" i="16"/>
  <c r="S54" i="16"/>
  <c r="R54" i="16"/>
  <c r="Q54" i="16"/>
  <c r="U52" i="16"/>
  <c r="T52" i="16"/>
  <c r="S52" i="16"/>
  <c r="R52" i="16"/>
  <c r="Q52" i="16"/>
  <c r="U51" i="16"/>
  <c r="T51" i="16"/>
  <c r="S51" i="16"/>
  <c r="R51" i="16"/>
  <c r="Q51" i="16"/>
  <c r="W50" i="16"/>
  <c r="V50" i="16"/>
  <c r="U50" i="16"/>
  <c r="T50" i="16"/>
  <c r="S50" i="16"/>
  <c r="R50" i="16"/>
  <c r="Q50" i="16"/>
  <c r="W49" i="16"/>
  <c r="V49" i="16"/>
  <c r="U49" i="16"/>
  <c r="T49" i="16"/>
  <c r="S49" i="16"/>
  <c r="R49" i="16"/>
  <c r="Q49" i="16"/>
  <c r="U48" i="16"/>
  <c r="T48" i="16"/>
  <c r="S48" i="16"/>
  <c r="R48" i="16"/>
  <c r="Q48" i="16"/>
  <c r="W47" i="16"/>
  <c r="V47" i="16"/>
  <c r="U47" i="16"/>
  <c r="T47" i="16"/>
  <c r="S47" i="16"/>
  <c r="R47" i="16"/>
  <c r="Q47" i="16"/>
  <c r="W46" i="16"/>
  <c r="V46" i="16"/>
  <c r="U46" i="16"/>
  <c r="T46" i="16"/>
  <c r="S46" i="16"/>
  <c r="R46" i="16"/>
  <c r="Q46" i="16"/>
  <c r="U45" i="16"/>
  <c r="T45" i="16"/>
  <c r="S45" i="16"/>
  <c r="R45" i="16"/>
  <c r="Q45" i="16"/>
  <c r="U44" i="16"/>
  <c r="T44" i="16"/>
  <c r="S44" i="16"/>
  <c r="R44" i="16"/>
  <c r="Q44" i="16"/>
  <c r="U41" i="16"/>
  <c r="T41" i="16"/>
  <c r="S41" i="16"/>
  <c r="R41" i="16"/>
  <c r="Q41" i="16"/>
  <c r="U40" i="16"/>
  <c r="T40" i="16"/>
  <c r="S40" i="16"/>
  <c r="R40" i="16"/>
  <c r="Q40" i="16"/>
  <c r="U39" i="16"/>
  <c r="T39" i="16"/>
  <c r="S39" i="16"/>
  <c r="R39" i="16"/>
  <c r="Q39" i="16"/>
  <c r="U38" i="16"/>
  <c r="T38" i="16"/>
  <c r="S38" i="16"/>
  <c r="R38" i="16"/>
  <c r="Q38" i="16"/>
  <c r="U37" i="16"/>
  <c r="T37" i="16"/>
  <c r="S37" i="16"/>
  <c r="R37" i="16"/>
  <c r="Q37" i="16"/>
  <c r="W36" i="16"/>
  <c r="V36" i="16"/>
  <c r="U36" i="16"/>
  <c r="T36" i="16"/>
  <c r="S36" i="16"/>
  <c r="R36" i="16"/>
  <c r="Q36" i="16"/>
  <c r="U35" i="16"/>
  <c r="T35" i="16"/>
  <c r="S35" i="16"/>
  <c r="R35" i="16"/>
  <c r="Q35" i="16"/>
  <c r="W34" i="16"/>
  <c r="V34" i="16"/>
  <c r="U34" i="16"/>
  <c r="T34" i="16"/>
  <c r="S34" i="16"/>
  <c r="R34" i="16"/>
  <c r="Q34" i="16"/>
  <c r="U33" i="16"/>
  <c r="T33" i="16"/>
  <c r="S33" i="16"/>
  <c r="R33" i="16"/>
  <c r="Q33" i="16"/>
  <c r="W32" i="16"/>
  <c r="V32" i="16"/>
  <c r="U32" i="16"/>
  <c r="T32" i="16"/>
  <c r="S32" i="16"/>
  <c r="R32" i="16"/>
  <c r="Q32" i="16"/>
  <c r="U28" i="16"/>
  <c r="T28" i="16"/>
  <c r="S28" i="16"/>
  <c r="R28" i="16"/>
  <c r="Q28" i="16"/>
  <c r="W27" i="16"/>
  <c r="V27" i="16"/>
  <c r="U27" i="16"/>
  <c r="T27" i="16"/>
  <c r="S27" i="16"/>
  <c r="R27" i="16"/>
  <c r="Q27" i="16"/>
  <c r="W26" i="16"/>
  <c r="V26" i="16"/>
  <c r="U26" i="16"/>
  <c r="T26" i="16"/>
  <c r="S26" i="16"/>
  <c r="R26" i="16"/>
  <c r="Q26" i="16"/>
  <c r="U25" i="16"/>
  <c r="T25" i="16"/>
  <c r="S25" i="16"/>
  <c r="R25" i="16"/>
  <c r="Q25" i="16"/>
  <c r="U24" i="16"/>
  <c r="T24" i="16"/>
  <c r="S24" i="16"/>
  <c r="R24" i="16"/>
  <c r="Q24" i="16"/>
  <c r="U23" i="16"/>
  <c r="T23" i="16"/>
  <c r="S23" i="16"/>
  <c r="R23" i="16"/>
  <c r="Q23" i="16"/>
  <c r="W22" i="16"/>
  <c r="V22" i="16"/>
  <c r="U22" i="16"/>
  <c r="T22" i="16"/>
  <c r="S22" i="16"/>
  <c r="R22" i="16"/>
  <c r="Q22" i="16"/>
  <c r="V21" i="16"/>
  <c r="U21" i="16"/>
  <c r="T21" i="16"/>
  <c r="S21" i="16"/>
  <c r="R21" i="16"/>
  <c r="Q21" i="16"/>
  <c r="U20" i="16"/>
  <c r="T20" i="16"/>
  <c r="S20" i="16"/>
  <c r="R20" i="16"/>
  <c r="Q20" i="16"/>
  <c r="U19" i="16"/>
  <c r="T19" i="16"/>
  <c r="S19" i="16"/>
  <c r="R19" i="16"/>
  <c r="Q19" i="16"/>
  <c r="U18" i="16"/>
  <c r="T18" i="16"/>
  <c r="S18" i="16"/>
  <c r="R18" i="16"/>
  <c r="Q18" i="16"/>
  <c r="U17" i="16"/>
  <c r="T17" i="16"/>
  <c r="S17" i="16"/>
  <c r="R17" i="16"/>
  <c r="Q17" i="16"/>
  <c r="U16" i="16"/>
  <c r="T16" i="16"/>
  <c r="S16" i="16"/>
  <c r="R16" i="16"/>
  <c r="Q16" i="16"/>
  <c r="U15" i="16"/>
  <c r="T15" i="16"/>
  <c r="S15" i="16"/>
  <c r="R15" i="16"/>
  <c r="Q15" i="16"/>
  <c r="U13" i="16"/>
  <c r="T13" i="16"/>
  <c r="S13" i="16"/>
  <c r="R13" i="16"/>
  <c r="Q13" i="16"/>
  <c r="W12" i="16"/>
  <c r="V12" i="16"/>
  <c r="U12" i="16"/>
  <c r="T12" i="16"/>
  <c r="S12" i="16"/>
  <c r="R12" i="16"/>
  <c r="Q12" i="16"/>
  <c r="W11" i="16"/>
  <c r="V11" i="16"/>
  <c r="U11" i="16"/>
  <c r="T11" i="16"/>
  <c r="S11" i="16"/>
  <c r="R11" i="16"/>
  <c r="Q11" i="16"/>
  <c r="U10" i="16"/>
  <c r="T10" i="16"/>
  <c r="S10" i="16"/>
  <c r="R10" i="16"/>
  <c r="Q10" i="16"/>
  <c r="U9" i="16"/>
  <c r="T9" i="16"/>
  <c r="S9" i="16"/>
  <c r="R9" i="16"/>
  <c r="Q9" i="16"/>
  <c r="U8" i="16"/>
  <c r="T8" i="16"/>
  <c r="S8" i="16"/>
  <c r="R8" i="16"/>
  <c r="Q8" i="16"/>
  <c r="U7" i="16"/>
  <c r="T7" i="16"/>
  <c r="S7" i="16"/>
  <c r="R7" i="16"/>
  <c r="Q7" i="16"/>
  <c r="U6" i="16"/>
  <c r="T6" i="16"/>
  <c r="S6" i="16"/>
  <c r="R6" i="16"/>
  <c r="Q6" i="16"/>
  <c r="U5" i="16"/>
  <c r="K162" i="48" s="1"/>
  <c r="T5" i="16"/>
  <c r="J162" i="48" s="1"/>
  <c r="S5" i="16"/>
  <c r="I162" i="48" s="1"/>
  <c r="R5" i="16"/>
  <c r="H162" i="48" s="1"/>
  <c r="Q5" i="16"/>
  <c r="G162" i="48" s="1"/>
  <c r="A54" i="16"/>
  <c r="A52" i="16"/>
  <c r="A51" i="16"/>
  <c r="A50" i="16"/>
  <c r="A49" i="16"/>
  <c r="A48" i="16"/>
  <c r="A47" i="16"/>
  <c r="A46" i="16"/>
  <c r="A45" i="16"/>
  <c r="A40" i="16"/>
  <c r="A39" i="16"/>
  <c r="A38" i="16"/>
  <c r="A37" i="16"/>
  <c r="A36" i="16"/>
  <c r="A35" i="16"/>
  <c r="A34" i="16"/>
  <c r="A33" i="16"/>
  <c r="A32" i="16"/>
  <c r="A28" i="16"/>
  <c r="A27" i="16"/>
  <c r="A26" i="16"/>
  <c r="A25" i="16"/>
  <c r="A24" i="16"/>
  <c r="A23" i="16"/>
  <c r="A22" i="16"/>
  <c r="A21" i="16"/>
  <c r="A20" i="16"/>
  <c r="A19" i="16"/>
  <c r="A18" i="16"/>
  <c r="A17" i="16"/>
  <c r="A16" i="16"/>
  <c r="A15" i="16"/>
  <c r="A14" i="16"/>
  <c r="A13" i="16"/>
  <c r="A12" i="16"/>
  <c r="A11" i="16"/>
  <c r="A10" i="16"/>
  <c r="A9" i="16"/>
  <c r="A8" i="16"/>
  <c r="A7" i="16"/>
  <c r="A6" i="16"/>
  <c r="AB26" i="4" l="1"/>
  <c r="AC26" i="4"/>
  <c r="U44" i="47"/>
  <c r="T63" i="47"/>
  <c r="V3" i="11"/>
  <c r="AG26" i="4" l="1"/>
  <c r="AH26" i="4"/>
  <c r="AF26" i="4"/>
  <c r="V44" i="47"/>
  <c r="U63" i="47"/>
  <c r="W3" i="11"/>
  <c r="AC54" i="13"/>
  <c r="Y54" i="13"/>
  <c r="T54" i="13"/>
  <c r="O54" i="13"/>
  <c r="J54" i="13"/>
  <c r="Y53" i="13"/>
  <c r="T53" i="13"/>
  <c r="O53" i="13"/>
  <c r="J53" i="13"/>
  <c r="E53" i="13"/>
  <c r="Y43" i="13"/>
  <c r="Y44" i="13" s="1"/>
  <c r="T43" i="13"/>
  <c r="O43" i="13"/>
  <c r="O44" i="13" s="1"/>
  <c r="J43" i="13"/>
  <c r="Y39" i="13"/>
  <c r="T39" i="13"/>
  <c r="O39" i="13"/>
  <c r="J39" i="13"/>
  <c r="Y26" i="13"/>
  <c r="T26" i="13"/>
  <c r="J26" i="13"/>
  <c r="O30" i="13"/>
  <c r="J30" i="13"/>
  <c r="W44" i="47" l="1"/>
  <c r="V63" i="47"/>
  <c r="AD54" i="13"/>
  <c r="AE54" i="13" s="1"/>
  <c r="E54" i="13"/>
  <c r="E39" i="13"/>
  <c r="E43" i="13"/>
  <c r="AE26" i="13"/>
  <c r="V26" i="15" s="1"/>
  <c r="X44" i="47" l="1"/>
  <c r="W63" i="47"/>
  <c r="AF54" i="13"/>
  <c r="AH54" i="13" s="1"/>
  <c r="AI54" i="13" s="1"/>
  <c r="AE39" i="13"/>
  <c r="W26" i="15"/>
  <c r="AE30" i="13"/>
  <c r="AA19" i="1"/>
  <c r="Z19" i="1"/>
  <c r="X19" i="1"/>
  <c r="AC20" i="1" s="1"/>
  <c r="W19" i="1"/>
  <c r="AB20" i="1" s="1"/>
  <c r="V19" i="1"/>
  <c r="U19" i="1"/>
  <c r="S19" i="1"/>
  <c r="R19" i="1"/>
  <c r="Q19" i="1"/>
  <c r="P19" i="1"/>
  <c r="N19" i="1"/>
  <c r="K19" i="1"/>
  <c r="M19" i="1"/>
  <c r="L19" i="1"/>
  <c r="I19" i="1"/>
  <c r="H19" i="1"/>
  <c r="G19" i="1"/>
  <c r="AA22" i="1" l="1"/>
  <c r="AF23" i="1" s="1"/>
  <c r="AF20" i="1"/>
  <c r="AJ54" i="13"/>
  <c r="AK54" i="13"/>
  <c r="AO54" i="13" s="1"/>
  <c r="X54" i="15" s="1"/>
  <c r="Y44" i="47"/>
  <c r="X63" i="47"/>
  <c r="O3" i="1"/>
  <c r="T3" i="1"/>
  <c r="Y19" i="1"/>
  <c r="T19" i="1"/>
  <c r="AK56" i="13" l="1"/>
  <c r="Z44" i="47"/>
  <c r="Y63" i="47"/>
  <c r="AK71" i="13" l="1"/>
  <c r="AK74" i="13"/>
  <c r="AK60" i="13"/>
  <c r="AC3" i="11"/>
  <c r="AA44" i="47"/>
  <c r="Z63" i="47"/>
  <c r="U88" i="16"/>
  <c r="T88" i="16"/>
  <c r="S88" i="16"/>
  <c r="R88" i="16"/>
  <c r="Q88" i="16"/>
  <c r="E88" i="14"/>
  <c r="O134" i="15"/>
  <c r="N134" i="15"/>
  <c r="M134" i="15"/>
  <c r="L134" i="15"/>
  <c r="K134" i="15"/>
  <c r="J134" i="15"/>
  <c r="I134" i="15"/>
  <c r="H134" i="15"/>
  <c r="G134" i="15"/>
  <c r="F134" i="15"/>
  <c r="E134" i="15"/>
  <c r="D134" i="15"/>
  <c r="C134" i="15"/>
  <c r="B134" i="15"/>
  <c r="P134" i="15"/>
  <c r="Z134" i="13"/>
  <c r="X134" i="13"/>
  <c r="W134" i="13"/>
  <c r="V134" i="13"/>
  <c r="U134" i="13"/>
  <c r="S134" i="13"/>
  <c r="R134" i="13"/>
  <c r="Q134" i="13"/>
  <c r="P134" i="13"/>
  <c r="N134" i="13"/>
  <c r="M134" i="13"/>
  <c r="L134" i="13"/>
  <c r="K134" i="13"/>
  <c r="I134" i="13"/>
  <c r="H134" i="13"/>
  <c r="G134" i="13"/>
  <c r="C134" i="13"/>
  <c r="B134" i="13"/>
  <c r="Z133" i="13"/>
  <c r="X133" i="13"/>
  <c r="W133" i="13"/>
  <c r="V133" i="13"/>
  <c r="U133" i="13"/>
  <c r="S133" i="13"/>
  <c r="R133" i="13"/>
  <c r="Q133" i="13"/>
  <c r="P133" i="13"/>
  <c r="N133" i="13"/>
  <c r="M133" i="13"/>
  <c r="L133" i="13"/>
  <c r="K133" i="13"/>
  <c r="I133" i="13"/>
  <c r="H133" i="13"/>
  <c r="G133" i="13"/>
  <c r="C133" i="13"/>
  <c r="B133" i="13"/>
  <c r="P133" i="15"/>
  <c r="O133" i="15"/>
  <c r="N133" i="15"/>
  <c r="M133" i="15"/>
  <c r="L133" i="15"/>
  <c r="K133" i="15"/>
  <c r="J133" i="15"/>
  <c r="I133" i="15"/>
  <c r="H133" i="15"/>
  <c r="G133" i="15"/>
  <c r="F133" i="15"/>
  <c r="E133" i="15"/>
  <c r="AC5" i="15" l="1"/>
  <c r="AD3" i="11"/>
  <c r="AC19" i="11"/>
  <c r="AB58" i="20"/>
  <c r="AA63" i="47"/>
  <c r="AB44" i="47"/>
  <c r="AJ21" i="11"/>
  <c r="O133" i="13"/>
  <c r="T133" i="13"/>
  <c r="Y133" i="13"/>
  <c r="A63" i="16"/>
  <c r="AE3" i="11" l="1"/>
  <c r="AC15" i="15"/>
  <c r="AD19" i="11"/>
  <c r="AD5" i="15"/>
  <c r="AB63" i="47"/>
  <c r="AC44" i="47"/>
  <c r="AC13" i="11"/>
  <c r="AC20" i="11"/>
  <c r="AB60" i="20"/>
  <c r="AA2" i="16"/>
  <c r="AI67" i="18" s="1"/>
  <c r="Z2" i="16"/>
  <c r="X2" i="16"/>
  <c r="W2" i="16"/>
  <c r="V2" i="16"/>
  <c r="U2" i="16"/>
  <c r="T2" i="16"/>
  <c r="S2" i="16"/>
  <c r="R2" i="16"/>
  <c r="Q2" i="16"/>
  <c r="A19" i="15"/>
  <c r="A18" i="15"/>
  <c r="A17" i="15"/>
  <c r="A16" i="15"/>
  <c r="A15" i="15"/>
  <c r="A14" i="15"/>
  <c r="A13" i="15"/>
  <c r="A9" i="15"/>
  <c r="A8" i="15"/>
  <c r="A7" i="15"/>
  <c r="A6" i="15"/>
  <c r="A5" i="15"/>
  <c r="A4" i="15"/>
  <c r="A3" i="15"/>
  <c r="AF3" i="11" l="1"/>
  <c r="AE19" i="11"/>
  <c r="AE5" i="15"/>
  <c r="AC63" i="47"/>
  <c r="AD44" i="47"/>
  <c r="AD15" i="15"/>
  <c r="AD20" i="11"/>
  <c r="AD13" i="11"/>
  <c r="AC14" i="11"/>
  <c r="AC15" i="11"/>
  <c r="AC10" i="11"/>
  <c r="CT23" i="48"/>
  <c r="CW43" i="48" s="1"/>
  <c r="AE63" i="14"/>
  <c r="AF19" i="11" l="1"/>
  <c r="AF5" i="15"/>
  <c r="AD63" i="47"/>
  <c r="AE44" i="47"/>
  <c r="AE15" i="15"/>
  <c r="AE20" i="11"/>
  <c r="AE13" i="11"/>
  <c r="AD14" i="11"/>
  <c r="AD15" i="11"/>
  <c r="AD10" i="11"/>
  <c r="AD11" i="11" s="1"/>
  <c r="AC11" i="11"/>
  <c r="V63" i="16"/>
  <c r="AE63" i="47" l="1"/>
  <c r="AF44" i="47"/>
  <c r="AF63" i="47" s="1"/>
  <c r="AF15" i="15"/>
  <c r="AF20" i="11"/>
  <c r="AF13" i="11"/>
  <c r="AE14" i="11"/>
  <c r="AE15" i="11"/>
  <c r="AE10" i="11"/>
  <c r="AE11" i="11" s="1"/>
  <c r="W63" i="16"/>
  <c r="AF14" i="11" l="1"/>
  <c r="AF15" i="11"/>
  <c r="AF10" i="11"/>
  <c r="AF11" i="11" s="1"/>
  <c r="W123" i="18"/>
  <c r="W117" i="18"/>
  <c r="W115" i="18"/>
  <c r="W113" i="18"/>
  <c r="W104" i="18"/>
  <c r="W100" i="18"/>
  <c r="W97" i="18"/>
  <c r="W95" i="18"/>
  <c r="W92" i="18"/>
  <c r="W70" i="16"/>
  <c r="W58" i="16"/>
  <c r="W57" i="16"/>
  <c r="W54" i="16"/>
  <c r="W48" i="16"/>
  <c r="W40" i="16"/>
  <c r="W39" i="16"/>
  <c r="W35" i="16"/>
  <c r="W10" i="16"/>
  <c r="W8" i="16"/>
  <c r="W32" i="15"/>
  <c r="AE32" i="13"/>
  <c r="W17" i="15"/>
  <c r="W7" i="15"/>
  <c r="W19" i="15"/>
  <c r="W18" i="15"/>
  <c r="W9" i="15"/>
  <c r="W8" i="15"/>
  <c r="AE8" i="13"/>
  <c r="W54" i="15"/>
  <c r="W53" i="15"/>
  <c r="W39" i="15"/>
  <c r="W30" i="15"/>
  <c r="W17" i="11"/>
  <c r="W17" i="10"/>
  <c r="W17" i="7"/>
  <c r="AF5" i="13" l="1"/>
  <c r="A200" i="32"/>
  <c r="A64" i="32"/>
  <c r="A69" i="18"/>
  <c r="AE138" i="13"/>
  <c r="U24" i="40"/>
  <c r="T24" i="40"/>
  <c r="S24" i="40"/>
  <c r="R24" i="40"/>
  <c r="Q24" i="40"/>
  <c r="U7" i="40"/>
  <c r="U5" i="47" s="1"/>
  <c r="T7" i="40"/>
  <c r="T5" i="47" s="1"/>
  <c r="S7" i="40"/>
  <c r="S5" i="47" s="1"/>
  <c r="R7" i="40"/>
  <c r="R5" i="47" s="1"/>
  <c r="Q7" i="40"/>
  <c r="Q5" i="47" s="1"/>
  <c r="U6" i="40"/>
  <c r="U4" i="47" s="1"/>
  <c r="T6" i="40"/>
  <c r="T4" i="47" s="1"/>
  <c r="S6" i="40"/>
  <c r="S4" i="47" s="1"/>
  <c r="R6" i="40"/>
  <c r="R4" i="47" s="1"/>
  <c r="Q6" i="40"/>
  <c r="Q4" i="47" s="1"/>
  <c r="A24" i="40"/>
  <c r="A7" i="40"/>
  <c r="A6" i="40"/>
  <c r="U27" i="40"/>
  <c r="T27" i="40"/>
  <c r="S27" i="40"/>
  <c r="R27" i="40"/>
  <c r="Q27" i="40"/>
  <c r="AJ2" i="41"/>
  <c r="AI2" i="41"/>
  <c r="AH2" i="41"/>
  <c r="AG2" i="41"/>
  <c r="AF2" i="41"/>
  <c r="AE2" i="41"/>
  <c r="AD2" i="41"/>
  <c r="AC2" i="41"/>
  <c r="AB2" i="41"/>
  <c r="AA2" i="41"/>
  <c r="Z2" i="41"/>
  <c r="Y2" i="41"/>
  <c r="X2" i="41"/>
  <c r="W2" i="41"/>
  <c r="V2" i="41"/>
  <c r="U2" i="41"/>
  <c r="T2" i="41"/>
  <c r="S2" i="41"/>
  <c r="R2" i="41"/>
  <c r="Q2" i="41"/>
  <c r="P2" i="41"/>
  <c r="O2" i="41"/>
  <c r="N2" i="41"/>
  <c r="M2" i="41"/>
  <c r="L2" i="41"/>
  <c r="K2" i="41"/>
  <c r="J2" i="41"/>
  <c r="I2" i="41"/>
  <c r="H2" i="41"/>
  <c r="G2" i="41"/>
  <c r="F2" i="41"/>
  <c r="E2" i="41"/>
  <c r="D2" i="41"/>
  <c r="C2" i="41"/>
  <c r="B2" i="41"/>
  <c r="V58" i="16"/>
  <c r="A58" i="16"/>
  <c r="U6" i="18"/>
  <c r="T6" i="18"/>
  <c r="S6" i="18"/>
  <c r="R6" i="18"/>
  <c r="Q6" i="18"/>
  <c r="T20" i="47" l="1"/>
  <c r="T41" i="47"/>
  <c r="Q20" i="47"/>
  <c r="Q41" i="47"/>
  <c r="Q42" i="47" s="1"/>
  <c r="Q51" i="47" s="1"/>
  <c r="U20" i="47"/>
  <c r="U41" i="47"/>
  <c r="R20" i="47"/>
  <c r="R41" i="47"/>
  <c r="R42" i="47" s="1"/>
  <c r="S20" i="47"/>
  <c r="S41" i="47"/>
  <c r="AF15" i="13"/>
  <c r="AC63" i="16" l="1"/>
  <c r="S42" i="47"/>
  <c r="T42" i="47" s="1"/>
  <c r="U42" i="47" s="1"/>
  <c r="V42" i="47" s="1"/>
  <c r="R51" i="47"/>
  <c r="AC6" i="18" l="1"/>
  <c r="AD63" i="16"/>
  <c r="T43" i="47"/>
  <c r="T62" i="47" s="1"/>
  <c r="U43" i="47"/>
  <c r="U62" i="47" s="1"/>
  <c r="S43" i="47"/>
  <c r="W42" i="47"/>
  <c r="AD6" i="18" l="1"/>
  <c r="AE63" i="16"/>
  <c r="T50" i="47"/>
  <c r="U50" i="47"/>
  <c r="S62" i="47"/>
  <c r="S50" i="47"/>
  <c r="W43" i="47"/>
  <c r="X42" i="47"/>
  <c r="AE6" i="18" l="1"/>
  <c r="AF63" i="16"/>
  <c r="AF6" i="18" s="1"/>
  <c r="W62" i="47"/>
  <c r="X43" i="47"/>
  <c r="Y42" i="47"/>
  <c r="O75" i="16"/>
  <c r="N75" i="16"/>
  <c r="M75" i="16"/>
  <c r="K75" i="16"/>
  <c r="J75" i="16"/>
  <c r="I75" i="16"/>
  <c r="H75" i="16"/>
  <c r="G75" i="16"/>
  <c r="F75" i="16"/>
  <c r="E75" i="16"/>
  <c r="D75" i="16"/>
  <c r="C75" i="16"/>
  <c r="P75" i="16"/>
  <c r="Z75" i="14"/>
  <c r="U75" i="16" s="1"/>
  <c r="U75" i="14"/>
  <c r="T75" i="16" s="1"/>
  <c r="P75" i="14"/>
  <c r="S75" i="16" s="1"/>
  <c r="K75" i="14"/>
  <c r="R75" i="16" s="1"/>
  <c r="F75" i="14"/>
  <c r="Q75" i="16" s="1"/>
  <c r="AB27" i="2" l="1"/>
  <c r="AC27" i="2"/>
  <c r="AB26" i="2"/>
  <c r="AC26" i="2"/>
  <c r="Y43" i="47"/>
  <c r="Z42" i="47"/>
  <c r="X62" i="47"/>
  <c r="X50" i="47"/>
  <c r="O38" i="20"/>
  <c r="N38" i="20"/>
  <c r="M38" i="20"/>
  <c r="L38" i="20"/>
  <c r="K38" i="20"/>
  <c r="J38" i="20"/>
  <c r="I38" i="20"/>
  <c r="H38" i="20"/>
  <c r="G38" i="20"/>
  <c r="F38" i="20"/>
  <c r="E38" i="20"/>
  <c r="D38" i="20"/>
  <c r="C38" i="20"/>
  <c r="B38" i="20"/>
  <c r="O33" i="20"/>
  <c r="N33" i="20"/>
  <c r="M33" i="20"/>
  <c r="L33" i="20"/>
  <c r="K33" i="20"/>
  <c r="J33" i="20"/>
  <c r="I33" i="20"/>
  <c r="H33" i="20"/>
  <c r="G33" i="20"/>
  <c r="F33" i="20"/>
  <c r="E33" i="20"/>
  <c r="D33" i="20"/>
  <c r="C33" i="20"/>
  <c r="B33" i="20"/>
  <c r="O19" i="20"/>
  <c r="N19" i="20"/>
  <c r="M19" i="20"/>
  <c r="K19" i="20"/>
  <c r="J19" i="20"/>
  <c r="I19" i="20"/>
  <c r="H19" i="20"/>
  <c r="G19" i="20"/>
  <c r="F19" i="20"/>
  <c r="E19" i="20"/>
  <c r="D19" i="20"/>
  <c r="C19" i="20"/>
  <c r="B19" i="20"/>
  <c r="O14" i="20"/>
  <c r="N14" i="20"/>
  <c r="M14" i="20"/>
  <c r="L14" i="20"/>
  <c r="K14" i="20"/>
  <c r="J14" i="20"/>
  <c r="I14" i="20"/>
  <c r="H14" i="20"/>
  <c r="G14" i="20"/>
  <c r="F14" i="20"/>
  <c r="E14" i="20"/>
  <c r="D14" i="20"/>
  <c r="C14" i="20"/>
  <c r="B14" i="20"/>
  <c r="AA61" i="20"/>
  <c r="AA38" i="20"/>
  <c r="AA33" i="20"/>
  <c r="AA11" i="20"/>
  <c r="Z61" i="20"/>
  <c r="Z38" i="20"/>
  <c r="Z33" i="20"/>
  <c r="Z11" i="20"/>
  <c r="Y61" i="20"/>
  <c r="Y38" i="20"/>
  <c r="Y33" i="20"/>
  <c r="X61" i="20"/>
  <c r="X47" i="20"/>
  <c r="X38" i="20"/>
  <c r="X33" i="20"/>
  <c r="W38" i="20"/>
  <c r="W33" i="20"/>
  <c r="K8" i="4"/>
  <c r="R8" i="11" s="1"/>
  <c r="I8" i="4"/>
  <c r="H8" i="4"/>
  <c r="G8" i="4"/>
  <c r="K8" i="2"/>
  <c r="R8" i="10" s="1"/>
  <c r="I8" i="2"/>
  <c r="H8" i="2"/>
  <c r="G8" i="2"/>
  <c r="U8" i="1"/>
  <c r="T8" i="7" s="1"/>
  <c r="S8" i="1"/>
  <c r="R8" i="1"/>
  <c r="Q8" i="1"/>
  <c r="P8" i="1"/>
  <c r="S8" i="7" s="1"/>
  <c r="N8" i="1"/>
  <c r="M8" i="1"/>
  <c r="L8" i="1"/>
  <c r="K8" i="1"/>
  <c r="R8" i="7" s="1"/>
  <c r="I8" i="1"/>
  <c r="H8" i="1"/>
  <c r="G8" i="1"/>
  <c r="A8" i="7"/>
  <c r="A8" i="10"/>
  <c r="A8" i="11"/>
  <c r="A3" i="16"/>
  <c r="S202" i="31"/>
  <c r="S201" i="31" s="1"/>
  <c r="R202" i="31"/>
  <c r="R201" i="31" s="1"/>
  <c r="Q202" i="31"/>
  <c r="Q201" i="31" s="1"/>
  <c r="U202" i="31"/>
  <c r="U201" i="31" s="1"/>
  <c r="P202" i="31"/>
  <c r="P201" i="31" s="1"/>
  <c r="AA42" i="47" l="1"/>
  <c r="Y62" i="47"/>
  <c r="Y50" i="47"/>
  <c r="M13" i="15"/>
  <c r="J85" i="14"/>
  <c r="J93" i="13" s="1"/>
  <c r="I85" i="14"/>
  <c r="I93" i="13" s="1"/>
  <c r="H85" i="14"/>
  <c r="H93" i="13" s="1"/>
  <c r="G85" i="14"/>
  <c r="G93" i="13" s="1"/>
  <c r="O85" i="14"/>
  <c r="O93" i="13" s="1"/>
  <c r="N85" i="14"/>
  <c r="N93" i="13" s="1"/>
  <c r="M85" i="14"/>
  <c r="M93" i="13" s="1"/>
  <c r="L85" i="14"/>
  <c r="L93" i="13" s="1"/>
  <c r="T85" i="14"/>
  <c r="T93" i="13" s="1"/>
  <c r="S85" i="14"/>
  <c r="S93" i="13" s="1"/>
  <c r="R85" i="14"/>
  <c r="R93" i="13" s="1"/>
  <c r="Q85" i="14"/>
  <c r="Q93" i="13" s="1"/>
  <c r="AB42" i="47" l="1"/>
  <c r="AC42" i="47" s="1"/>
  <c r="AD42" i="47" s="1"/>
  <c r="AE42" i="47" s="1"/>
  <c r="AF42" i="47" s="1"/>
  <c r="A79" i="16"/>
  <c r="M81" i="16" l="1"/>
  <c r="M22" i="20" s="1"/>
  <c r="L81" i="16"/>
  <c r="L22" i="20" s="1"/>
  <c r="K81" i="16"/>
  <c r="K22" i="20" s="1"/>
  <c r="J81" i="16"/>
  <c r="J22" i="20" s="1"/>
  <c r="I81" i="16"/>
  <c r="I22" i="20" s="1"/>
  <c r="H81" i="16"/>
  <c r="H22" i="20" s="1"/>
  <c r="G81" i="16"/>
  <c r="G22" i="20" s="1"/>
  <c r="F81" i="16"/>
  <c r="F22" i="20" s="1"/>
  <c r="E81" i="16"/>
  <c r="E22" i="20" s="1"/>
  <c r="D81" i="16"/>
  <c r="D22" i="20" s="1"/>
  <c r="C81" i="16"/>
  <c r="C22" i="20" s="1"/>
  <c r="B81" i="16"/>
  <c r="B22" i="20" s="1"/>
  <c r="N81" i="16"/>
  <c r="N22" i="20" s="1"/>
  <c r="O81" i="16"/>
  <c r="O22" i="20" s="1"/>
  <c r="P81" i="16"/>
  <c r="P22" i="20" s="1"/>
  <c r="P38" i="20"/>
  <c r="P33" i="20"/>
  <c r="P19" i="20"/>
  <c r="P14" i="20"/>
  <c r="K10" i="4"/>
  <c r="I10" i="4"/>
  <c r="H10" i="4"/>
  <c r="G10" i="4"/>
  <c r="K15" i="4"/>
  <c r="R15" i="11" s="1"/>
  <c r="I15" i="4"/>
  <c r="H15" i="4"/>
  <c r="G15" i="4"/>
  <c r="AA14" i="4"/>
  <c r="Z14" i="4"/>
  <c r="U14" i="11" s="1"/>
  <c r="X14" i="4"/>
  <c r="W14" i="4"/>
  <c r="V14" i="4"/>
  <c r="U14" i="4"/>
  <c r="T14" i="11" s="1"/>
  <c r="S14" i="4"/>
  <c r="R14" i="4"/>
  <c r="Q14" i="4"/>
  <c r="P14" i="4"/>
  <c r="S14" i="11" s="1"/>
  <c r="N14" i="4"/>
  <c r="M14" i="4"/>
  <c r="L14" i="4"/>
  <c r="K10" i="2"/>
  <c r="I10" i="2"/>
  <c r="H10" i="2"/>
  <c r="G10" i="2"/>
  <c r="K15" i="2"/>
  <c r="R15" i="10" s="1"/>
  <c r="I15" i="2"/>
  <c r="H15" i="2"/>
  <c r="G15" i="2"/>
  <c r="AA14" i="2"/>
  <c r="Z14" i="2"/>
  <c r="U14" i="10" s="1"/>
  <c r="X14" i="2"/>
  <c r="W14" i="2"/>
  <c r="V14" i="2"/>
  <c r="U14" i="2"/>
  <c r="T14" i="10" s="1"/>
  <c r="S14" i="2"/>
  <c r="R14" i="2"/>
  <c r="Q14" i="2"/>
  <c r="P14" i="2"/>
  <c r="S14" i="10" s="1"/>
  <c r="N14" i="2"/>
  <c r="M14" i="2"/>
  <c r="L14" i="2"/>
  <c r="U15" i="1"/>
  <c r="T15" i="7" s="1"/>
  <c r="S15" i="1"/>
  <c r="R15" i="1"/>
  <c r="Q15" i="1"/>
  <c r="P15" i="1"/>
  <c r="S15" i="7" s="1"/>
  <c r="N15" i="1"/>
  <c r="M15" i="1"/>
  <c r="L15" i="1"/>
  <c r="K15" i="1"/>
  <c r="R15" i="7" s="1"/>
  <c r="I15" i="1"/>
  <c r="H15" i="1"/>
  <c r="G15" i="1"/>
  <c r="AA14" i="1"/>
  <c r="Z14" i="1"/>
  <c r="U14" i="7" s="1"/>
  <c r="X14" i="1"/>
  <c r="W14" i="1"/>
  <c r="V14" i="1"/>
  <c r="U14" i="1"/>
  <c r="T14" i="7" s="1"/>
  <c r="S14" i="1"/>
  <c r="R14" i="1"/>
  <c r="Q14" i="1"/>
  <c r="P14" i="1"/>
  <c r="S14" i="7" s="1"/>
  <c r="N14" i="1"/>
  <c r="M14" i="1"/>
  <c r="L14" i="1"/>
  <c r="Y17" i="1"/>
  <c r="L66" i="47"/>
  <c r="B66" i="47"/>
  <c r="M61" i="46"/>
  <c r="H61" i="46"/>
  <c r="P48" i="46"/>
  <c r="M48" i="46"/>
  <c r="U17" i="11"/>
  <c r="T17" i="11"/>
  <c r="S17" i="11"/>
  <c r="R17" i="11"/>
  <c r="A17" i="11"/>
  <c r="A15" i="11"/>
  <c r="A14" i="11"/>
  <c r="A13" i="11"/>
  <c r="K19" i="4"/>
  <c r="H19" i="4"/>
  <c r="G19" i="4"/>
  <c r="P19" i="4"/>
  <c r="N19" i="4"/>
  <c r="M19" i="4"/>
  <c r="L19" i="4"/>
  <c r="U19" i="4"/>
  <c r="S19" i="4"/>
  <c r="R19" i="4"/>
  <c r="Q19" i="4"/>
  <c r="X19" i="4"/>
  <c r="AC20" i="4" s="1"/>
  <c r="W19" i="4"/>
  <c r="AB20" i="4" s="1"/>
  <c r="V19" i="4"/>
  <c r="Z19" i="4"/>
  <c r="AE20" i="4" s="1"/>
  <c r="AA19" i="4"/>
  <c r="V17" i="11"/>
  <c r="Y13" i="4"/>
  <c r="AD14" i="4" s="1"/>
  <c r="T13" i="4"/>
  <c r="O13" i="4"/>
  <c r="J13" i="4"/>
  <c r="AA19" i="2"/>
  <c r="Z19" i="2"/>
  <c r="X19" i="2"/>
  <c r="AC20" i="2" s="1"/>
  <c r="W19" i="2"/>
  <c r="AB20" i="2" s="1"/>
  <c r="V19" i="2"/>
  <c r="U19" i="2"/>
  <c r="S19" i="2"/>
  <c r="R19" i="2"/>
  <c r="Q19" i="2"/>
  <c r="P19" i="2"/>
  <c r="N19" i="2"/>
  <c r="M19" i="2"/>
  <c r="L19" i="2"/>
  <c r="K19" i="2"/>
  <c r="I19" i="2"/>
  <c r="H19" i="2"/>
  <c r="G19" i="2"/>
  <c r="Y13" i="2"/>
  <c r="AD14" i="2" s="1"/>
  <c r="T13" i="2"/>
  <c r="O13" i="2"/>
  <c r="J13" i="2"/>
  <c r="V17" i="10"/>
  <c r="U17" i="10"/>
  <c r="T17" i="10"/>
  <c r="S17" i="10"/>
  <c r="R17" i="10"/>
  <c r="A17" i="10"/>
  <c r="A15" i="10"/>
  <c r="A14" i="10"/>
  <c r="A13" i="10"/>
  <c r="U17" i="7"/>
  <c r="T17" i="7"/>
  <c r="S17" i="7"/>
  <c r="R17" i="7"/>
  <c r="A17" i="7"/>
  <c r="A15" i="7"/>
  <c r="A14" i="7"/>
  <c r="A13" i="7"/>
  <c r="AE17" i="1"/>
  <c r="U10" i="1"/>
  <c r="S10" i="1"/>
  <c r="R10" i="1"/>
  <c r="Q10" i="1"/>
  <c r="P10" i="1"/>
  <c r="N10" i="1"/>
  <c r="M10" i="1"/>
  <c r="L10" i="1"/>
  <c r="K10" i="1"/>
  <c r="I10" i="1"/>
  <c r="H10" i="1"/>
  <c r="G10" i="1"/>
  <c r="Y13" i="1"/>
  <c r="Y45" i="1" s="1"/>
  <c r="T13" i="1"/>
  <c r="T45" i="1" s="1"/>
  <c r="T46" i="1" s="1"/>
  <c r="O13" i="1"/>
  <c r="O45" i="1" s="1"/>
  <c r="O46" i="1" s="1"/>
  <c r="J13" i="1"/>
  <c r="J45" i="1" s="1"/>
  <c r="A19" i="7"/>
  <c r="A89" i="18"/>
  <c r="A90" i="18"/>
  <c r="A91" i="18"/>
  <c r="A92" i="18"/>
  <c r="A93" i="18"/>
  <c r="A94" i="18"/>
  <c r="A95" i="18"/>
  <c r="A97" i="18"/>
  <c r="A98" i="18"/>
  <c r="A99" i="18"/>
  <c r="A100" i="18"/>
  <c r="A101" i="18"/>
  <c r="A102" i="18"/>
  <c r="A103" i="18"/>
  <c r="A104" i="18"/>
  <c r="A105" i="18"/>
  <c r="A106" i="18"/>
  <c r="A107" i="18"/>
  <c r="A109" i="18"/>
  <c r="A110" i="18"/>
  <c r="A111" i="18"/>
  <c r="A112" i="18"/>
  <c r="A113" i="18"/>
  <c r="A114" i="18"/>
  <c r="A115" i="18"/>
  <c r="A116" i="18"/>
  <c r="A117" i="18"/>
  <c r="A118" i="18"/>
  <c r="A119" i="18"/>
  <c r="A120" i="18"/>
  <c r="A121" i="18"/>
  <c r="A122" i="18"/>
  <c r="A123" i="18"/>
  <c r="A124" i="18"/>
  <c r="L96" i="15"/>
  <c r="M96" i="15"/>
  <c r="N96" i="15"/>
  <c r="O96" i="15"/>
  <c r="P96" i="15"/>
  <c r="E48" i="46" l="1"/>
  <c r="F48" i="46"/>
  <c r="N48" i="46"/>
  <c r="G48" i="46"/>
  <c r="O48" i="46"/>
  <c r="H48" i="46"/>
  <c r="I48" i="46"/>
  <c r="B48" i="46"/>
  <c r="J48" i="46"/>
  <c r="C48" i="46"/>
  <c r="K48" i="46"/>
  <c r="D48" i="46"/>
  <c r="L48" i="46"/>
  <c r="D49" i="52"/>
  <c r="AF20" i="4"/>
  <c r="AD19" i="4"/>
  <c r="AF20" i="2"/>
  <c r="AD19" i="2"/>
  <c r="V17" i="7"/>
  <c r="AE19" i="1"/>
  <c r="AE20" i="2"/>
  <c r="F49" i="52"/>
  <c r="C49" i="52"/>
  <c r="E49" i="52"/>
  <c r="I61" i="46"/>
  <c r="J61" i="46"/>
  <c r="N61" i="46"/>
  <c r="AA22" i="2"/>
  <c r="AF23" i="2" s="1"/>
  <c r="K61" i="46"/>
  <c r="O61" i="46"/>
  <c r="L61" i="46"/>
  <c r="P61" i="46"/>
  <c r="E66" i="47"/>
  <c r="I66" i="47"/>
  <c r="F66" i="47"/>
  <c r="C66" i="47"/>
  <c r="G66" i="47"/>
  <c r="K66" i="47"/>
  <c r="J66" i="47"/>
  <c r="D66" i="47"/>
  <c r="H66" i="47"/>
  <c r="M15" i="15"/>
  <c r="Y14" i="4"/>
  <c r="Y14" i="2"/>
  <c r="O14" i="4"/>
  <c r="T14" i="4"/>
  <c r="T19" i="4"/>
  <c r="O14" i="2"/>
  <c r="T14" i="2"/>
  <c r="O19" i="2"/>
  <c r="T19" i="2"/>
  <c r="Y19" i="2"/>
  <c r="O14" i="1"/>
  <c r="T14" i="1"/>
  <c r="Y14" i="1"/>
  <c r="J19" i="4"/>
  <c r="O19" i="4"/>
  <c r="AD27" i="2" l="1"/>
  <c r="AI20" i="2"/>
  <c r="AD22" i="2"/>
  <c r="AI23" i="2" s="1"/>
  <c r="AE20" i="1"/>
  <c r="AJ20" i="1"/>
  <c r="AE22" i="1"/>
  <c r="AD19" i="1"/>
  <c r="AC27" i="1"/>
  <c r="AB27" i="1"/>
  <c r="AI20" i="4"/>
  <c r="AD27" i="4"/>
  <c r="AD22" i="4"/>
  <c r="AD20" i="2"/>
  <c r="AI23" i="4" l="1"/>
  <c r="AD20" i="1"/>
  <c r="AI20" i="1"/>
  <c r="AD27" i="1"/>
  <c r="AD22" i="1"/>
  <c r="AJ23" i="1"/>
  <c r="U9" i="8"/>
  <c r="U8" i="46" s="1"/>
  <c r="T9" i="8"/>
  <c r="T8" i="46" s="1"/>
  <c r="S9" i="8"/>
  <c r="S8" i="46" s="1"/>
  <c r="R9" i="8"/>
  <c r="R8" i="46" s="1"/>
  <c r="Q9" i="8"/>
  <c r="Q8" i="46" s="1"/>
  <c r="AJ2" i="5"/>
  <c r="AI2" i="5"/>
  <c r="AH2" i="5"/>
  <c r="AG2" i="5"/>
  <c r="AF2" i="5"/>
  <c r="AE2" i="5"/>
  <c r="AD2" i="5"/>
  <c r="AC2" i="5"/>
  <c r="AB2" i="5"/>
  <c r="AI23" i="1" l="1"/>
  <c r="S55" i="46"/>
  <c r="S70" i="46" s="1"/>
  <c r="T55" i="46"/>
  <c r="T70" i="46" s="1"/>
  <c r="R55" i="46"/>
  <c r="R70" i="46" s="1"/>
  <c r="R93" i="46" s="1"/>
  <c r="Q55" i="46"/>
  <c r="Q70" i="46" s="1"/>
  <c r="U55" i="46"/>
  <c r="U70" i="46" s="1"/>
  <c r="C69" i="16"/>
  <c r="D69" i="16"/>
  <c r="E69" i="16"/>
  <c r="F69" i="16"/>
  <c r="G69" i="16"/>
  <c r="H69" i="16"/>
  <c r="I69" i="16"/>
  <c r="J69" i="16"/>
  <c r="K69" i="16"/>
  <c r="L69" i="16"/>
  <c r="M69" i="16"/>
  <c r="N69" i="16"/>
  <c r="O69" i="16"/>
  <c r="P69" i="16"/>
  <c r="AE71" i="14"/>
  <c r="AJ71" i="14" s="1"/>
  <c r="AO71" i="14" s="1"/>
  <c r="AT71" i="14" s="1"/>
  <c r="AY71" i="14" s="1"/>
  <c r="F69" i="14"/>
  <c r="Q69" i="16" s="1"/>
  <c r="K69" i="14"/>
  <c r="R69" i="16" s="1"/>
  <c r="P69" i="14"/>
  <c r="S69" i="16" s="1"/>
  <c r="U69" i="14"/>
  <c r="T69" i="16" s="1"/>
  <c r="Z69" i="14"/>
  <c r="U69" i="16" s="1"/>
  <c r="B70" i="14"/>
  <c r="G70" i="14"/>
  <c r="H70" i="14" s="1"/>
  <c r="I70" i="14" s="1"/>
  <c r="L70" i="14"/>
  <c r="Q70" i="14"/>
  <c r="B68" i="14"/>
  <c r="G68" i="14"/>
  <c r="L68" i="14"/>
  <c r="L69" i="14" s="1"/>
  <c r="Q68" i="14"/>
  <c r="V70" i="14"/>
  <c r="V68" i="14"/>
  <c r="O85" i="16"/>
  <c r="O93" i="15" s="1"/>
  <c r="N85" i="16"/>
  <c r="N93" i="15" s="1"/>
  <c r="M85" i="16"/>
  <c r="M93" i="15" s="1"/>
  <c r="L85" i="16"/>
  <c r="L93" i="15" s="1"/>
  <c r="K85" i="16"/>
  <c r="K93" i="15" s="1"/>
  <c r="J85" i="16"/>
  <c r="J93" i="15" s="1"/>
  <c r="I85" i="16"/>
  <c r="I93" i="15" s="1"/>
  <c r="H85" i="16"/>
  <c r="H93" i="15" s="1"/>
  <c r="G85" i="16"/>
  <c r="G93" i="15" s="1"/>
  <c r="F85" i="16"/>
  <c r="F93" i="15" s="1"/>
  <c r="E85" i="16"/>
  <c r="E93" i="15" s="1"/>
  <c r="D85" i="16"/>
  <c r="D93" i="15" s="1"/>
  <c r="C85" i="16"/>
  <c r="C93" i="15" s="1"/>
  <c r="P85" i="16"/>
  <c r="P93" i="15" s="1"/>
  <c r="AW71" i="14" l="1"/>
  <c r="AX71" i="14" s="1"/>
  <c r="Z71" i="16"/>
  <c r="AR71" i="14"/>
  <c r="AS71" i="14" s="1"/>
  <c r="Y71" i="16"/>
  <c r="X71" i="16"/>
  <c r="V71" i="14"/>
  <c r="T93" i="46"/>
  <c r="S93" i="46"/>
  <c r="U93" i="46"/>
  <c r="G69" i="14"/>
  <c r="G71" i="14"/>
  <c r="B69" i="14"/>
  <c r="B71" i="14"/>
  <c r="R68" i="14"/>
  <c r="R69" i="14" s="1"/>
  <c r="Q71" i="14"/>
  <c r="V71" i="16"/>
  <c r="Q84" i="16"/>
  <c r="Q85" i="16" s="1"/>
  <c r="F85" i="14"/>
  <c r="F93" i="13" s="1"/>
  <c r="Q93" i="15" s="1"/>
  <c r="T84" i="16"/>
  <c r="U85" i="14"/>
  <c r="R84" i="16"/>
  <c r="K85" i="14"/>
  <c r="S84" i="16"/>
  <c r="P85" i="14"/>
  <c r="C70" i="14"/>
  <c r="D70" i="14" s="1"/>
  <c r="J70" i="14"/>
  <c r="C68" i="14"/>
  <c r="V69" i="14"/>
  <c r="H68" i="14"/>
  <c r="Q69" i="14"/>
  <c r="W68" i="14"/>
  <c r="M68" i="14"/>
  <c r="L71" i="14"/>
  <c r="M70" i="14"/>
  <c r="R70" i="14"/>
  <c r="W70" i="14"/>
  <c r="X70" i="14" s="1"/>
  <c r="B83" i="15"/>
  <c r="AD83" i="13"/>
  <c r="AC83" i="13"/>
  <c r="AF83" i="13"/>
  <c r="E90" i="15" l="1"/>
  <c r="G90" i="15"/>
  <c r="K90" i="15"/>
  <c r="AE88" i="13"/>
  <c r="F85" i="15"/>
  <c r="N85" i="15"/>
  <c r="O90" i="15"/>
  <c r="J85" i="15"/>
  <c r="X85" i="13"/>
  <c r="AC86" i="13" s="1"/>
  <c r="W85" i="13"/>
  <c r="M90" i="15"/>
  <c r="C85" i="15"/>
  <c r="G85" i="15"/>
  <c r="O85" i="15"/>
  <c r="C90" i="15"/>
  <c r="P85" i="15"/>
  <c r="D85" i="15"/>
  <c r="H85" i="15"/>
  <c r="L85" i="15"/>
  <c r="I90" i="15"/>
  <c r="K85" i="15"/>
  <c r="E85" i="15"/>
  <c r="I85" i="15"/>
  <c r="M85" i="15"/>
  <c r="S85" i="13"/>
  <c r="N85" i="13"/>
  <c r="I85" i="13"/>
  <c r="D85" i="13"/>
  <c r="D86" i="13" s="1"/>
  <c r="Y85" i="13"/>
  <c r="AD86" i="13" s="1"/>
  <c r="T85" i="13"/>
  <c r="O85" i="13"/>
  <c r="J85" i="13"/>
  <c r="E85" i="13"/>
  <c r="E86" i="13" s="1"/>
  <c r="AB85" i="13"/>
  <c r="AG86" i="13" s="1"/>
  <c r="R85" i="13"/>
  <c r="M85" i="13"/>
  <c r="H85" i="13"/>
  <c r="C85" i="13"/>
  <c r="C86" i="13" s="1"/>
  <c r="F90" i="15"/>
  <c r="J90" i="15"/>
  <c r="N90" i="15"/>
  <c r="D90" i="15"/>
  <c r="H90" i="15"/>
  <c r="L90" i="15"/>
  <c r="P90" i="15"/>
  <c r="AA90" i="13"/>
  <c r="AB90" i="13"/>
  <c r="S85" i="16"/>
  <c r="P93" i="13"/>
  <c r="S93" i="15" s="1"/>
  <c r="T85" i="16"/>
  <c r="U93" i="13"/>
  <c r="T93" i="15" s="1"/>
  <c r="R85" i="16"/>
  <c r="K93" i="13"/>
  <c r="R93" i="15" s="1"/>
  <c r="D68" i="14"/>
  <c r="E68" i="14" s="1"/>
  <c r="C71" i="14"/>
  <c r="W71" i="14"/>
  <c r="H69" i="14"/>
  <c r="H71" i="14"/>
  <c r="S68" i="14"/>
  <c r="R71" i="14"/>
  <c r="W71" i="16"/>
  <c r="AC71" i="16" s="1"/>
  <c r="AD71" i="16" s="1"/>
  <c r="AE71" i="16" s="1"/>
  <c r="AF71" i="16" s="1"/>
  <c r="I68" i="14"/>
  <c r="AC70" i="14"/>
  <c r="C69" i="14"/>
  <c r="E70" i="14"/>
  <c r="N68" i="14"/>
  <c r="N69" i="14" s="1"/>
  <c r="M69" i="14"/>
  <c r="W69" i="14"/>
  <c r="X68" i="14"/>
  <c r="N70" i="14"/>
  <c r="O70" i="14" s="1"/>
  <c r="S70" i="14"/>
  <c r="Y70" i="14"/>
  <c r="N86" i="15" l="1"/>
  <c r="O86" i="15"/>
  <c r="G86" i="15"/>
  <c r="K86" i="15"/>
  <c r="E86" i="15"/>
  <c r="P86" i="15"/>
  <c r="L86" i="15"/>
  <c r="AD70" i="14"/>
  <c r="H86" i="15"/>
  <c r="I86" i="15"/>
  <c r="W86" i="13"/>
  <c r="I86" i="13"/>
  <c r="O86" i="13"/>
  <c r="J86" i="15"/>
  <c r="M86" i="15"/>
  <c r="D86" i="15"/>
  <c r="F86" i="15"/>
  <c r="M86" i="13"/>
  <c r="H86" i="13"/>
  <c r="T86" i="13"/>
  <c r="N86" i="13"/>
  <c r="AB86" i="13"/>
  <c r="Y86" i="13"/>
  <c r="S86" i="13"/>
  <c r="R86" i="13"/>
  <c r="J86" i="13"/>
  <c r="X86" i="13"/>
  <c r="J68" i="14"/>
  <c r="I71" i="14"/>
  <c r="E69" i="14"/>
  <c r="E71" i="14"/>
  <c r="Y68" i="14"/>
  <c r="Y71" i="14" s="1"/>
  <c r="X71" i="14"/>
  <c r="D69" i="14"/>
  <c r="D71" i="14"/>
  <c r="S69" i="14"/>
  <c r="S71" i="14"/>
  <c r="T68" i="14"/>
  <c r="I69" i="14"/>
  <c r="O68" i="14"/>
  <c r="O69" i="14" s="1"/>
  <c r="T70" i="14"/>
  <c r="X69" i="14"/>
  <c r="Y69" i="14" l="1"/>
  <c r="T69" i="14"/>
  <c r="T71" i="14"/>
  <c r="J69" i="14"/>
  <c r="J71" i="14"/>
  <c r="Q68" i="16" l="1"/>
  <c r="R68" i="16"/>
  <c r="S68" i="16"/>
  <c r="Q71" i="16"/>
  <c r="R71" i="16"/>
  <c r="S71" i="16"/>
  <c r="AC70" i="16"/>
  <c r="AD70" i="16" s="1"/>
  <c r="AE70" i="16" s="1"/>
  <c r="AF70" i="16" s="1"/>
  <c r="T71" i="16"/>
  <c r="T68" i="16"/>
  <c r="T70" i="16"/>
  <c r="V70" i="16"/>
  <c r="U70" i="16"/>
  <c r="U71" i="16"/>
  <c r="U68" i="16"/>
  <c r="AJ2" i="17"/>
  <c r="AI2" i="17"/>
  <c r="AH2" i="17"/>
  <c r="AG2" i="17"/>
  <c r="AF2" i="17"/>
  <c r="AJ2" i="4"/>
  <c r="AI2" i="4"/>
  <c r="AH2" i="4"/>
  <c r="AG2" i="4"/>
  <c r="AF2" i="4"/>
  <c r="AJ2" i="2"/>
  <c r="AI2" i="2"/>
  <c r="AH2" i="2"/>
  <c r="AG2" i="2"/>
  <c r="AF2" i="2"/>
  <c r="AJ2" i="1"/>
  <c r="AI2" i="1"/>
  <c r="AH2" i="1"/>
  <c r="AG2" i="1"/>
  <c r="AF2" i="1"/>
  <c r="AJ2" i="14"/>
  <c r="AI2" i="14"/>
  <c r="AH2" i="14"/>
  <c r="AG2" i="14"/>
  <c r="AF2" i="14"/>
  <c r="B2" i="14"/>
  <c r="C2" i="14"/>
  <c r="D2" i="14"/>
  <c r="E2" i="14"/>
  <c r="F2" i="14"/>
  <c r="G2" i="14"/>
  <c r="H2" i="14"/>
  <c r="I2" i="14"/>
  <c r="J2" i="14"/>
  <c r="K2" i="14"/>
  <c r="L2" i="14"/>
  <c r="M2" i="14"/>
  <c r="N2" i="14"/>
  <c r="O2" i="14"/>
  <c r="P2" i="14"/>
  <c r="Q2" i="14"/>
  <c r="R2" i="14"/>
  <c r="S2" i="14"/>
  <c r="T2" i="14"/>
  <c r="U2" i="14"/>
  <c r="V2" i="14"/>
  <c r="W2" i="14"/>
  <c r="X2" i="14"/>
  <c r="Y2" i="14"/>
  <c r="Z2" i="14"/>
  <c r="AA2" i="14"/>
  <c r="AB2" i="14"/>
  <c r="AC2" i="14"/>
  <c r="AD2" i="14"/>
  <c r="AE2" i="14"/>
  <c r="B2" i="17"/>
  <c r="C2" i="17"/>
  <c r="D2" i="17"/>
  <c r="E2" i="17"/>
  <c r="F2" i="17"/>
  <c r="G2" i="17"/>
  <c r="H2" i="17"/>
  <c r="I2" i="17"/>
  <c r="J2" i="17"/>
  <c r="K2" i="17"/>
  <c r="L2" i="17"/>
  <c r="M2" i="17"/>
  <c r="N2" i="17"/>
  <c r="O2" i="17"/>
  <c r="P2" i="17"/>
  <c r="Q2" i="17"/>
  <c r="R2" i="17"/>
  <c r="S2" i="17"/>
  <c r="T2" i="17"/>
  <c r="U2" i="17"/>
  <c r="V2" i="17"/>
  <c r="W2" i="17"/>
  <c r="X2" i="17"/>
  <c r="Y2" i="17"/>
  <c r="Z2" i="17"/>
  <c r="AA2" i="17"/>
  <c r="AB2" i="17"/>
  <c r="AC2" i="17"/>
  <c r="AD2" i="17"/>
  <c r="AE2" i="17"/>
  <c r="U2" i="40"/>
  <c r="O2" i="40"/>
  <c r="N2" i="40"/>
  <c r="M2" i="40"/>
  <c r="L2" i="40"/>
  <c r="K2" i="40"/>
  <c r="J2" i="40"/>
  <c r="I2" i="40"/>
  <c r="H2" i="40"/>
  <c r="G2" i="40"/>
  <c r="F2" i="40"/>
  <c r="E2" i="40"/>
  <c r="D2" i="40"/>
  <c r="C2" i="40"/>
  <c r="B2" i="40"/>
  <c r="Q2" i="40" l="1"/>
  <c r="Y2" i="20"/>
  <c r="Y2" i="40"/>
  <c r="AA2" i="20"/>
  <c r="AA2" i="40"/>
  <c r="V2" i="20"/>
  <c r="V2" i="40"/>
  <c r="Z2" i="20"/>
  <c r="Z2" i="40"/>
  <c r="S2" i="40"/>
  <c r="W2" i="20"/>
  <c r="W2" i="40"/>
  <c r="R2" i="40"/>
  <c r="P2" i="40"/>
  <c r="T2" i="40"/>
  <c r="X2" i="20"/>
  <c r="D2" i="20"/>
  <c r="L2" i="20"/>
  <c r="H2" i="20"/>
  <c r="E2" i="20"/>
  <c r="M2" i="20"/>
  <c r="U2" i="8"/>
  <c r="C2" i="20"/>
  <c r="G2" i="20"/>
  <c r="K2" i="20"/>
  <c r="O2" i="20"/>
  <c r="I2" i="20"/>
  <c r="B2" i="20"/>
  <c r="F2" i="20"/>
  <c r="J2" i="20"/>
  <c r="N2" i="20"/>
  <c r="I2" i="18"/>
  <c r="M2" i="18"/>
  <c r="Y2" i="8"/>
  <c r="AA2" i="8"/>
  <c r="J2" i="18"/>
  <c r="R2" i="8"/>
  <c r="V2" i="8"/>
  <c r="Z2" i="8"/>
  <c r="B2" i="18"/>
  <c r="N2" i="18"/>
  <c r="C2" i="16"/>
  <c r="G2" i="16"/>
  <c r="K2" i="16"/>
  <c r="O2" i="16"/>
  <c r="S2" i="11"/>
  <c r="S2" i="8"/>
  <c r="W2" i="18"/>
  <c r="W2" i="8"/>
  <c r="E2" i="18"/>
  <c r="F2" i="18"/>
  <c r="D2" i="16"/>
  <c r="H2" i="16"/>
  <c r="L2" i="16"/>
  <c r="P2" i="16"/>
  <c r="P2" i="20"/>
  <c r="T2" i="18"/>
  <c r="T2" i="8"/>
  <c r="X2" i="18"/>
  <c r="X2" i="8"/>
  <c r="N2" i="16"/>
  <c r="J2" i="16"/>
  <c r="F2" i="16"/>
  <c r="B2" i="16"/>
  <c r="C2" i="18"/>
  <c r="G2" i="18"/>
  <c r="K2" i="18"/>
  <c r="O2" i="18"/>
  <c r="S2" i="18"/>
  <c r="M2" i="16"/>
  <c r="I2" i="16"/>
  <c r="E2" i="16"/>
  <c r="D2" i="18"/>
  <c r="H2" i="18"/>
  <c r="L2" i="18"/>
  <c r="P2" i="18"/>
  <c r="R2" i="11"/>
  <c r="Q2" i="18"/>
  <c r="U2" i="18"/>
  <c r="W2" i="7"/>
  <c r="Q2" i="11"/>
  <c r="R2" i="18"/>
  <c r="V2" i="18"/>
  <c r="Z2" i="18"/>
  <c r="H2" i="52" l="1"/>
  <c r="H2" i="48"/>
  <c r="M2" i="52"/>
  <c r="M2" i="48"/>
  <c r="G2" i="52"/>
  <c r="G2" i="48"/>
  <c r="J2" i="52"/>
  <c r="J2" i="48"/>
  <c r="D2" i="52"/>
  <c r="D2" i="48"/>
  <c r="K2" i="52"/>
  <c r="K2" i="48"/>
  <c r="P2" i="52"/>
  <c r="P2" i="48"/>
  <c r="CR18" i="48" s="1"/>
  <c r="F2" i="52"/>
  <c r="F2" i="48"/>
  <c r="N2" i="52"/>
  <c r="N2" i="48"/>
  <c r="E2" i="52"/>
  <c r="E2" i="48"/>
  <c r="C2" i="52"/>
  <c r="C2" i="48"/>
  <c r="L2" i="52"/>
  <c r="L2" i="48"/>
  <c r="O2" i="52"/>
  <c r="O2" i="48"/>
  <c r="CQ18" i="48" s="1"/>
  <c r="B2" i="52"/>
  <c r="B2" i="48"/>
  <c r="I2" i="52"/>
  <c r="I2" i="48"/>
  <c r="W6" i="16"/>
  <c r="AA2" i="18"/>
  <c r="Y85" i="14"/>
  <c r="Y93" i="13" s="1"/>
  <c r="X85" i="14"/>
  <c r="X93" i="13" s="1"/>
  <c r="W85" i="14"/>
  <c r="W93" i="13" s="1"/>
  <c r="V85" i="14"/>
  <c r="V93" i="13" s="1"/>
  <c r="AA85" i="14"/>
  <c r="AA93" i="13" s="1"/>
  <c r="Q2" i="52" l="1"/>
  <c r="Q2" i="48"/>
  <c r="CS18" i="48" s="1"/>
  <c r="AH92" i="13"/>
  <c r="AB92" i="13"/>
  <c r="AB175" i="13"/>
  <c r="Z85" i="14"/>
  <c r="AE84" i="14"/>
  <c r="U84" i="16"/>
  <c r="AJ85" i="14" l="1"/>
  <c r="AJ93" i="13" s="1"/>
  <c r="AE92" i="13"/>
  <c r="V92" i="15" s="1"/>
  <c r="AE85" i="14"/>
  <c r="AE93" i="13" s="1"/>
  <c r="U85" i="16"/>
  <c r="Z93" i="13"/>
  <c r="U93" i="15" s="1"/>
  <c r="W84" i="16"/>
  <c r="W92" i="15"/>
  <c r="V84" i="16"/>
  <c r="V85" i="16" l="1"/>
  <c r="V93" i="15"/>
  <c r="W85" i="16"/>
  <c r="W93" i="15"/>
  <c r="AB83" i="13"/>
  <c r="V6" i="16" l="1"/>
  <c r="B75" i="14"/>
  <c r="G75" i="14"/>
  <c r="L75" i="14"/>
  <c r="Q75" i="14"/>
  <c r="V75" i="14"/>
  <c r="F81" i="14"/>
  <c r="B81" i="14"/>
  <c r="K81" i="14"/>
  <c r="G81" i="14"/>
  <c r="P81" i="14"/>
  <c r="L81" i="14"/>
  <c r="U81" i="14"/>
  <c r="Q81" i="14"/>
  <c r="V57" i="16"/>
  <c r="V54" i="16"/>
  <c r="V48" i="16"/>
  <c r="V40" i="16"/>
  <c r="V39" i="16"/>
  <c r="V35" i="16"/>
  <c r="AB80" i="13" l="1"/>
  <c r="CQ49" i="48" l="1"/>
  <c r="P2" i="32"/>
  <c r="O2" i="32"/>
  <c r="N2" i="32"/>
  <c r="M2" i="32"/>
  <c r="L2" i="32"/>
  <c r="K2" i="32"/>
  <c r="J2" i="32"/>
  <c r="I2" i="32"/>
  <c r="H2" i="32"/>
  <c r="G2" i="32"/>
  <c r="F2" i="32"/>
  <c r="E2" i="32"/>
  <c r="D2" i="32"/>
  <c r="C2" i="32"/>
  <c r="B2" i="32"/>
  <c r="A202" i="32"/>
  <c r="A201" i="32"/>
  <c r="A161" i="32"/>
  <c r="A160" i="32"/>
  <c r="A159" i="32"/>
  <c r="A155" i="32"/>
  <c r="A154" i="32"/>
  <c r="A153" i="32"/>
  <c r="A152" i="32"/>
  <c r="A151" i="32"/>
  <c r="A150" i="32"/>
  <c r="A149" i="32"/>
  <c r="A148" i="32"/>
  <c r="A147" i="32"/>
  <c r="A145" i="32"/>
  <c r="A144" i="32"/>
  <c r="A142" i="32"/>
  <c r="A72" i="32"/>
  <c r="A71" i="32"/>
  <c r="A70" i="32"/>
  <c r="A68" i="32"/>
  <c r="A67" i="32"/>
  <c r="A66" i="32"/>
  <c r="A65" i="32"/>
  <c r="A25" i="32"/>
  <c r="A24" i="32"/>
  <c r="A23" i="32"/>
  <c r="A19" i="32"/>
  <c r="A18" i="32"/>
  <c r="A17" i="32"/>
  <c r="A16" i="32"/>
  <c r="A15" i="32"/>
  <c r="A14" i="32"/>
  <c r="A13" i="32"/>
  <c r="A12" i="32"/>
  <c r="A11" i="32"/>
  <c r="A9" i="32"/>
  <c r="A8" i="32"/>
  <c r="A6" i="32"/>
  <c r="A4" i="32"/>
  <c r="S202" i="32"/>
  <c r="S75" i="32"/>
  <c r="S4" i="32"/>
  <c r="T75" i="32"/>
  <c r="T71" i="32"/>
  <c r="T70" i="32"/>
  <c r="T4" i="32"/>
  <c r="U75" i="32"/>
  <c r="U71" i="32"/>
  <c r="U70" i="32"/>
  <c r="U4" i="32"/>
  <c r="CS49" i="48" l="1"/>
  <c r="S140" i="32"/>
  <c r="T72" i="32"/>
  <c r="U72" i="32"/>
  <c r="CT30" i="48" l="1"/>
  <c r="V10" i="16"/>
  <c r="V8" i="16"/>
  <c r="CW49" i="48" l="1"/>
  <c r="A59" i="16"/>
  <c r="A57" i="16"/>
  <c r="A55" i="16"/>
  <c r="A44" i="16"/>
  <c r="A43" i="16"/>
  <c r="A41" i="16"/>
  <c r="A31" i="16"/>
  <c r="A29" i="16"/>
  <c r="A5" i="16"/>
  <c r="A4" i="16"/>
  <c r="AE60" i="17" l="1"/>
  <c r="AE56" i="17"/>
  <c r="V56" i="18" s="1"/>
  <c r="AE57" i="17"/>
  <c r="AE53" i="17"/>
  <c r="AE52" i="17"/>
  <c r="AE45" i="17"/>
  <c r="AE40" i="17"/>
  <c r="AE21" i="17"/>
  <c r="AE20" i="17"/>
  <c r="AE13" i="17"/>
  <c r="V38" i="20" l="1"/>
  <c r="V33" i="20"/>
  <c r="V21" i="18"/>
  <c r="V40" i="18"/>
  <c r="W40" i="18"/>
  <c r="V52" i="18"/>
  <c r="W52" i="18"/>
  <c r="V60" i="18"/>
  <c r="V45" i="18"/>
  <c r="V13" i="18"/>
  <c r="V57" i="18"/>
  <c r="W57" i="18"/>
  <c r="V20" i="18"/>
  <c r="V53" i="18"/>
  <c r="W20" i="18" l="1"/>
  <c r="W53" i="18"/>
  <c r="W56" i="18"/>
  <c r="W60" i="18"/>
  <c r="AE11" i="17"/>
  <c r="AE22" i="17"/>
  <c r="AE23" i="17"/>
  <c r="W202" i="31"/>
  <c r="W201" i="31" s="1"/>
  <c r="V202" i="31"/>
  <c r="V201" i="31" s="1"/>
  <c r="T202" i="32"/>
  <c r="AA202" i="31"/>
  <c r="AA201" i="31" s="1"/>
  <c r="U67" i="32"/>
  <c r="T67" i="32"/>
  <c r="S67" i="32"/>
  <c r="P2" i="31"/>
  <c r="O2" i="31"/>
  <c r="N2" i="31"/>
  <c r="M2" i="31"/>
  <c r="L2" i="31"/>
  <c r="K2" i="31"/>
  <c r="J2" i="31"/>
  <c r="I2" i="31"/>
  <c r="H2" i="31"/>
  <c r="G2" i="31"/>
  <c r="F2" i="31"/>
  <c r="E2" i="31"/>
  <c r="D2" i="31"/>
  <c r="C2" i="31"/>
  <c r="B2" i="31"/>
  <c r="A140" i="32"/>
  <c r="T66" i="32" l="1"/>
  <c r="T68" i="32" s="1"/>
  <c r="U66" i="32"/>
  <c r="U68" i="32" s="1"/>
  <c r="V11" i="18"/>
  <c r="V23" i="18"/>
  <c r="V22" i="18"/>
  <c r="A75" i="32"/>
  <c r="S66" i="32"/>
  <c r="S68" i="32" s="1"/>
  <c r="V9" i="16"/>
  <c r="AE35" i="17"/>
  <c r="X20" i="18" l="1"/>
  <c r="X56" i="18"/>
  <c r="X53" i="18"/>
  <c r="X60" i="18"/>
  <c r="V23" i="16"/>
  <c r="AC40" i="18"/>
  <c r="AD40" i="18" s="1"/>
  <c r="AE40" i="18" s="1"/>
  <c r="AF40" i="18" s="1"/>
  <c r="W13" i="18"/>
  <c r="V35" i="18"/>
  <c r="S201" i="32"/>
  <c r="AC52" i="18"/>
  <c r="AD52" i="18" s="1"/>
  <c r="AE52" i="18" s="1"/>
  <c r="AF52" i="18" s="1"/>
  <c r="Y60" i="18" l="1"/>
  <c r="Y56" i="18"/>
  <c r="Y53" i="18"/>
  <c r="Y20" i="18"/>
  <c r="V75" i="32"/>
  <c r="AE34" i="17"/>
  <c r="AC13" i="18"/>
  <c r="AD13" i="18" s="1"/>
  <c r="AE13" i="18" s="1"/>
  <c r="AF13" i="18" s="1"/>
  <c r="Z20" i="18" l="1"/>
  <c r="Z53" i="18"/>
  <c r="Z56" i="18"/>
  <c r="BD56" i="17"/>
  <c r="AB82" i="17"/>
  <c r="AB83" i="17" s="1"/>
  <c r="W45" i="18"/>
  <c r="U140" i="32"/>
  <c r="W11" i="18"/>
  <c r="W22" i="18"/>
  <c r="W23" i="18"/>
  <c r="AC23" i="18" s="1"/>
  <c r="AD23" i="18" s="1"/>
  <c r="V67" i="32"/>
  <c r="V140" i="32"/>
  <c r="T140" i="32"/>
  <c r="V34" i="18"/>
  <c r="AA20" i="18" l="1"/>
  <c r="AA56" i="18"/>
  <c r="BE56" i="17"/>
  <c r="BF56" i="17" s="1"/>
  <c r="BG56" i="17" s="1"/>
  <c r="BH56" i="17" s="1"/>
  <c r="BI56" i="17" s="1"/>
  <c r="AB56" i="18" s="1"/>
  <c r="AE23" i="18"/>
  <c r="AF23" i="18" s="1"/>
  <c r="Z60" i="18"/>
  <c r="BD60" i="17"/>
  <c r="AH54" i="18"/>
  <c r="V66" i="32"/>
  <c r="V68" i="32" s="1"/>
  <c r="V4" i="32"/>
  <c r="V70" i="32"/>
  <c r="V45" i="16"/>
  <c r="AC56" i="18" l="1"/>
  <c r="AD56" i="18" s="1"/>
  <c r="AE56" i="18" s="1"/>
  <c r="AF56" i="18" s="1"/>
  <c r="AA60" i="18"/>
  <c r="BE60" i="17"/>
  <c r="BF60" i="17" s="1"/>
  <c r="BG60" i="17" s="1"/>
  <c r="BH60" i="17" s="1"/>
  <c r="BI60" i="17" s="1"/>
  <c r="AB60" i="18" s="1"/>
  <c r="AC60" i="18" s="1"/>
  <c r="AD60" i="18" s="1"/>
  <c r="AE60" i="18" s="1"/>
  <c r="AF60" i="18" s="1"/>
  <c r="AE44" i="17"/>
  <c r="W75" i="32"/>
  <c r="W35" i="18"/>
  <c r="W9" i="16"/>
  <c r="V71" i="32"/>
  <c r="V72" i="32" s="1"/>
  <c r="O82" i="18"/>
  <c r="O27" i="20" s="1"/>
  <c r="N82" i="18"/>
  <c r="N27" i="20" s="1"/>
  <c r="M82" i="18"/>
  <c r="M27" i="20" s="1"/>
  <c r="L82" i="18"/>
  <c r="L27" i="20" s="1"/>
  <c r="K82" i="18"/>
  <c r="K27" i="20" s="1"/>
  <c r="J82" i="18"/>
  <c r="J27" i="20" s="1"/>
  <c r="I82" i="18"/>
  <c r="I27" i="20" s="1"/>
  <c r="H82" i="18"/>
  <c r="H27" i="20" s="1"/>
  <c r="G82" i="18"/>
  <c r="G27" i="20" s="1"/>
  <c r="F82" i="18"/>
  <c r="F27" i="20" s="1"/>
  <c r="E82" i="18"/>
  <c r="E27" i="20" s="1"/>
  <c r="D82" i="18"/>
  <c r="D27" i="20" s="1"/>
  <c r="C82" i="18"/>
  <c r="C27" i="20" s="1"/>
  <c r="B82" i="18"/>
  <c r="B27" i="20" s="1"/>
  <c r="P82" i="18"/>
  <c r="P27" i="20" s="1"/>
  <c r="O71" i="18"/>
  <c r="N71" i="18"/>
  <c r="M71" i="18"/>
  <c r="L71" i="18"/>
  <c r="K71" i="18"/>
  <c r="J71" i="18"/>
  <c r="I71" i="18"/>
  <c r="H71" i="18"/>
  <c r="G71" i="18"/>
  <c r="F71" i="18"/>
  <c r="E71" i="18"/>
  <c r="D71" i="18"/>
  <c r="C71" i="18"/>
  <c r="B71" i="18"/>
  <c r="O70" i="18"/>
  <c r="N70" i="18"/>
  <c r="M70" i="18"/>
  <c r="L70" i="18"/>
  <c r="K70" i="18"/>
  <c r="J70" i="18"/>
  <c r="I70" i="18"/>
  <c r="H70" i="18"/>
  <c r="G70" i="18"/>
  <c r="F70" i="18"/>
  <c r="E70" i="18"/>
  <c r="D70" i="18"/>
  <c r="C70" i="18"/>
  <c r="B70" i="18"/>
  <c r="P71" i="18"/>
  <c r="P70" i="18"/>
  <c r="AA82" i="17"/>
  <c r="AA83" i="17" s="1"/>
  <c r="F82" i="17"/>
  <c r="F83" i="17" s="1"/>
  <c r="D82" i="17"/>
  <c r="D83" i="17" s="1"/>
  <c r="C82" i="17"/>
  <c r="C83" i="17" s="1"/>
  <c r="B82" i="17"/>
  <c r="B83" i="17" s="1"/>
  <c r="K82" i="17"/>
  <c r="K83" i="17" s="1"/>
  <c r="I82" i="17"/>
  <c r="I83" i="17" s="1"/>
  <c r="H82" i="17"/>
  <c r="H83" i="17" s="1"/>
  <c r="G82" i="17"/>
  <c r="G83" i="17" s="1"/>
  <c r="P82" i="17"/>
  <c r="P83" i="17" s="1"/>
  <c r="N82" i="17"/>
  <c r="N83" i="17" s="1"/>
  <c r="M82" i="17"/>
  <c r="M83" i="17" s="1"/>
  <c r="L82" i="17"/>
  <c r="L83" i="17" s="1"/>
  <c r="U82" i="17"/>
  <c r="U83" i="17" s="1"/>
  <c r="S82" i="17"/>
  <c r="S83" i="17" s="1"/>
  <c r="R82" i="17"/>
  <c r="R83" i="17" s="1"/>
  <c r="Q82" i="17"/>
  <c r="Q83" i="17" s="1"/>
  <c r="A70" i="18"/>
  <c r="A64" i="18"/>
  <c r="A62" i="18"/>
  <c r="A60" i="18"/>
  <c r="A58" i="18"/>
  <c r="A51" i="18"/>
  <c r="A50" i="18"/>
  <c r="A48" i="18"/>
  <c r="A39" i="18"/>
  <c r="A32" i="18"/>
  <c r="A31" i="18"/>
  <c r="A30" i="18"/>
  <c r="A29" i="18"/>
  <c r="A27" i="18"/>
  <c r="A5" i="18"/>
  <c r="AA71" i="17"/>
  <c r="AA70" i="17"/>
  <c r="F71" i="17"/>
  <c r="D71" i="17"/>
  <c r="C71" i="17"/>
  <c r="B71" i="17"/>
  <c r="F70" i="17"/>
  <c r="D70" i="17"/>
  <c r="C70" i="17"/>
  <c r="B70" i="17"/>
  <c r="K71" i="17"/>
  <c r="I71" i="17"/>
  <c r="H71" i="17"/>
  <c r="G71" i="17"/>
  <c r="K70" i="17"/>
  <c r="I70" i="17"/>
  <c r="H70" i="17"/>
  <c r="G70" i="17"/>
  <c r="P71" i="17"/>
  <c r="N71" i="17"/>
  <c r="M71" i="17"/>
  <c r="L71" i="17"/>
  <c r="P70" i="17"/>
  <c r="N70" i="17"/>
  <c r="M70" i="17"/>
  <c r="L70" i="17"/>
  <c r="U71" i="17"/>
  <c r="S71" i="17"/>
  <c r="R71" i="17"/>
  <c r="Q71" i="17"/>
  <c r="U70" i="17"/>
  <c r="S70" i="17"/>
  <c r="R70" i="17"/>
  <c r="Q70" i="17"/>
  <c r="AA2" i="11"/>
  <c r="Z2" i="11"/>
  <c r="X2" i="11"/>
  <c r="W2" i="11"/>
  <c r="V2" i="11"/>
  <c r="AA2" i="10"/>
  <c r="Z2" i="10"/>
  <c r="Y2" i="10"/>
  <c r="X2" i="10"/>
  <c r="W2" i="10"/>
  <c r="V2" i="10"/>
  <c r="AA2" i="7"/>
  <c r="Z2" i="7"/>
  <c r="Y2" i="7"/>
  <c r="X2" i="7"/>
  <c r="U2" i="7"/>
  <c r="U6" i="7"/>
  <c r="V54" i="15"/>
  <c r="V53" i="15"/>
  <c r="V17" i="15"/>
  <c r="AA15" i="13"/>
  <c r="AA14" i="13"/>
  <c r="AA13" i="13"/>
  <c r="V30" i="15"/>
  <c r="V32" i="15"/>
  <c r="V19" i="15"/>
  <c r="V18" i="15"/>
  <c r="V9" i="15"/>
  <c r="V8" i="15"/>
  <c r="V2" i="7"/>
  <c r="AE2" i="4"/>
  <c r="AD2" i="4"/>
  <c r="AC2" i="4"/>
  <c r="AB2" i="4"/>
  <c r="AA2" i="4"/>
  <c r="AE2" i="2"/>
  <c r="AD2" i="2"/>
  <c r="AC2" i="2"/>
  <c r="AB2" i="2"/>
  <c r="AA2" i="2"/>
  <c r="AE2" i="1"/>
  <c r="AD2" i="1"/>
  <c r="AC2" i="1"/>
  <c r="AB2" i="1"/>
  <c r="AA2" i="1"/>
  <c r="F77" i="13"/>
  <c r="F80" i="13"/>
  <c r="V44" i="18" l="1"/>
  <c r="AE82" i="17"/>
  <c r="V82" i="18" s="1"/>
  <c r="V27" i="20" s="1"/>
  <c r="V44" i="16"/>
  <c r="AB4" i="13"/>
  <c r="AB5" i="13"/>
  <c r="AC22" i="18"/>
  <c r="AD22" i="18" s="1"/>
  <c r="AE22" i="18" s="1"/>
  <c r="AF22" i="18" s="1"/>
  <c r="AE43" i="17"/>
  <c r="AD38" i="13"/>
  <c r="BD53" i="17" l="1"/>
  <c r="AC11" i="18"/>
  <c r="AC5" i="13"/>
  <c r="AE22" i="13"/>
  <c r="V22" i="15" s="1"/>
  <c r="AC133" i="13"/>
  <c r="AC134" i="13"/>
  <c r="AE38" i="13"/>
  <c r="V38" i="15" s="1"/>
  <c r="AC24" i="13"/>
  <c r="AC31" i="13" s="1"/>
  <c r="AC15" i="13"/>
  <c r="AB15" i="13"/>
  <c r="AB14" i="13"/>
  <c r="AC3" i="13"/>
  <c r="AB3" i="13"/>
  <c r="V43" i="18"/>
  <c r="AA53" i="18" l="1"/>
  <c r="BE53" i="17"/>
  <c r="BF53" i="17" s="1"/>
  <c r="BG53" i="17" s="1"/>
  <c r="BH53" i="17" s="1"/>
  <c r="BI53" i="17" s="1"/>
  <c r="AB53" i="18" s="1"/>
  <c r="AD11" i="18"/>
  <c r="AE7" i="17"/>
  <c r="V7" i="18" s="1"/>
  <c r="AC75" i="32"/>
  <c r="AD75" i="32" s="1"/>
  <c r="AE75" i="32" s="1"/>
  <c r="AF75" i="32" s="1"/>
  <c r="W45" i="16"/>
  <c r="W44" i="18"/>
  <c r="V38" i="16"/>
  <c r="AB10" i="13"/>
  <c r="AD134" i="13"/>
  <c r="AE134" i="13" s="1"/>
  <c r="V134" i="15" s="1"/>
  <c r="AE23" i="13"/>
  <c r="V23" i="15" s="1"/>
  <c r="V24" i="15" s="1"/>
  <c r="AC135" i="13"/>
  <c r="AC136" i="13" s="1"/>
  <c r="AD133" i="13"/>
  <c r="W4" i="32"/>
  <c r="AG5" i="13"/>
  <c r="AC35" i="18"/>
  <c r="AD35" i="18" s="1"/>
  <c r="AE35" i="18" s="1"/>
  <c r="AF35" i="18" s="1"/>
  <c r="W67" i="32"/>
  <c r="W38" i="15"/>
  <c r="V13" i="16"/>
  <c r="AC53" i="18" l="1"/>
  <c r="AD53" i="18" s="1"/>
  <c r="AE53" i="18" s="1"/>
  <c r="AF53" i="18" s="1"/>
  <c r="AE11" i="18"/>
  <c r="AB105" i="13"/>
  <c r="V31" i="15"/>
  <c r="AB74" i="14"/>
  <c r="AB76" i="17"/>
  <c r="AB69" i="17"/>
  <c r="AB79" i="17"/>
  <c r="AB78" i="17"/>
  <c r="AB74" i="17"/>
  <c r="AB68" i="17"/>
  <c r="AB77" i="17"/>
  <c r="AB75" i="17"/>
  <c r="W70" i="32"/>
  <c r="W71" i="32"/>
  <c r="V37" i="16"/>
  <c r="W66" i="32"/>
  <c r="W68" i="32" s="1"/>
  <c r="AF133" i="13"/>
  <c r="AG119" i="13"/>
  <c r="AJ119" i="13" s="1"/>
  <c r="AF24" i="13"/>
  <c r="AE24" i="13"/>
  <c r="AE31" i="13" s="1"/>
  <c r="AG120" i="13"/>
  <c r="AJ120" i="13" s="1"/>
  <c r="AF134" i="13"/>
  <c r="W140" i="32"/>
  <c r="AH15" i="13"/>
  <c r="AG15" i="13"/>
  <c r="W34" i="18"/>
  <c r="W82" i="18"/>
  <c r="AF11" i="18" l="1"/>
  <c r="AF31" i="13"/>
  <c r="AJ130" i="13"/>
  <c r="AJ62" i="13" s="1"/>
  <c r="X72" i="32"/>
  <c r="W27" i="20"/>
  <c r="AG130" i="13"/>
  <c r="AG62" i="13" s="1"/>
  <c r="AB106" i="13"/>
  <c r="AB70" i="17"/>
  <c r="AB71" i="17"/>
  <c r="W72" i="32"/>
  <c r="W23" i="16"/>
  <c r="W44" i="16"/>
  <c r="AG134" i="13"/>
  <c r="AG133" i="13"/>
  <c r="AG24" i="13"/>
  <c r="X68" i="32"/>
  <c r="AG31" i="13" l="1"/>
  <c r="AH62" i="13"/>
  <c r="AC4" i="32"/>
  <c r="AD4" i="32" s="1"/>
  <c r="AE4" i="32" s="1"/>
  <c r="W43" i="18"/>
  <c r="AH133" i="13"/>
  <c r="AJ133" i="13" s="1"/>
  <c r="AH24" i="13"/>
  <c r="W120" i="15"/>
  <c r="AC120" i="15" s="1"/>
  <c r="AD120" i="15" s="1"/>
  <c r="AE120" i="15" s="1"/>
  <c r="AF120" i="15" s="1"/>
  <c r="AH134" i="13"/>
  <c r="AJ134" i="13" s="1"/>
  <c r="W13" i="16"/>
  <c r="X27" i="20"/>
  <c r="AE140" i="32" l="1"/>
  <c r="AF4" i="32"/>
  <c r="AD140" i="32"/>
  <c r="AC140" i="32"/>
  <c r="AH31" i="13"/>
  <c r="AJ135" i="13"/>
  <c r="AJ136" i="13" s="1"/>
  <c r="AI24" i="13"/>
  <c r="W119" i="15"/>
  <c r="W128" i="15"/>
  <c r="W23" i="15"/>
  <c r="W134" i="15"/>
  <c r="AC134" i="15" s="1"/>
  <c r="AD134" i="15" s="1"/>
  <c r="AE134" i="15" s="1"/>
  <c r="AF134" i="15" s="1"/>
  <c r="W7" i="18"/>
  <c r="AF140" i="32" l="1"/>
  <c r="AF202" i="32" s="1"/>
  <c r="AF37" i="15" s="1"/>
  <c r="AI31" i="13"/>
  <c r="W37" i="16"/>
  <c r="W130" i="15"/>
  <c r="W38" i="16"/>
  <c r="W22" i="15"/>
  <c r="AC38" i="15" l="1"/>
  <c r="W24" i="15"/>
  <c r="AD38" i="15" l="1"/>
  <c r="AC43" i="18"/>
  <c r="AD43" i="18" s="1"/>
  <c r="AE43" i="18" s="1"/>
  <c r="AF43" i="18" s="1"/>
  <c r="AF23" i="16" s="1"/>
  <c r="W31" i="15"/>
  <c r="AE23" i="16" l="1"/>
  <c r="AM76" i="18" s="1"/>
  <c r="AE38" i="15"/>
  <c r="AD23" i="16"/>
  <c r="AL76" i="18" s="1"/>
  <c r="AC23" i="16"/>
  <c r="AK76" i="18" s="1"/>
  <c r="AJ76" i="18"/>
  <c r="AF38" i="15" l="1"/>
  <c r="AC119" i="15"/>
  <c r="AD119" i="15" s="1"/>
  <c r="Z88" i="13"/>
  <c r="U88" i="13"/>
  <c r="P88" i="13"/>
  <c r="K88" i="13"/>
  <c r="F88" i="13"/>
  <c r="AA83" i="13"/>
  <c r="Y83" i="13"/>
  <c r="X83" i="13"/>
  <c r="W83" i="13"/>
  <c r="V83" i="13"/>
  <c r="T83" i="13"/>
  <c r="S83" i="13"/>
  <c r="R83" i="13"/>
  <c r="Q83" i="13"/>
  <c r="O83" i="13"/>
  <c r="N83" i="13"/>
  <c r="M83" i="13"/>
  <c r="L83" i="13"/>
  <c r="J83" i="13"/>
  <c r="I83" i="13"/>
  <c r="H83" i="13"/>
  <c r="G83" i="13"/>
  <c r="Z82" i="13"/>
  <c r="U82" i="13"/>
  <c r="P82" i="13"/>
  <c r="K82" i="13"/>
  <c r="L85" i="13" s="1"/>
  <c r="F82" i="13"/>
  <c r="AA80" i="13"/>
  <c r="Z80" i="13"/>
  <c r="Y80" i="13"/>
  <c r="X80" i="13"/>
  <c r="W80" i="13"/>
  <c r="V80" i="13"/>
  <c r="U80" i="13"/>
  <c r="T80" i="13"/>
  <c r="S80" i="13"/>
  <c r="R80" i="13"/>
  <c r="Q80" i="13"/>
  <c r="P80" i="13"/>
  <c r="N80" i="13"/>
  <c r="M80" i="13"/>
  <c r="L80" i="13"/>
  <c r="K80" i="13"/>
  <c r="I80" i="13"/>
  <c r="H80" i="13"/>
  <c r="G80" i="13"/>
  <c r="Z77" i="13"/>
  <c r="X77" i="13"/>
  <c r="W77" i="13"/>
  <c r="V77" i="13"/>
  <c r="U77" i="13"/>
  <c r="T77" i="13"/>
  <c r="S77" i="13"/>
  <c r="R77" i="13"/>
  <c r="Q77" i="13"/>
  <c r="P77" i="13"/>
  <c r="N77" i="13"/>
  <c r="M77" i="13"/>
  <c r="L77" i="13"/>
  <c r="K77" i="13"/>
  <c r="I77" i="13"/>
  <c r="H77" i="13"/>
  <c r="G77" i="13"/>
  <c r="P83" i="15"/>
  <c r="O83" i="15"/>
  <c r="N83" i="15"/>
  <c r="M83" i="15"/>
  <c r="L83" i="15"/>
  <c r="K83" i="15"/>
  <c r="J83" i="15"/>
  <c r="I83" i="15"/>
  <c r="H83" i="15"/>
  <c r="G83" i="15"/>
  <c r="F83" i="15"/>
  <c r="E83" i="15"/>
  <c r="D83" i="15"/>
  <c r="C83" i="15"/>
  <c r="P80" i="15"/>
  <c r="O80" i="15"/>
  <c r="N80" i="15"/>
  <c r="M80" i="15"/>
  <c r="L80" i="15"/>
  <c r="K80" i="15"/>
  <c r="J80" i="15"/>
  <c r="I80" i="15"/>
  <c r="H80" i="15"/>
  <c r="G80" i="15"/>
  <c r="F80" i="15"/>
  <c r="E80" i="15"/>
  <c r="D80" i="15"/>
  <c r="C80" i="15"/>
  <c r="P77" i="15"/>
  <c r="O77" i="15"/>
  <c r="N77" i="15"/>
  <c r="M77" i="15"/>
  <c r="L77" i="15"/>
  <c r="K77" i="15"/>
  <c r="J77" i="15"/>
  <c r="I77" i="15"/>
  <c r="H77" i="15"/>
  <c r="G77" i="15"/>
  <c r="F77" i="15"/>
  <c r="E77" i="15"/>
  <c r="D77" i="15"/>
  <c r="C77" i="15"/>
  <c r="AF133" i="15" l="1"/>
  <c r="AF135" i="15" s="1"/>
  <c r="AF136" i="15"/>
  <c r="AE24" i="15"/>
  <c r="AE133" i="15"/>
  <c r="AE135" i="15" s="1"/>
  <c r="AD128" i="15"/>
  <c r="AD130" i="15" s="1"/>
  <c r="AD62" i="15" s="1"/>
  <c r="AE119" i="15"/>
  <c r="AF119" i="15" s="1"/>
  <c r="AF128" i="15" s="1"/>
  <c r="AF130" i="15" s="1"/>
  <c r="AF62" i="15" s="1"/>
  <c r="AD24" i="15"/>
  <c r="AD133" i="15"/>
  <c r="AD135" i="15" s="1"/>
  <c r="AC128" i="15"/>
  <c r="AC130" i="15" s="1"/>
  <c r="AC62" i="15" s="1"/>
  <c r="AC133" i="15"/>
  <c r="AC135" i="15" s="1"/>
  <c r="AC24" i="15"/>
  <c r="AE83" i="13"/>
  <c r="AE85" i="13"/>
  <c r="Z85" i="13"/>
  <c r="AA85" i="13"/>
  <c r="AF86" i="13" s="1"/>
  <c r="U85" i="13"/>
  <c r="V85" i="13"/>
  <c r="P85" i="13"/>
  <c r="Q85" i="13"/>
  <c r="Q86" i="13" s="1"/>
  <c r="F83" i="13"/>
  <c r="G85" i="13"/>
  <c r="K85" i="13"/>
  <c r="U83" i="13"/>
  <c r="P83" i="13"/>
  <c r="Z83" i="13"/>
  <c r="K83" i="13"/>
  <c r="M75" i="14"/>
  <c r="C75" i="14"/>
  <c r="L75" i="16"/>
  <c r="U57" i="18"/>
  <c r="T57" i="18"/>
  <c r="S57" i="18"/>
  <c r="R57" i="18"/>
  <c r="Q57" i="18"/>
  <c r="U53" i="18"/>
  <c r="T53" i="18"/>
  <c r="S53" i="18"/>
  <c r="R53" i="18"/>
  <c r="Q53" i="18"/>
  <c r="U52" i="18"/>
  <c r="T52" i="18"/>
  <c r="S52" i="18"/>
  <c r="R52" i="18"/>
  <c r="Q52" i="18"/>
  <c r="U45" i="18"/>
  <c r="T45" i="18"/>
  <c r="S45" i="18"/>
  <c r="R45" i="18"/>
  <c r="Q45" i="18"/>
  <c r="U40" i="18"/>
  <c r="T40" i="18"/>
  <c r="S40" i="18"/>
  <c r="R40" i="18"/>
  <c r="Q40" i="18"/>
  <c r="U43" i="18"/>
  <c r="T43" i="18"/>
  <c r="S43" i="18"/>
  <c r="R43" i="18"/>
  <c r="Q43" i="18"/>
  <c r="U44" i="18"/>
  <c r="T44" i="18"/>
  <c r="S44" i="18"/>
  <c r="R44" i="18"/>
  <c r="Q44" i="18"/>
  <c r="U36" i="18"/>
  <c r="T36" i="18"/>
  <c r="S36" i="18"/>
  <c r="R36" i="18"/>
  <c r="Q36" i="18"/>
  <c r="U35" i="18"/>
  <c r="T35" i="18"/>
  <c r="S35" i="18"/>
  <c r="R35" i="18"/>
  <c r="Q35" i="18"/>
  <c r="U34" i="18"/>
  <c r="T34" i="18"/>
  <c r="S34" i="18"/>
  <c r="R34" i="18"/>
  <c r="Q34" i="18"/>
  <c r="U32" i="18"/>
  <c r="T32" i="18"/>
  <c r="S32" i="18"/>
  <c r="R32" i="18"/>
  <c r="Q32" i="18"/>
  <c r="U31" i="18"/>
  <c r="T31" i="18"/>
  <c r="S31" i="18"/>
  <c r="R31" i="18"/>
  <c r="Q31" i="18"/>
  <c r="U24" i="18"/>
  <c r="T24" i="18"/>
  <c r="S24" i="18"/>
  <c r="R24" i="18"/>
  <c r="Q24" i="18"/>
  <c r="U22" i="18"/>
  <c r="T22" i="18"/>
  <c r="S22" i="18"/>
  <c r="R22" i="18"/>
  <c r="Q22" i="18"/>
  <c r="U21" i="18"/>
  <c r="T21" i="18"/>
  <c r="S21" i="18"/>
  <c r="R21" i="18"/>
  <c r="Q21" i="18"/>
  <c r="U20" i="18"/>
  <c r="T20" i="18"/>
  <c r="S20" i="18"/>
  <c r="R20" i="18"/>
  <c r="Q20" i="18"/>
  <c r="U23" i="18"/>
  <c r="T23" i="18"/>
  <c r="S23" i="18"/>
  <c r="R23" i="18"/>
  <c r="Q23" i="18"/>
  <c r="U19" i="18"/>
  <c r="T19" i="18"/>
  <c r="S19" i="18"/>
  <c r="R19" i="18"/>
  <c r="Q19" i="18"/>
  <c r="U14" i="18"/>
  <c r="T14" i="18"/>
  <c r="S14" i="18"/>
  <c r="R14" i="18"/>
  <c r="Q14" i="18"/>
  <c r="U13" i="18"/>
  <c r="T13" i="18"/>
  <c r="S13" i="18"/>
  <c r="R13" i="18"/>
  <c r="Q13" i="18"/>
  <c r="U11" i="18"/>
  <c r="T11" i="18"/>
  <c r="S11" i="18"/>
  <c r="R11" i="18"/>
  <c r="Q11" i="18"/>
  <c r="U12" i="18"/>
  <c r="T12" i="18"/>
  <c r="S12" i="18"/>
  <c r="R12" i="18"/>
  <c r="Q12" i="18"/>
  <c r="U9" i="18"/>
  <c r="T9" i="18"/>
  <c r="S9" i="18"/>
  <c r="R9" i="18"/>
  <c r="Q9" i="18"/>
  <c r="U8" i="18"/>
  <c r="T8" i="18"/>
  <c r="S8" i="18"/>
  <c r="R8" i="18"/>
  <c r="Q8" i="18"/>
  <c r="U7" i="18"/>
  <c r="T7" i="18"/>
  <c r="S7" i="18"/>
  <c r="R7" i="18"/>
  <c r="Q7" i="18"/>
  <c r="E82" i="17"/>
  <c r="E83" i="17" s="1"/>
  <c r="U9" i="15"/>
  <c r="T9" i="15"/>
  <c r="S9" i="15"/>
  <c r="R9" i="15"/>
  <c r="Q9" i="15"/>
  <c r="U8" i="15"/>
  <c r="T8" i="15"/>
  <c r="S8" i="15"/>
  <c r="R8" i="15"/>
  <c r="Q8" i="15"/>
  <c r="Q47" i="47" s="1"/>
  <c r="U19" i="15"/>
  <c r="T19" i="15"/>
  <c r="S19" i="15"/>
  <c r="R19" i="15"/>
  <c r="Q19" i="15"/>
  <c r="U18" i="15"/>
  <c r="T18" i="15"/>
  <c r="S18" i="15"/>
  <c r="R18" i="15"/>
  <c r="Q18" i="15"/>
  <c r="U32" i="15"/>
  <c r="T32" i="15"/>
  <c r="S32" i="15"/>
  <c r="R32" i="15"/>
  <c r="Q32" i="15"/>
  <c r="Y9" i="13"/>
  <c r="T9" i="13"/>
  <c r="O9" i="13"/>
  <c r="J9" i="13"/>
  <c r="E9" i="13"/>
  <c r="AE128" i="15" l="1"/>
  <c r="AE130" i="15" s="1"/>
  <c r="AE62" i="15" s="1"/>
  <c r="AE136" i="15"/>
  <c r="AE31" i="15"/>
  <c r="AD31" i="15"/>
  <c r="AD136" i="15"/>
  <c r="AC31" i="15"/>
  <c r="AC136" i="15"/>
  <c r="AE86" i="13"/>
  <c r="Q46" i="47"/>
  <c r="Q59" i="47"/>
  <c r="Z86" i="13"/>
  <c r="AA86" i="13"/>
  <c r="V86" i="13"/>
  <c r="U86" i="13"/>
  <c r="K86" i="13"/>
  <c r="P86" i="13"/>
  <c r="G86" i="13"/>
  <c r="L86" i="13"/>
  <c r="I44" i="52"/>
  <c r="I124" i="48"/>
  <c r="J44" i="52"/>
  <c r="J124" i="48"/>
  <c r="G44" i="52"/>
  <c r="G45" i="52" s="1"/>
  <c r="G124" i="48"/>
  <c r="G125" i="48" s="1"/>
  <c r="K44" i="52"/>
  <c r="K124" i="48"/>
  <c r="H44" i="52"/>
  <c r="H124" i="48"/>
  <c r="L19" i="20"/>
  <c r="M71" i="14"/>
  <c r="D96" i="15"/>
  <c r="H96" i="15"/>
  <c r="E96" i="15"/>
  <c r="I96" i="15"/>
  <c r="B96" i="15"/>
  <c r="F96" i="15"/>
  <c r="J96" i="15"/>
  <c r="C96" i="15"/>
  <c r="G96" i="15"/>
  <c r="K96" i="15"/>
  <c r="R81" i="14"/>
  <c r="J82" i="17"/>
  <c r="J83" i="17" s="1"/>
  <c r="O82" i="17"/>
  <c r="O83" i="17" s="1"/>
  <c r="T82" i="17"/>
  <c r="T83" i="17" s="1"/>
  <c r="R75" i="14"/>
  <c r="C81" i="14"/>
  <c r="M81" i="14"/>
  <c r="H75" i="14"/>
  <c r="T75" i="14"/>
  <c r="S75" i="14"/>
  <c r="I75" i="14"/>
  <c r="H81" i="14"/>
  <c r="D75" i="14"/>
  <c r="I81" i="14"/>
  <c r="N75" i="14"/>
  <c r="K125" i="48" l="1"/>
  <c r="J45" i="52"/>
  <c r="H125" i="48"/>
  <c r="K45" i="52"/>
  <c r="J125" i="48"/>
  <c r="I125" i="48"/>
  <c r="H45" i="52"/>
  <c r="I45" i="52"/>
  <c r="N81" i="14"/>
  <c r="J75" i="14"/>
  <c r="N71" i="14"/>
  <c r="D81" i="14"/>
  <c r="S81" i="14"/>
  <c r="E75" i="14"/>
  <c r="J81" i="14"/>
  <c r="O75" i="14"/>
  <c r="E81" i="14" l="1"/>
  <c r="T81" i="14"/>
  <c r="O71" i="14"/>
  <c r="O81" i="14"/>
  <c r="C65" i="18" l="1"/>
  <c r="C26" i="20"/>
  <c r="C83" i="18"/>
  <c r="B83" i="18"/>
  <c r="B26" i="20"/>
  <c r="B65" i="18"/>
  <c r="D26" i="20"/>
  <c r="D83" i="18"/>
  <c r="D65" i="18"/>
  <c r="C28" i="20" l="1"/>
  <c r="C84" i="18"/>
  <c r="B28" i="20"/>
  <c r="B84" i="18"/>
  <c r="D28" i="20"/>
  <c r="D84" i="18"/>
  <c r="O135" i="15"/>
  <c r="N135" i="15"/>
  <c r="M135" i="15"/>
  <c r="L135" i="15"/>
  <c r="K135" i="15"/>
  <c r="J135" i="15"/>
  <c r="I135" i="15"/>
  <c r="H135" i="15"/>
  <c r="G135" i="15"/>
  <c r="F135" i="15"/>
  <c r="E135" i="15"/>
  <c r="D135" i="15"/>
  <c r="C135" i="15"/>
  <c r="B135" i="15"/>
  <c r="P135" i="15"/>
  <c r="P102" i="15"/>
  <c r="O102" i="15"/>
  <c r="N102" i="15"/>
  <c r="M102" i="15"/>
  <c r="L102" i="15"/>
  <c r="K102" i="15"/>
  <c r="J102" i="15"/>
  <c r="I102" i="15"/>
  <c r="H102" i="15"/>
  <c r="G102" i="15"/>
  <c r="F102" i="15"/>
  <c r="E102" i="15"/>
  <c r="D102" i="15"/>
  <c r="C102" i="15"/>
  <c r="B102" i="15"/>
  <c r="B103" i="15" s="1"/>
  <c r="O24" i="15"/>
  <c r="O31" i="15" s="1"/>
  <c r="N24" i="15"/>
  <c r="N31" i="15" s="1"/>
  <c r="M24" i="15"/>
  <c r="M31" i="15" s="1"/>
  <c r="L24" i="15"/>
  <c r="L31" i="15" s="1"/>
  <c r="K24" i="15"/>
  <c r="K31" i="15" s="1"/>
  <c r="J24" i="15"/>
  <c r="J31" i="15" s="1"/>
  <c r="I24" i="15"/>
  <c r="I31" i="15" s="1"/>
  <c r="H24" i="15"/>
  <c r="H31" i="15" s="1"/>
  <c r="G24" i="15"/>
  <c r="G31" i="15" s="1"/>
  <c r="F24" i="15"/>
  <c r="F31" i="15" s="1"/>
  <c r="E24" i="15"/>
  <c r="E31" i="15" s="1"/>
  <c r="D24" i="15"/>
  <c r="D31" i="15" s="1"/>
  <c r="C24" i="15"/>
  <c r="C31" i="15" s="1"/>
  <c r="B31" i="15"/>
  <c r="P24" i="15"/>
  <c r="P31" i="15" s="1"/>
  <c r="O15" i="15"/>
  <c r="N15" i="15"/>
  <c r="L15" i="15"/>
  <c r="K15" i="15"/>
  <c r="J15" i="15"/>
  <c r="I15" i="15"/>
  <c r="H15" i="15"/>
  <c r="G15" i="15"/>
  <c r="F15" i="15"/>
  <c r="E15" i="15"/>
  <c r="D15" i="15"/>
  <c r="C15" i="15"/>
  <c r="B15" i="15"/>
  <c r="O14" i="15"/>
  <c r="N14" i="15"/>
  <c r="L14" i="15"/>
  <c r="K14" i="15"/>
  <c r="J14" i="15"/>
  <c r="I14" i="15"/>
  <c r="H14" i="15"/>
  <c r="G14" i="15"/>
  <c r="F14" i="15"/>
  <c r="E14" i="15"/>
  <c r="D14" i="15"/>
  <c r="C14" i="15"/>
  <c r="B14" i="15"/>
  <c r="O13" i="15"/>
  <c r="N13" i="15"/>
  <c r="L13" i="15"/>
  <c r="K13" i="15"/>
  <c r="J13" i="15"/>
  <c r="I13" i="15"/>
  <c r="H13" i="15"/>
  <c r="G13" i="15"/>
  <c r="F13" i="15"/>
  <c r="E13" i="15"/>
  <c r="D13" i="15"/>
  <c r="C13" i="15"/>
  <c r="B13" i="15"/>
  <c r="P15" i="15"/>
  <c r="P14" i="15"/>
  <c r="P13" i="15"/>
  <c r="O47" i="47"/>
  <c r="N47" i="47"/>
  <c r="L47" i="47"/>
  <c r="K47" i="47"/>
  <c r="J47" i="47"/>
  <c r="I47" i="47"/>
  <c r="H47" i="47"/>
  <c r="G47" i="47"/>
  <c r="F47" i="47"/>
  <c r="E47" i="47"/>
  <c r="D47" i="47"/>
  <c r="C47" i="47"/>
  <c r="B47" i="47"/>
  <c r="O5" i="15"/>
  <c r="N5" i="15"/>
  <c r="L5" i="15"/>
  <c r="K5" i="15"/>
  <c r="J5" i="15"/>
  <c r="I5" i="15"/>
  <c r="H5" i="15"/>
  <c r="G5" i="15"/>
  <c r="F5" i="15"/>
  <c r="E5" i="15"/>
  <c r="D5" i="15"/>
  <c r="C5" i="15"/>
  <c r="B5" i="15"/>
  <c r="O4" i="15"/>
  <c r="N4" i="15"/>
  <c r="L4" i="15"/>
  <c r="K4" i="15"/>
  <c r="J4" i="15"/>
  <c r="I4" i="15"/>
  <c r="H4" i="15"/>
  <c r="G4" i="15"/>
  <c r="F4" i="15"/>
  <c r="E4" i="15"/>
  <c r="D4" i="15"/>
  <c r="C4" i="15"/>
  <c r="B4" i="15"/>
  <c r="O3" i="15"/>
  <c r="N3" i="15"/>
  <c r="L3" i="15"/>
  <c r="K3" i="15"/>
  <c r="J3" i="15"/>
  <c r="I3" i="15"/>
  <c r="H3" i="15"/>
  <c r="G3" i="15"/>
  <c r="F3" i="15"/>
  <c r="E3" i="15"/>
  <c r="D3" i="15"/>
  <c r="C3" i="15"/>
  <c r="B3" i="15"/>
  <c r="P47" i="47"/>
  <c r="P5" i="15"/>
  <c r="P4" i="15"/>
  <c r="P3" i="15"/>
  <c r="R3" i="10"/>
  <c r="Q38" i="15"/>
  <c r="R38" i="15"/>
  <c r="S38" i="15"/>
  <c r="T38" i="15"/>
  <c r="Q17" i="15"/>
  <c r="F15" i="13"/>
  <c r="D15" i="13"/>
  <c r="C15" i="13"/>
  <c r="B15" i="13"/>
  <c r="F14" i="13"/>
  <c r="D14" i="13"/>
  <c r="C14" i="13"/>
  <c r="B14" i="13"/>
  <c r="F13" i="13"/>
  <c r="D13" i="13"/>
  <c r="C13" i="13"/>
  <c r="B13" i="13"/>
  <c r="F5" i="13"/>
  <c r="D5" i="13"/>
  <c r="C5" i="13"/>
  <c r="B5" i="13"/>
  <c r="F4" i="13"/>
  <c r="D4" i="13"/>
  <c r="C4" i="13"/>
  <c r="B4" i="13"/>
  <c r="F3" i="13"/>
  <c r="D3" i="13"/>
  <c r="C3" i="13"/>
  <c r="B3" i="13"/>
  <c r="R17" i="15"/>
  <c r="K15" i="13"/>
  <c r="J15" i="13"/>
  <c r="I15" i="13"/>
  <c r="H15" i="13"/>
  <c r="G15" i="13"/>
  <c r="K14" i="13"/>
  <c r="I14" i="13"/>
  <c r="H14" i="13"/>
  <c r="G14" i="13"/>
  <c r="K13" i="13"/>
  <c r="I13" i="13"/>
  <c r="H13" i="13"/>
  <c r="G13" i="13"/>
  <c r="R7" i="15"/>
  <c r="K5" i="13"/>
  <c r="I5" i="13"/>
  <c r="H5" i="13"/>
  <c r="G5" i="13"/>
  <c r="K4" i="13"/>
  <c r="I4" i="13"/>
  <c r="H4" i="13"/>
  <c r="G4" i="13"/>
  <c r="K3" i="13"/>
  <c r="I3" i="13"/>
  <c r="H3" i="13"/>
  <c r="G3" i="13"/>
  <c r="S17" i="15"/>
  <c r="P15" i="13"/>
  <c r="O15" i="13"/>
  <c r="N15" i="13"/>
  <c r="M15" i="13"/>
  <c r="L15" i="13"/>
  <c r="P14" i="13"/>
  <c r="N14" i="13"/>
  <c r="M14" i="13"/>
  <c r="L14" i="13"/>
  <c r="P13" i="13"/>
  <c r="N13" i="13"/>
  <c r="M13" i="13"/>
  <c r="L13" i="13"/>
  <c r="S7" i="15"/>
  <c r="P3" i="13"/>
  <c r="N3" i="13"/>
  <c r="M3" i="13"/>
  <c r="L3" i="13"/>
  <c r="T17" i="15"/>
  <c r="U15" i="13"/>
  <c r="T15" i="13"/>
  <c r="S15" i="13"/>
  <c r="R15" i="13"/>
  <c r="Q15" i="13"/>
  <c r="U14" i="13"/>
  <c r="S14" i="13"/>
  <c r="R14" i="13"/>
  <c r="Q14" i="13"/>
  <c r="U13" i="13"/>
  <c r="S13" i="13"/>
  <c r="R13" i="13"/>
  <c r="Q13" i="13"/>
  <c r="T7" i="15"/>
  <c r="U3" i="13"/>
  <c r="S3" i="13"/>
  <c r="R3" i="13"/>
  <c r="Q3" i="13"/>
  <c r="AE7" i="13"/>
  <c r="V7" i="15" s="1"/>
  <c r="U7" i="15"/>
  <c r="AA20" i="13"/>
  <c r="U17" i="15"/>
  <c r="G49" i="52"/>
  <c r="E115" i="13"/>
  <c r="K22" i="4"/>
  <c r="I22" i="4"/>
  <c r="H22" i="4"/>
  <c r="G22" i="4"/>
  <c r="M5" i="13"/>
  <c r="U22" i="4"/>
  <c r="S4" i="4"/>
  <c r="R5" i="13"/>
  <c r="Q5" i="13"/>
  <c r="X27" i="4"/>
  <c r="W27" i="4"/>
  <c r="V27" i="4"/>
  <c r="T27" i="4"/>
  <c r="S27" i="4"/>
  <c r="R27" i="4"/>
  <c r="Q27" i="4"/>
  <c r="O27" i="4"/>
  <c r="N27" i="4"/>
  <c r="M27" i="4"/>
  <c r="L27" i="4"/>
  <c r="J27" i="4"/>
  <c r="I27" i="4"/>
  <c r="H27" i="4"/>
  <c r="G27" i="4"/>
  <c r="I26" i="4"/>
  <c r="H26" i="4"/>
  <c r="G26" i="4"/>
  <c r="X27" i="2"/>
  <c r="W27" i="2"/>
  <c r="V27" i="2"/>
  <c r="S27" i="2"/>
  <c r="R27" i="2"/>
  <c r="Q27" i="2"/>
  <c r="N27" i="2"/>
  <c r="M27" i="2"/>
  <c r="L27" i="2"/>
  <c r="I27" i="2"/>
  <c r="H27" i="2"/>
  <c r="G27" i="2"/>
  <c r="I26" i="2"/>
  <c r="H26" i="2"/>
  <c r="G26" i="2"/>
  <c r="K22" i="2"/>
  <c r="I22" i="2"/>
  <c r="H22" i="2"/>
  <c r="G22" i="2"/>
  <c r="AA20" i="4"/>
  <c r="Z20" i="4"/>
  <c r="X20" i="4"/>
  <c r="W20" i="4"/>
  <c r="V20" i="4"/>
  <c r="U20" i="4"/>
  <c r="T20" i="4"/>
  <c r="S20" i="4"/>
  <c r="R20" i="4"/>
  <c r="Q20" i="4"/>
  <c r="P20" i="4"/>
  <c r="O20" i="4"/>
  <c r="N20" i="4"/>
  <c r="M20" i="4"/>
  <c r="L20" i="4"/>
  <c r="U4" i="4"/>
  <c r="R4" i="4"/>
  <c r="Q4" i="4"/>
  <c r="P4" i="4"/>
  <c r="L4" i="4"/>
  <c r="AA20" i="2"/>
  <c r="Z20" i="2"/>
  <c r="X20" i="2"/>
  <c r="W20" i="2"/>
  <c r="V20" i="2"/>
  <c r="U20" i="2"/>
  <c r="S20" i="2"/>
  <c r="R20" i="2"/>
  <c r="Q20" i="2"/>
  <c r="P20" i="2"/>
  <c r="N20" i="2"/>
  <c r="M20" i="2"/>
  <c r="L20" i="2"/>
  <c r="O6" i="4"/>
  <c r="J6" i="4"/>
  <c r="J111" i="13" s="1"/>
  <c r="J3" i="4"/>
  <c r="J26" i="4" s="1"/>
  <c r="J19" i="2"/>
  <c r="J6" i="2"/>
  <c r="J110" i="13" s="1"/>
  <c r="J3" i="2"/>
  <c r="J26" i="2" s="1"/>
  <c r="O14" i="13"/>
  <c r="O6" i="2"/>
  <c r="T20" i="2"/>
  <c r="E13" i="13"/>
  <c r="J19" i="1"/>
  <c r="J27" i="1" s="1"/>
  <c r="J3" i="1"/>
  <c r="O19" i="1"/>
  <c r="O27" i="1" s="1"/>
  <c r="P4" i="2"/>
  <c r="N4" i="2"/>
  <c r="U4" i="13"/>
  <c r="R4" i="13"/>
  <c r="Q4" i="2"/>
  <c r="I27" i="1"/>
  <c r="H27" i="1"/>
  <c r="G27" i="1"/>
  <c r="I26" i="1"/>
  <c r="H26" i="1"/>
  <c r="G26" i="1"/>
  <c r="N27" i="1"/>
  <c r="M27" i="1"/>
  <c r="L27" i="1"/>
  <c r="N26" i="1"/>
  <c r="M26" i="1"/>
  <c r="L26" i="1"/>
  <c r="S27" i="1"/>
  <c r="R27" i="1"/>
  <c r="Q27" i="1"/>
  <c r="S26" i="1"/>
  <c r="R26" i="1"/>
  <c r="Q26" i="1"/>
  <c r="T26" i="1"/>
  <c r="U22" i="1"/>
  <c r="S22" i="1"/>
  <c r="R22" i="1"/>
  <c r="Q22" i="1"/>
  <c r="P22" i="1"/>
  <c r="N22" i="1"/>
  <c r="M22" i="1"/>
  <c r="L22" i="1"/>
  <c r="K22" i="1"/>
  <c r="I22" i="1"/>
  <c r="H22" i="1"/>
  <c r="G22" i="1"/>
  <c r="U4" i="1"/>
  <c r="S4" i="1"/>
  <c r="R4" i="1"/>
  <c r="Q4" i="1"/>
  <c r="P4" i="1"/>
  <c r="N4" i="1"/>
  <c r="M4" i="1"/>
  <c r="L4" i="1"/>
  <c r="U11" i="1"/>
  <c r="S11" i="1"/>
  <c r="R11" i="1"/>
  <c r="Q11" i="1"/>
  <c r="P11" i="1"/>
  <c r="N11" i="1"/>
  <c r="M11" i="1"/>
  <c r="L11" i="1"/>
  <c r="Z20" i="1"/>
  <c r="U20" i="7" s="1"/>
  <c r="X20" i="1"/>
  <c r="W20" i="1"/>
  <c r="V20" i="1"/>
  <c r="U20" i="1"/>
  <c r="S20" i="1"/>
  <c r="R20" i="1"/>
  <c r="Q20" i="1"/>
  <c r="P20" i="1"/>
  <c r="N20" i="1"/>
  <c r="M20" i="1"/>
  <c r="L20" i="1"/>
  <c r="AA20" i="1"/>
  <c r="AA2" i="5"/>
  <c r="U2" i="5"/>
  <c r="T2" i="5"/>
  <c r="S2" i="5"/>
  <c r="R2" i="5"/>
  <c r="Q2" i="5"/>
  <c r="P2" i="5"/>
  <c r="O2" i="5"/>
  <c r="N2" i="5"/>
  <c r="M2" i="5"/>
  <c r="L2" i="5"/>
  <c r="K2" i="5"/>
  <c r="J2" i="5"/>
  <c r="I2" i="5"/>
  <c r="H2" i="5"/>
  <c r="G2" i="5"/>
  <c r="F2" i="5"/>
  <c r="E2" i="5"/>
  <c r="D2" i="5"/>
  <c r="C2" i="5"/>
  <c r="B2" i="5"/>
  <c r="U2" i="4"/>
  <c r="T2" i="4"/>
  <c r="S2" i="4"/>
  <c r="R2" i="4"/>
  <c r="Q2" i="4"/>
  <c r="P2" i="4"/>
  <c r="O2" i="4"/>
  <c r="N2" i="4"/>
  <c r="M2" i="4"/>
  <c r="L2" i="4"/>
  <c r="K2" i="4"/>
  <c r="J2" i="4"/>
  <c r="I2" i="4"/>
  <c r="H2" i="4"/>
  <c r="G2" i="4"/>
  <c r="F2" i="4"/>
  <c r="E2" i="4"/>
  <c r="D2" i="4"/>
  <c r="C2" i="4"/>
  <c r="B2" i="4"/>
  <c r="U2" i="2"/>
  <c r="T2" i="2"/>
  <c r="S2" i="2"/>
  <c r="R2" i="2"/>
  <c r="Q2" i="2"/>
  <c r="P2" i="2"/>
  <c r="O2" i="2"/>
  <c r="N2" i="2"/>
  <c r="M2" i="2"/>
  <c r="L2" i="2"/>
  <c r="K2" i="2"/>
  <c r="J2" i="2"/>
  <c r="I2" i="2"/>
  <c r="H2" i="2"/>
  <c r="G2" i="2"/>
  <c r="F2" i="2"/>
  <c r="E2" i="2"/>
  <c r="D2" i="2"/>
  <c r="C2" i="2"/>
  <c r="B2" i="2"/>
  <c r="U2" i="1"/>
  <c r="T2" i="1"/>
  <c r="S2" i="1"/>
  <c r="R2" i="1"/>
  <c r="Q2" i="1"/>
  <c r="P2" i="1"/>
  <c r="O2" i="1"/>
  <c r="N2" i="1"/>
  <c r="M2" i="1"/>
  <c r="L2" i="1"/>
  <c r="K2" i="1"/>
  <c r="J2" i="1"/>
  <c r="I2" i="1"/>
  <c r="H2" i="1"/>
  <c r="G2" i="1"/>
  <c r="F2" i="1"/>
  <c r="E2" i="1"/>
  <c r="D2" i="1"/>
  <c r="C2" i="1"/>
  <c r="B2" i="1"/>
  <c r="AA135" i="13"/>
  <c r="AA96" i="13"/>
  <c r="F135" i="13"/>
  <c r="D135" i="13"/>
  <c r="C135" i="13"/>
  <c r="B135" i="13"/>
  <c r="E134" i="13"/>
  <c r="E133" i="13"/>
  <c r="F102" i="13"/>
  <c r="D102" i="13"/>
  <c r="C102" i="13"/>
  <c r="B102" i="13"/>
  <c r="E101" i="13"/>
  <c r="E100" i="13"/>
  <c r="F96" i="13"/>
  <c r="Q96" i="15" s="1"/>
  <c r="E96" i="13"/>
  <c r="D96" i="13"/>
  <c r="C96" i="13"/>
  <c r="B96" i="13"/>
  <c r="E38" i="13"/>
  <c r="E37" i="13"/>
  <c r="F24" i="13"/>
  <c r="F31" i="13" s="1"/>
  <c r="D24" i="13"/>
  <c r="D31" i="13" s="1"/>
  <c r="C24" i="13"/>
  <c r="C31" i="13" s="1"/>
  <c r="B24" i="13"/>
  <c r="B31" i="13" s="1"/>
  <c r="E23" i="13"/>
  <c r="E22" i="13"/>
  <c r="K135" i="13"/>
  <c r="I135" i="13"/>
  <c r="H135" i="13"/>
  <c r="G135" i="13"/>
  <c r="J134" i="13"/>
  <c r="J133" i="13"/>
  <c r="K102" i="13"/>
  <c r="I102" i="13"/>
  <c r="H102" i="13"/>
  <c r="G102" i="13"/>
  <c r="J101" i="13"/>
  <c r="J100" i="13"/>
  <c r="K96" i="13"/>
  <c r="R96" i="15" s="1"/>
  <c r="J96" i="13"/>
  <c r="I96" i="13"/>
  <c r="H96" i="13"/>
  <c r="G96" i="13"/>
  <c r="J38" i="13"/>
  <c r="J37" i="13"/>
  <c r="K24" i="13"/>
  <c r="I24" i="13"/>
  <c r="I31" i="13" s="1"/>
  <c r="H24" i="13"/>
  <c r="H31" i="13" s="1"/>
  <c r="G24" i="13"/>
  <c r="G31" i="13" s="1"/>
  <c r="J23" i="13"/>
  <c r="J22" i="13"/>
  <c r="P135" i="13"/>
  <c r="N135" i="13"/>
  <c r="M135" i="13"/>
  <c r="L135" i="13"/>
  <c r="O134" i="13"/>
  <c r="P102" i="13"/>
  <c r="N102" i="13"/>
  <c r="M102" i="13"/>
  <c r="L102" i="13"/>
  <c r="O101" i="13"/>
  <c r="O100" i="13"/>
  <c r="P96" i="13"/>
  <c r="S96" i="15" s="1"/>
  <c r="O96" i="13"/>
  <c r="N96" i="13"/>
  <c r="M96" i="13"/>
  <c r="L96" i="13"/>
  <c r="O38" i="13"/>
  <c r="O37" i="13"/>
  <c r="P24" i="13"/>
  <c r="N24" i="13"/>
  <c r="N31" i="13" s="1"/>
  <c r="M24" i="13"/>
  <c r="M31" i="13" s="1"/>
  <c r="L24" i="13"/>
  <c r="L31" i="13" s="1"/>
  <c r="O23" i="13"/>
  <c r="O22" i="13"/>
  <c r="T134" i="13"/>
  <c r="T101" i="13"/>
  <c r="T100" i="13"/>
  <c r="T96" i="13"/>
  <c r="T38" i="13"/>
  <c r="T37" i="13"/>
  <c r="T23" i="13"/>
  <c r="T22" i="13"/>
  <c r="U135" i="13"/>
  <c r="S135" i="13"/>
  <c r="R135" i="13"/>
  <c r="Q135" i="13"/>
  <c r="U102" i="13"/>
  <c r="S102" i="13"/>
  <c r="R102" i="13"/>
  <c r="Q102" i="13"/>
  <c r="U96" i="13"/>
  <c r="T96" i="15" s="1"/>
  <c r="S96" i="13"/>
  <c r="R96" i="13"/>
  <c r="Q96" i="13"/>
  <c r="U24" i="13"/>
  <c r="R24" i="13"/>
  <c r="R31" i="13" s="1"/>
  <c r="Q24" i="13"/>
  <c r="Q31" i="13" s="1"/>
  <c r="M23" i="1" l="1"/>
  <c r="B46" i="47"/>
  <c r="B59" i="47"/>
  <c r="F59" i="47"/>
  <c r="F46" i="47"/>
  <c r="J46" i="47"/>
  <c r="J59" i="47"/>
  <c r="O59" i="47"/>
  <c r="O46" i="47"/>
  <c r="C59" i="47"/>
  <c r="C46" i="47"/>
  <c r="G46" i="47"/>
  <c r="G59" i="47"/>
  <c r="K46" i="47"/>
  <c r="K59" i="47"/>
  <c r="P59" i="47"/>
  <c r="P46" i="47"/>
  <c r="D59" i="47"/>
  <c r="D46" i="47"/>
  <c r="H46" i="47"/>
  <c r="H59" i="47"/>
  <c r="L59" i="47"/>
  <c r="L46" i="47"/>
  <c r="E46" i="47"/>
  <c r="E59" i="47"/>
  <c r="I59" i="47"/>
  <c r="I46" i="47"/>
  <c r="N46" i="47"/>
  <c r="N59" i="47"/>
  <c r="AA34" i="13"/>
  <c r="U23" i="1"/>
  <c r="J3" i="13"/>
  <c r="J46" i="1"/>
  <c r="O110" i="13"/>
  <c r="O7" i="2"/>
  <c r="T7" i="2"/>
  <c r="Q7" i="15"/>
  <c r="J115" i="13"/>
  <c r="O7" i="4"/>
  <c r="T7" i="4"/>
  <c r="O111" i="13"/>
  <c r="U31" i="13"/>
  <c r="T31" i="13" s="1"/>
  <c r="P31" i="13"/>
  <c r="O31" i="13" s="1"/>
  <c r="K31" i="13"/>
  <c r="J31" i="13" s="1"/>
  <c r="E20" i="15"/>
  <c r="E31" i="13"/>
  <c r="J26" i="1"/>
  <c r="K26" i="1" s="1"/>
  <c r="R136" i="13"/>
  <c r="F10" i="15"/>
  <c r="F184" i="15" s="1"/>
  <c r="F103" i="13"/>
  <c r="Q103" i="15" s="1"/>
  <c r="Q26" i="4"/>
  <c r="P27" i="4"/>
  <c r="U27" i="4"/>
  <c r="J22" i="2"/>
  <c r="R23" i="1"/>
  <c r="T20" i="1"/>
  <c r="J8" i="4"/>
  <c r="J22" i="4"/>
  <c r="J5" i="13"/>
  <c r="J10" i="4"/>
  <c r="J15" i="4"/>
  <c r="K26" i="4"/>
  <c r="L26" i="4"/>
  <c r="U26" i="1"/>
  <c r="J10" i="15"/>
  <c r="J184" i="15" s="1"/>
  <c r="G10" i="15"/>
  <c r="G184" i="15" s="1"/>
  <c r="K10" i="15"/>
  <c r="K184" i="15" s="1"/>
  <c r="I10" i="15"/>
  <c r="I184" i="15" s="1"/>
  <c r="D103" i="15"/>
  <c r="H103" i="15"/>
  <c r="L103" i="15"/>
  <c r="P103" i="15"/>
  <c r="O10" i="15"/>
  <c r="O184" i="15" s="1"/>
  <c r="P10" i="15"/>
  <c r="P184" i="15" s="1"/>
  <c r="M10" i="15"/>
  <c r="M184" i="15" s="1"/>
  <c r="H10" i="15"/>
  <c r="H184" i="15" s="1"/>
  <c r="L10" i="15"/>
  <c r="L184" i="15" s="1"/>
  <c r="N10" i="15"/>
  <c r="N184" i="15" s="1"/>
  <c r="T202" i="31"/>
  <c r="T201" i="31" s="1"/>
  <c r="R103" i="13"/>
  <c r="P103" i="13"/>
  <c r="S103" i="15" s="1"/>
  <c r="H103" i="13"/>
  <c r="E103" i="15"/>
  <c r="I103" i="15"/>
  <c r="M103" i="15"/>
  <c r="F103" i="15"/>
  <c r="J103" i="15"/>
  <c r="N103" i="15"/>
  <c r="C103" i="15"/>
  <c r="G103" i="15"/>
  <c r="K103" i="15"/>
  <c r="O103" i="15"/>
  <c r="J10" i="2"/>
  <c r="J15" i="2"/>
  <c r="K26" i="2"/>
  <c r="J8" i="2"/>
  <c r="J4" i="13"/>
  <c r="R4" i="2"/>
  <c r="S26" i="4"/>
  <c r="S8" i="4"/>
  <c r="S15" i="4"/>
  <c r="S10" i="4"/>
  <c r="N26" i="4"/>
  <c r="N8" i="4"/>
  <c r="N10" i="4"/>
  <c r="N11" i="4" s="1"/>
  <c r="N15" i="4"/>
  <c r="M22" i="4"/>
  <c r="M23" i="4" s="1"/>
  <c r="Q22" i="4"/>
  <c r="AA22" i="4"/>
  <c r="AF23" i="4" s="1"/>
  <c r="U8" i="4"/>
  <c r="T8" i="11" s="1"/>
  <c r="U10" i="4"/>
  <c r="U15" i="4"/>
  <c r="T15" i="11" s="1"/>
  <c r="P8" i="4"/>
  <c r="S8" i="11" s="1"/>
  <c r="P15" i="4"/>
  <c r="S15" i="11" s="1"/>
  <c r="P10" i="4"/>
  <c r="P11" i="4" s="1"/>
  <c r="N22" i="4"/>
  <c r="N23" i="4" s="1"/>
  <c r="R22" i="4"/>
  <c r="U5" i="13"/>
  <c r="N5" i="13"/>
  <c r="Q8" i="4"/>
  <c r="Q10" i="4"/>
  <c r="Q15" i="4"/>
  <c r="L8" i="4"/>
  <c r="L15" i="4"/>
  <c r="L10" i="4"/>
  <c r="L11" i="4" s="1"/>
  <c r="S22" i="4"/>
  <c r="AA8" i="4"/>
  <c r="AA15" i="4"/>
  <c r="AA10" i="4"/>
  <c r="AF11" i="4" s="1"/>
  <c r="AA5" i="13"/>
  <c r="R8" i="4"/>
  <c r="R10" i="4"/>
  <c r="R15" i="4"/>
  <c r="M4" i="4"/>
  <c r="M8" i="4"/>
  <c r="M10" i="4"/>
  <c r="M11" i="4" s="1"/>
  <c r="M15" i="4"/>
  <c r="L22" i="4"/>
  <c r="P22" i="4"/>
  <c r="U23" i="4" s="1"/>
  <c r="S5" i="13"/>
  <c r="L5" i="13"/>
  <c r="P5" i="13"/>
  <c r="AA8" i="2"/>
  <c r="AA10" i="2"/>
  <c r="AF11" i="2" s="1"/>
  <c r="AA15" i="2"/>
  <c r="AA4" i="13"/>
  <c r="S8" i="2"/>
  <c r="S10" i="2"/>
  <c r="S15" i="2"/>
  <c r="N8" i="2"/>
  <c r="N15" i="2"/>
  <c r="N10" i="2"/>
  <c r="L4" i="2"/>
  <c r="M22" i="2"/>
  <c r="M23" i="2" s="1"/>
  <c r="R22" i="2"/>
  <c r="N26" i="2"/>
  <c r="S26" i="2"/>
  <c r="Q4" i="13"/>
  <c r="M4" i="13"/>
  <c r="U8" i="2"/>
  <c r="T8" i="10" s="1"/>
  <c r="U10" i="2"/>
  <c r="U15" i="2"/>
  <c r="T15" i="10" s="1"/>
  <c r="P8" i="2"/>
  <c r="S8" i="10" s="1"/>
  <c r="P15" i="2"/>
  <c r="S15" i="10" s="1"/>
  <c r="P10" i="2"/>
  <c r="P11" i="2" s="1"/>
  <c r="T3" i="2"/>
  <c r="M4" i="2"/>
  <c r="U4" i="2"/>
  <c r="N22" i="2"/>
  <c r="N23" i="2" s="1"/>
  <c r="S22" i="2"/>
  <c r="N4" i="13"/>
  <c r="Q8" i="2"/>
  <c r="Q10" i="2"/>
  <c r="Q15" i="2"/>
  <c r="L8" i="2"/>
  <c r="L15" i="2"/>
  <c r="L10" i="2"/>
  <c r="L11" i="2" s="1"/>
  <c r="O3" i="2"/>
  <c r="O22" i="2" s="1"/>
  <c r="P22" i="2"/>
  <c r="P23" i="2" s="1"/>
  <c r="U22" i="2"/>
  <c r="L26" i="2"/>
  <c r="Q26" i="2"/>
  <c r="S4" i="13"/>
  <c r="R8" i="2"/>
  <c r="R10" i="2"/>
  <c r="R15" i="2"/>
  <c r="M8" i="2"/>
  <c r="M10" i="2"/>
  <c r="M11" i="2" s="1"/>
  <c r="M15" i="2"/>
  <c r="S4" i="2"/>
  <c r="L22" i="2"/>
  <c r="L23" i="2" s="1"/>
  <c r="Q22" i="2"/>
  <c r="M26" i="2"/>
  <c r="R26" i="2"/>
  <c r="L4" i="13"/>
  <c r="P4" i="13"/>
  <c r="N23" i="1"/>
  <c r="O8" i="1"/>
  <c r="O20" i="1"/>
  <c r="T27" i="1"/>
  <c r="U27" i="1" s="1"/>
  <c r="P27" i="1"/>
  <c r="T8" i="1"/>
  <c r="J8" i="1"/>
  <c r="K103" i="13"/>
  <c r="R103" i="15" s="1"/>
  <c r="P23" i="1"/>
  <c r="K27" i="1"/>
  <c r="O13" i="13"/>
  <c r="O20" i="13" s="1"/>
  <c r="AA15" i="1"/>
  <c r="AA10" i="1"/>
  <c r="AF11" i="1" s="1"/>
  <c r="AA3" i="13"/>
  <c r="L23" i="1"/>
  <c r="T4" i="1"/>
  <c r="T10" i="1"/>
  <c r="T15" i="1"/>
  <c r="J13" i="13"/>
  <c r="O4" i="1"/>
  <c r="O10" i="1"/>
  <c r="O15" i="1"/>
  <c r="J10" i="1"/>
  <c r="J15" i="1"/>
  <c r="T3" i="13"/>
  <c r="Q23" i="1"/>
  <c r="S23" i="1"/>
  <c r="T13" i="13"/>
  <c r="O3" i="13"/>
  <c r="S103" i="13"/>
  <c r="L103" i="13"/>
  <c r="E3" i="13"/>
  <c r="E5" i="13"/>
  <c r="AA136" i="13"/>
  <c r="AD24" i="13"/>
  <c r="T71" i="17"/>
  <c r="T70" i="17"/>
  <c r="J70" i="17"/>
  <c r="J71" i="17"/>
  <c r="U103" i="13"/>
  <c r="T103" i="15" s="1"/>
  <c r="M103" i="13"/>
  <c r="Q103" i="13"/>
  <c r="O71" i="17"/>
  <c r="O70" i="17"/>
  <c r="N103" i="13"/>
  <c r="G103" i="13"/>
  <c r="I103" i="13"/>
  <c r="V39" i="15"/>
  <c r="K27" i="4"/>
  <c r="J27" i="2"/>
  <c r="K27" i="2" s="1"/>
  <c r="O27" i="2"/>
  <c r="P27" i="2" s="1"/>
  <c r="T27" i="2"/>
  <c r="U27" i="2" s="1"/>
  <c r="T14" i="13"/>
  <c r="J14" i="13"/>
  <c r="O20" i="2"/>
  <c r="E71" i="17"/>
  <c r="E70" i="17"/>
  <c r="E4" i="13"/>
  <c r="D20" i="13"/>
  <c r="D34" i="13" s="1"/>
  <c r="M20" i="13"/>
  <c r="M34" i="13" s="1"/>
  <c r="G10" i="13"/>
  <c r="K10" i="13"/>
  <c r="B20" i="15"/>
  <c r="F20" i="15"/>
  <c r="J20" i="15"/>
  <c r="N20" i="15"/>
  <c r="D10" i="13"/>
  <c r="D20" i="15"/>
  <c r="H20" i="15"/>
  <c r="L20" i="15"/>
  <c r="I20" i="15"/>
  <c r="M20" i="15"/>
  <c r="R20" i="13"/>
  <c r="R34" i="13" s="1"/>
  <c r="I10" i="13"/>
  <c r="H20" i="13"/>
  <c r="H34" i="13" s="1"/>
  <c r="B10" i="13"/>
  <c r="F10" i="13"/>
  <c r="S20" i="13"/>
  <c r="S34" i="13" s="1"/>
  <c r="L20" i="13"/>
  <c r="L34" i="13" s="1"/>
  <c r="P20" i="13"/>
  <c r="I20" i="13"/>
  <c r="I34" i="13" s="1"/>
  <c r="C10" i="13"/>
  <c r="F20" i="13"/>
  <c r="F34" i="13" s="1"/>
  <c r="B20" i="13"/>
  <c r="B34" i="13" s="1"/>
  <c r="R10" i="13"/>
  <c r="Q20" i="13"/>
  <c r="Q34" i="13" s="1"/>
  <c r="U20" i="13"/>
  <c r="N20" i="13"/>
  <c r="N34" i="13" s="1"/>
  <c r="H10" i="13"/>
  <c r="G20" i="13"/>
  <c r="G34" i="13" s="1"/>
  <c r="K20" i="13"/>
  <c r="C20" i="13"/>
  <c r="C34" i="13" s="1"/>
  <c r="E15" i="13"/>
  <c r="E14" i="13"/>
  <c r="P20" i="15"/>
  <c r="C20" i="15"/>
  <c r="G20" i="15"/>
  <c r="K20" i="15"/>
  <c r="O20" i="15"/>
  <c r="D10" i="15"/>
  <c r="D184" i="15" s="1"/>
  <c r="E10" i="15"/>
  <c r="E184" i="15" s="1"/>
  <c r="B136" i="15"/>
  <c r="B10" i="15"/>
  <c r="P136" i="15"/>
  <c r="O136" i="15"/>
  <c r="C10" i="15"/>
  <c r="C184" i="15" s="1"/>
  <c r="C136" i="15"/>
  <c r="D136" i="15"/>
  <c r="E136" i="15"/>
  <c r="F136" i="15"/>
  <c r="G136" i="15"/>
  <c r="H136" i="15"/>
  <c r="I136" i="15"/>
  <c r="J136" i="15"/>
  <c r="K136" i="15"/>
  <c r="L136" i="15"/>
  <c r="M136" i="15"/>
  <c r="N136" i="15"/>
  <c r="L23" i="4"/>
  <c r="N4" i="4"/>
  <c r="M26" i="4"/>
  <c r="O3" i="4"/>
  <c r="R26" i="4"/>
  <c r="T3" i="4"/>
  <c r="J22" i="1"/>
  <c r="O22" i="1"/>
  <c r="O26" i="1"/>
  <c r="P26" i="1" s="1"/>
  <c r="T22" i="1"/>
  <c r="C136" i="13"/>
  <c r="E102" i="13"/>
  <c r="E135" i="13"/>
  <c r="I136" i="13"/>
  <c r="J135" i="13"/>
  <c r="O102" i="13"/>
  <c r="L136" i="13"/>
  <c r="O135" i="13"/>
  <c r="T102" i="13"/>
  <c r="S136" i="13"/>
  <c r="Q136" i="13"/>
  <c r="O24" i="13"/>
  <c r="K136" i="13"/>
  <c r="F136" i="13"/>
  <c r="P136" i="13"/>
  <c r="G136" i="13"/>
  <c r="J102" i="13"/>
  <c r="B136" i="13"/>
  <c r="U136" i="13"/>
  <c r="T135" i="13"/>
  <c r="E24" i="13"/>
  <c r="T24" i="13"/>
  <c r="D136" i="13"/>
  <c r="H136" i="13"/>
  <c r="J24" i="13"/>
  <c r="M136" i="13"/>
  <c r="N136" i="13"/>
  <c r="AA118" i="13" l="1"/>
  <c r="AA121" i="13" s="1"/>
  <c r="AA123" i="13" s="1"/>
  <c r="F40" i="52"/>
  <c r="G33" i="52"/>
  <c r="F41" i="52"/>
  <c r="E38" i="52"/>
  <c r="E39" i="52"/>
  <c r="G20" i="52"/>
  <c r="F39" i="52"/>
  <c r="G41" i="52"/>
  <c r="G37" i="52" s="1"/>
  <c r="G57" i="52" s="1"/>
  <c r="H33" i="52"/>
  <c r="S23" i="4"/>
  <c r="B11" i="15"/>
  <c r="B5" i="20" s="1"/>
  <c r="B184" i="15"/>
  <c r="G53" i="52"/>
  <c r="G54" i="52" s="1"/>
  <c r="O115" i="13"/>
  <c r="B161" i="48"/>
  <c r="B163" i="48" s="1"/>
  <c r="B95" i="48" s="1"/>
  <c r="B96" i="48" s="1"/>
  <c r="B100" i="48" s="1"/>
  <c r="E161" i="48"/>
  <c r="E163" i="48" s="1"/>
  <c r="E95" i="48" s="1"/>
  <c r="E96" i="48" s="1"/>
  <c r="E100" i="48" s="1"/>
  <c r="C161" i="48"/>
  <c r="C163" i="48" s="1"/>
  <c r="C95" i="48" s="1"/>
  <c r="C96" i="48" s="1"/>
  <c r="C100" i="48" s="1"/>
  <c r="D161" i="48"/>
  <c r="D163" i="48" s="1"/>
  <c r="D95" i="48" s="1"/>
  <c r="D96" i="48" s="1"/>
  <c r="D100" i="48" s="1"/>
  <c r="F161" i="48"/>
  <c r="F163" i="48" s="1"/>
  <c r="R118" i="13"/>
  <c r="R121" i="13" s="1"/>
  <c r="F118" i="13"/>
  <c r="L118" i="13"/>
  <c r="L121" i="13" s="1"/>
  <c r="H118" i="13"/>
  <c r="H121" i="13" s="1"/>
  <c r="D118" i="13"/>
  <c r="D121" i="13" s="1"/>
  <c r="G118" i="13"/>
  <c r="G121" i="13" s="1"/>
  <c r="Q118" i="13"/>
  <c r="Q121" i="13" s="1"/>
  <c r="S118" i="13"/>
  <c r="S121" i="13" s="1"/>
  <c r="I118" i="13"/>
  <c r="I121" i="13" s="1"/>
  <c r="C118" i="13"/>
  <c r="C121" i="13" s="1"/>
  <c r="N118" i="13"/>
  <c r="N121" i="13" s="1"/>
  <c r="B118" i="13"/>
  <c r="B121" i="13" s="1"/>
  <c r="M118" i="13"/>
  <c r="M121" i="13" s="1"/>
  <c r="R23" i="2"/>
  <c r="C77" i="18"/>
  <c r="C79" i="18"/>
  <c r="C76" i="18"/>
  <c r="C78" i="18"/>
  <c r="B77" i="18"/>
  <c r="B78" i="18"/>
  <c r="B79" i="18"/>
  <c r="B76" i="18"/>
  <c r="L4" i="20"/>
  <c r="L77" i="18"/>
  <c r="L76" i="18"/>
  <c r="L78" i="18"/>
  <c r="L79" i="18"/>
  <c r="O77" i="18"/>
  <c r="O79" i="18"/>
  <c r="O76" i="18"/>
  <c r="O78" i="18"/>
  <c r="F69" i="18"/>
  <c r="F77" i="18"/>
  <c r="F79" i="18"/>
  <c r="F76" i="18"/>
  <c r="F78" i="18"/>
  <c r="M4" i="20"/>
  <c r="M77" i="18"/>
  <c r="M78" i="18"/>
  <c r="M79" i="18"/>
  <c r="M76" i="18"/>
  <c r="K68" i="18"/>
  <c r="K77" i="18"/>
  <c r="K79" i="18"/>
  <c r="K76" i="18"/>
  <c r="K78" i="18"/>
  <c r="H4" i="20"/>
  <c r="H77" i="18"/>
  <c r="H76" i="18"/>
  <c r="H78" i="18"/>
  <c r="H79" i="18"/>
  <c r="I4" i="20"/>
  <c r="I77" i="18"/>
  <c r="I78" i="18"/>
  <c r="I79" i="18"/>
  <c r="I76" i="18"/>
  <c r="E77" i="18"/>
  <c r="E78" i="18"/>
  <c r="E79" i="18"/>
  <c r="E76" i="18"/>
  <c r="D77" i="18"/>
  <c r="D76" i="18"/>
  <c r="D78" i="18"/>
  <c r="D79" i="18"/>
  <c r="N77" i="18"/>
  <c r="N79" i="18"/>
  <c r="N76" i="18"/>
  <c r="N78" i="18"/>
  <c r="P77" i="18"/>
  <c r="P78" i="18"/>
  <c r="P79" i="18"/>
  <c r="P76" i="18"/>
  <c r="G68" i="18"/>
  <c r="G77" i="18"/>
  <c r="G79" i="18"/>
  <c r="G76" i="18"/>
  <c r="G78" i="18"/>
  <c r="J68" i="18"/>
  <c r="J77" i="18"/>
  <c r="J79" i="18"/>
  <c r="J78" i="18"/>
  <c r="J76" i="18"/>
  <c r="B79" i="17"/>
  <c r="B78" i="17"/>
  <c r="B77" i="17"/>
  <c r="B76" i="17"/>
  <c r="D77" i="17"/>
  <c r="D76" i="17"/>
  <c r="D79" i="17"/>
  <c r="D78" i="17"/>
  <c r="C78" i="17"/>
  <c r="C77" i="17"/>
  <c r="C76" i="17"/>
  <c r="C79" i="17"/>
  <c r="I77" i="17"/>
  <c r="I76" i="17"/>
  <c r="I79" i="17"/>
  <c r="I78" i="17"/>
  <c r="K79" i="17"/>
  <c r="K78" i="17"/>
  <c r="K77" i="17"/>
  <c r="R77" i="18" s="1"/>
  <c r="K76" i="17"/>
  <c r="H78" i="17"/>
  <c r="H77" i="17"/>
  <c r="H76" i="17"/>
  <c r="H79" i="17"/>
  <c r="R78" i="17"/>
  <c r="R76" i="17"/>
  <c r="R79" i="17"/>
  <c r="R77" i="17"/>
  <c r="F79" i="17"/>
  <c r="F78" i="17"/>
  <c r="F77" i="17"/>
  <c r="Q77" i="18" s="1"/>
  <c r="F76" i="17"/>
  <c r="G79" i="17"/>
  <c r="G78" i="17"/>
  <c r="G77" i="17"/>
  <c r="G76" i="17"/>
  <c r="K34" i="13"/>
  <c r="U34" i="13"/>
  <c r="U118" i="13" s="1"/>
  <c r="P34" i="13"/>
  <c r="O34" i="13"/>
  <c r="S10" i="13"/>
  <c r="S11" i="2"/>
  <c r="F4" i="20"/>
  <c r="F68" i="18"/>
  <c r="O23" i="2"/>
  <c r="N11" i="2"/>
  <c r="Q11" i="4"/>
  <c r="J69" i="18"/>
  <c r="U11" i="4"/>
  <c r="T136" i="13"/>
  <c r="J4" i="20"/>
  <c r="T11" i="1"/>
  <c r="U11" i="2"/>
  <c r="T20" i="13"/>
  <c r="T34" i="13" s="1"/>
  <c r="Q10" i="13"/>
  <c r="S23" i="2"/>
  <c r="U10" i="13"/>
  <c r="P10" i="13"/>
  <c r="J10" i="13"/>
  <c r="R23" i="4"/>
  <c r="B68" i="17"/>
  <c r="B69" i="17"/>
  <c r="K69" i="17"/>
  <c r="R69" i="18" s="1"/>
  <c r="K68" i="17"/>
  <c r="D69" i="17"/>
  <c r="D68" i="17"/>
  <c r="G69" i="17"/>
  <c r="G68" i="17"/>
  <c r="C69" i="17"/>
  <c r="C68" i="17"/>
  <c r="I68" i="17"/>
  <c r="I69" i="17"/>
  <c r="H69" i="17"/>
  <c r="H68" i="17"/>
  <c r="R69" i="17"/>
  <c r="R68" i="17"/>
  <c r="F68" i="17"/>
  <c r="F69" i="17"/>
  <c r="Q69" i="18" s="1"/>
  <c r="T201" i="32"/>
  <c r="G69" i="18"/>
  <c r="G4" i="20"/>
  <c r="K4" i="20"/>
  <c r="K69" i="18"/>
  <c r="M68" i="18"/>
  <c r="M69" i="18"/>
  <c r="E4" i="20"/>
  <c r="E68" i="18"/>
  <c r="E69" i="18"/>
  <c r="N4" i="20"/>
  <c r="N69" i="18"/>
  <c r="N68" i="18"/>
  <c r="P68" i="18"/>
  <c r="P69" i="18"/>
  <c r="D4" i="20"/>
  <c r="D68" i="18"/>
  <c r="D69" i="18"/>
  <c r="L68" i="18"/>
  <c r="L69" i="18"/>
  <c r="O4" i="20"/>
  <c r="O69" i="18"/>
  <c r="O68" i="18"/>
  <c r="C4" i="20"/>
  <c r="C69" i="18"/>
  <c r="C68" i="18"/>
  <c r="B69" i="18"/>
  <c r="B68" i="18"/>
  <c r="H68" i="18"/>
  <c r="H69" i="18"/>
  <c r="I68" i="18"/>
  <c r="I69" i="18"/>
  <c r="B4" i="20"/>
  <c r="N10" i="13"/>
  <c r="L10" i="13"/>
  <c r="M10" i="13"/>
  <c r="U23" i="2"/>
  <c r="T22" i="2"/>
  <c r="T23" i="2" s="1"/>
  <c r="Q23" i="2"/>
  <c r="Q11" i="2"/>
  <c r="T8" i="4"/>
  <c r="T15" i="4"/>
  <c r="T10" i="4"/>
  <c r="T22" i="4"/>
  <c r="T5" i="13"/>
  <c r="O8" i="4"/>
  <c r="O15" i="4"/>
  <c r="O10" i="4"/>
  <c r="O11" i="4" s="1"/>
  <c r="O5" i="13"/>
  <c r="O22" i="4"/>
  <c r="O23" i="4" s="1"/>
  <c r="R11" i="4"/>
  <c r="Q23" i="4"/>
  <c r="AA10" i="13"/>
  <c r="P23" i="4"/>
  <c r="S11" i="4"/>
  <c r="O8" i="2"/>
  <c r="O15" i="2"/>
  <c r="O10" i="2"/>
  <c r="O11" i="2" s="1"/>
  <c r="O4" i="2"/>
  <c r="O4" i="13"/>
  <c r="O26" i="2"/>
  <c r="P26" i="2" s="1"/>
  <c r="T8" i="2"/>
  <c r="T15" i="2"/>
  <c r="T10" i="2"/>
  <c r="T4" i="13"/>
  <c r="T26" i="2"/>
  <c r="U26" i="2" s="1"/>
  <c r="T4" i="2"/>
  <c r="R11" i="2"/>
  <c r="H174" i="13"/>
  <c r="S97" i="13"/>
  <c r="D174" i="13"/>
  <c r="J20" i="13"/>
  <c r="J34" i="13" s="1"/>
  <c r="O11" i="1"/>
  <c r="O23" i="1"/>
  <c r="B105" i="13"/>
  <c r="B106" i="13" s="1"/>
  <c r="J103" i="13"/>
  <c r="T103" i="13"/>
  <c r="AD31" i="13"/>
  <c r="O103" i="13"/>
  <c r="I74" i="16"/>
  <c r="B74" i="16"/>
  <c r="F74" i="16"/>
  <c r="N74" i="16"/>
  <c r="O74" i="16"/>
  <c r="K74" i="16"/>
  <c r="H74" i="16"/>
  <c r="D74" i="16"/>
  <c r="L74" i="16"/>
  <c r="M74" i="16"/>
  <c r="G74" i="16"/>
  <c r="J74" i="16"/>
  <c r="C74" i="16"/>
  <c r="E74" i="16"/>
  <c r="P4" i="20"/>
  <c r="P74" i="16"/>
  <c r="G74" i="14"/>
  <c r="R105" i="13"/>
  <c r="R106" i="13" s="1"/>
  <c r="E10" i="13"/>
  <c r="E136" i="13"/>
  <c r="G105" i="13"/>
  <c r="G106" i="13" s="1"/>
  <c r="G75" i="17"/>
  <c r="K105" i="13"/>
  <c r="K106" i="13" s="1"/>
  <c r="K75" i="17"/>
  <c r="K74" i="14"/>
  <c r="K74" i="17"/>
  <c r="G74" i="17"/>
  <c r="C105" i="13"/>
  <c r="C106" i="13" s="1"/>
  <c r="C74" i="14"/>
  <c r="C75" i="17"/>
  <c r="C74" i="17"/>
  <c r="B74" i="14"/>
  <c r="B74" i="17"/>
  <c r="B75" i="17"/>
  <c r="H105" i="13"/>
  <c r="H106" i="13" s="1"/>
  <c r="H74" i="14"/>
  <c r="H75" i="17"/>
  <c r="H74" i="17"/>
  <c r="R74" i="14"/>
  <c r="R75" i="17"/>
  <c r="R74" i="17"/>
  <c r="I74" i="14"/>
  <c r="I74" i="17"/>
  <c r="I75" i="17"/>
  <c r="D74" i="14"/>
  <c r="D75" i="17"/>
  <c r="D74" i="17"/>
  <c r="D105" i="13"/>
  <c r="D106" i="13" s="1"/>
  <c r="F105" i="13"/>
  <c r="F106" i="13" s="1"/>
  <c r="F74" i="14"/>
  <c r="F74" i="17"/>
  <c r="F75" i="17"/>
  <c r="G74" i="18"/>
  <c r="G75" i="18"/>
  <c r="K74" i="18"/>
  <c r="K75" i="18"/>
  <c r="H74" i="18"/>
  <c r="H75" i="18"/>
  <c r="E75" i="18"/>
  <c r="E74" i="18"/>
  <c r="M75" i="18"/>
  <c r="M74" i="18"/>
  <c r="C74" i="18"/>
  <c r="C75" i="18"/>
  <c r="I75" i="18"/>
  <c r="I74" i="18"/>
  <c r="F75" i="18"/>
  <c r="F74" i="18"/>
  <c r="D74" i="18"/>
  <c r="D75" i="18"/>
  <c r="J75" i="18"/>
  <c r="J74" i="18"/>
  <c r="N75" i="18"/>
  <c r="N74" i="18"/>
  <c r="O74" i="18"/>
  <c r="O75" i="18"/>
  <c r="L74" i="18"/>
  <c r="L75" i="18"/>
  <c r="P74" i="18"/>
  <c r="P75" i="18"/>
  <c r="B75" i="18"/>
  <c r="B74" i="18"/>
  <c r="B105" i="15"/>
  <c r="B106" i="15" s="1"/>
  <c r="J105" i="15"/>
  <c r="J106" i="15" s="1"/>
  <c r="H105" i="15"/>
  <c r="H106" i="15" s="1"/>
  <c r="F105" i="15"/>
  <c r="F106" i="15" s="1"/>
  <c r="D105" i="15"/>
  <c r="D106" i="15" s="1"/>
  <c r="O105" i="15"/>
  <c r="O106" i="15" s="1"/>
  <c r="L105" i="15"/>
  <c r="L106" i="15" s="1"/>
  <c r="K105" i="15"/>
  <c r="K106" i="15" s="1"/>
  <c r="N105" i="15"/>
  <c r="N106" i="15" s="1"/>
  <c r="J136" i="13"/>
  <c r="E20" i="13"/>
  <c r="E34" i="13" s="1"/>
  <c r="F11" i="13"/>
  <c r="H11" i="13"/>
  <c r="G11" i="13"/>
  <c r="K11" i="13"/>
  <c r="I105" i="13"/>
  <c r="I11" i="13"/>
  <c r="P105" i="15"/>
  <c r="P106" i="15" s="1"/>
  <c r="P11" i="15"/>
  <c r="P5" i="20" s="1"/>
  <c r="F11" i="15"/>
  <c r="F5" i="20" s="1"/>
  <c r="E11" i="15"/>
  <c r="E5" i="20" s="1"/>
  <c r="E105" i="15"/>
  <c r="E106" i="15" s="1"/>
  <c r="C11" i="15"/>
  <c r="C5" i="20" s="1"/>
  <c r="C105" i="15"/>
  <c r="C106" i="15" s="1"/>
  <c r="K11" i="15"/>
  <c r="K5" i="20" s="1"/>
  <c r="O11" i="15"/>
  <c r="O5" i="20" s="1"/>
  <c r="M11" i="15"/>
  <c r="M5" i="20" s="1"/>
  <c r="M105" i="15"/>
  <c r="M106" i="15" s="1"/>
  <c r="D11" i="15"/>
  <c r="D5" i="20" s="1"/>
  <c r="I11" i="15"/>
  <c r="I5" i="20" s="1"/>
  <c r="I105" i="15"/>
  <c r="I106" i="15" s="1"/>
  <c r="G11" i="15"/>
  <c r="G5" i="20" s="1"/>
  <c r="G105" i="15"/>
  <c r="G106" i="15" s="1"/>
  <c r="H11" i="15"/>
  <c r="H5" i="20" s="1"/>
  <c r="J11" i="15"/>
  <c r="J5" i="20" s="1"/>
  <c r="L11" i="15"/>
  <c r="L5" i="20" s="1"/>
  <c r="N11" i="15"/>
  <c r="N5" i="20" s="1"/>
  <c r="O4" i="4"/>
  <c r="O26" i="4"/>
  <c r="P26" i="4" s="1"/>
  <c r="T4" i="4"/>
  <c r="T26" i="4"/>
  <c r="U26" i="4" s="1"/>
  <c r="T23" i="1"/>
  <c r="O136" i="13"/>
  <c r="S40" i="13"/>
  <c r="S46" i="13" s="1"/>
  <c r="S56" i="13" s="1"/>
  <c r="S60" i="13" s="1"/>
  <c r="Q40" i="13"/>
  <c r="Q46" i="13" s="1"/>
  <c r="Q56" i="13" s="1"/>
  <c r="Q60" i="13" s="1"/>
  <c r="Q97" i="13"/>
  <c r="H97" i="13"/>
  <c r="H98" i="13" s="1"/>
  <c r="H40" i="13"/>
  <c r="H46" i="13" s="1"/>
  <c r="H56" i="13" s="1"/>
  <c r="H60" i="13" s="1"/>
  <c r="H35" i="13"/>
  <c r="M40" i="13"/>
  <c r="M46" i="13" s="1"/>
  <c r="M56" i="13" s="1"/>
  <c r="M60" i="13" s="1"/>
  <c r="M97" i="13"/>
  <c r="AA74" i="14" l="1"/>
  <c r="E37" i="52"/>
  <c r="E57" i="52" s="1"/>
  <c r="E58" i="52" s="1"/>
  <c r="H58" i="52"/>
  <c r="F37" i="52"/>
  <c r="F57" i="52" s="1"/>
  <c r="M4" i="14"/>
  <c r="M50" i="13"/>
  <c r="M63" i="13" s="1"/>
  <c r="M69" i="13" s="1"/>
  <c r="Q50" i="13"/>
  <c r="Q4" i="14"/>
  <c r="H4" i="14"/>
  <c r="H50" i="13"/>
  <c r="H70" i="13" s="1"/>
  <c r="S4" i="14"/>
  <c r="S50" i="13"/>
  <c r="S70" i="13" s="1"/>
  <c r="F10" i="48"/>
  <c r="F11" i="48" s="1"/>
  <c r="F15" i="48" s="1"/>
  <c r="F95" i="48"/>
  <c r="F96" i="48" s="1"/>
  <c r="F100" i="48" s="1"/>
  <c r="D46" i="48"/>
  <c r="D47" i="48" s="1"/>
  <c r="D51" i="48" s="1"/>
  <c r="D10" i="48"/>
  <c r="D11" i="48" s="1"/>
  <c r="D15" i="48" s="1"/>
  <c r="C46" i="48"/>
  <c r="C10" i="48"/>
  <c r="E46" i="48"/>
  <c r="E47" i="48" s="1"/>
  <c r="E51" i="48" s="1"/>
  <c r="E10" i="48"/>
  <c r="E11" i="48" s="1"/>
  <c r="E15" i="48" s="1"/>
  <c r="B46" i="48"/>
  <c r="B47" i="48" s="1"/>
  <c r="B51" i="48" s="1"/>
  <c r="B10" i="48"/>
  <c r="B11" i="48" s="1"/>
  <c r="AF163" i="48"/>
  <c r="D109" i="48"/>
  <c r="D81" i="48"/>
  <c r="D82" i="48" s="1"/>
  <c r="D86" i="48" s="1"/>
  <c r="E109" i="48"/>
  <c r="E110" i="48" s="1"/>
  <c r="E114" i="48" s="1"/>
  <c r="E81" i="48"/>
  <c r="E82" i="48" s="1"/>
  <c r="E86" i="48" s="1"/>
  <c r="AJ163" i="48"/>
  <c r="C47" i="48"/>
  <c r="C51" i="48" s="1"/>
  <c r="AB163" i="48"/>
  <c r="C109" i="48"/>
  <c r="C110" i="48" s="1"/>
  <c r="C81" i="48"/>
  <c r="C82" i="48" s="1"/>
  <c r="C86" i="48" s="1"/>
  <c r="F109" i="48"/>
  <c r="F110" i="48" s="1"/>
  <c r="F114" i="48" s="1"/>
  <c r="F81" i="48"/>
  <c r="F82" i="48" s="1"/>
  <c r="F86" i="48" s="1"/>
  <c r="AN163" i="48"/>
  <c r="F46" i="48"/>
  <c r="F47" i="48" s="1"/>
  <c r="F51" i="48" s="1"/>
  <c r="B109" i="48"/>
  <c r="B110" i="48" s="1"/>
  <c r="B114" i="48" s="1"/>
  <c r="B81" i="48"/>
  <c r="B82" i="48" s="1"/>
  <c r="B86" i="48" s="1"/>
  <c r="X163" i="48"/>
  <c r="Q44" i="13"/>
  <c r="M44" i="13"/>
  <c r="B123" i="13"/>
  <c r="S123" i="13"/>
  <c r="H123" i="13"/>
  <c r="N123" i="13"/>
  <c r="Q123" i="13"/>
  <c r="L123" i="13"/>
  <c r="C123" i="13"/>
  <c r="G123" i="13"/>
  <c r="M123" i="13"/>
  <c r="I123" i="13"/>
  <c r="D123" i="13"/>
  <c r="R123" i="13"/>
  <c r="U121" i="13"/>
  <c r="T121" i="15" s="1"/>
  <c r="T118" i="15"/>
  <c r="T123" i="15" s="1"/>
  <c r="F121" i="13"/>
  <c r="Q121" i="15" s="1"/>
  <c r="Q118" i="15"/>
  <c r="Q123" i="15" s="1"/>
  <c r="J118" i="13"/>
  <c r="J121" i="13" s="1"/>
  <c r="P118" i="13"/>
  <c r="K118" i="13"/>
  <c r="E118" i="13"/>
  <c r="E121" i="13" s="1"/>
  <c r="T118" i="13"/>
  <c r="T121" i="13" s="1"/>
  <c r="O118" i="13"/>
  <c r="O121" i="13" s="1"/>
  <c r="U40" i="13"/>
  <c r="U46" i="13" s="1"/>
  <c r="U56" i="13" s="1"/>
  <c r="U60" i="13" s="1"/>
  <c r="U97" i="13"/>
  <c r="U98" i="13" s="1"/>
  <c r="AA79" i="17"/>
  <c r="AA78" i="17"/>
  <c r="AA77" i="17"/>
  <c r="AA76" i="17"/>
  <c r="AA69" i="17"/>
  <c r="L79" i="17"/>
  <c r="L78" i="17"/>
  <c r="L77" i="17"/>
  <c r="L76" i="17"/>
  <c r="U68" i="17"/>
  <c r="U79" i="17"/>
  <c r="U77" i="17"/>
  <c r="T77" i="18" s="1"/>
  <c r="U76" i="17"/>
  <c r="U78" i="17"/>
  <c r="N77" i="17"/>
  <c r="N76" i="17"/>
  <c r="N79" i="17"/>
  <c r="N78" i="17"/>
  <c r="J69" i="17"/>
  <c r="J76" i="17"/>
  <c r="J79" i="17"/>
  <c r="J78" i="17"/>
  <c r="J77" i="17"/>
  <c r="E76" i="17"/>
  <c r="E79" i="17"/>
  <c r="E78" i="17"/>
  <c r="E77" i="17"/>
  <c r="M78" i="17"/>
  <c r="M77" i="17"/>
  <c r="M76" i="17"/>
  <c r="M79" i="17"/>
  <c r="P68" i="17"/>
  <c r="P79" i="17"/>
  <c r="P78" i="17"/>
  <c r="P77" i="17"/>
  <c r="S77" i="18" s="1"/>
  <c r="P76" i="17"/>
  <c r="Q174" i="13"/>
  <c r="Q79" i="17"/>
  <c r="Q78" i="17"/>
  <c r="Q76" i="17"/>
  <c r="Q77" i="17"/>
  <c r="S68" i="17"/>
  <c r="S79" i="17"/>
  <c r="S78" i="17"/>
  <c r="S77" i="17"/>
  <c r="S76" i="17"/>
  <c r="S74" i="14"/>
  <c r="Q74" i="14"/>
  <c r="S174" i="13"/>
  <c r="S35" i="13"/>
  <c r="S75" i="17"/>
  <c r="S69" i="17"/>
  <c r="S98" i="13"/>
  <c r="Q35" i="13"/>
  <c r="Q105" i="13"/>
  <c r="Q106" i="13" s="1"/>
  <c r="S105" i="13"/>
  <c r="S106" i="13" s="1"/>
  <c r="S74" i="17"/>
  <c r="Q75" i="17"/>
  <c r="U105" i="13"/>
  <c r="U106" i="13" s="1"/>
  <c r="U75" i="17"/>
  <c r="U35" i="13"/>
  <c r="U74" i="17"/>
  <c r="L105" i="13"/>
  <c r="L106" i="13" s="1"/>
  <c r="Q74" i="17"/>
  <c r="Q69" i="17"/>
  <c r="T23" i="4"/>
  <c r="T11" i="2"/>
  <c r="U74" i="14"/>
  <c r="AA105" i="13"/>
  <c r="L75" i="17"/>
  <c r="J75" i="17"/>
  <c r="M35" i="13"/>
  <c r="M105" i="13"/>
  <c r="M106" i="13" s="1"/>
  <c r="J74" i="17"/>
  <c r="L74" i="17"/>
  <c r="P74" i="14"/>
  <c r="Q11" i="13"/>
  <c r="Q68" i="17"/>
  <c r="U11" i="13"/>
  <c r="P74" i="17"/>
  <c r="P105" i="13"/>
  <c r="P106" i="13" s="1"/>
  <c r="M74" i="14"/>
  <c r="M174" i="13"/>
  <c r="R11" i="13"/>
  <c r="J74" i="14"/>
  <c r="M98" i="13"/>
  <c r="L11" i="13"/>
  <c r="M11" i="13"/>
  <c r="P11" i="13"/>
  <c r="P75" i="17"/>
  <c r="P69" i="17"/>
  <c r="S69" i="18" s="1"/>
  <c r="U174" i="13"/>
  <c r="J68" i="17"/>
  <c r="N75" i="17"/>
  <c r="N11" i="13"/>
  <c r="N105" i="13"/>
  <c r="N106" i="13" s="1"/>
  <c r="U69" i="17"/>
  <c r="T69" i="18" s="1"/>
  <c r="T11" i="4"/>
  <c r="AA75" i="17"/>
  <c r="AA68" i="17"/>
  <c r="M74" i="17"/>
  <c r="N69" i="17"/>
  <c r="N68" i="17"/>
  <c r="M69" i="17"/>
  <c r="M68" i="17"/>
  <c r="M75" i="17"/>
  <c r="E75" i="17"/>
  <c r="E69" i="17"/>
  <c r="E68" i="17"/>
  <c r="L74" i="14"/>
  <c r="L68" i="17"/>
  <c r="L69" i="17"/>
  <c r="N74" i="14"/>
  <c r="S11" i="13"/>
  <c r="N74" i="17"/>
  <c r="AA74" i="17"/>
  <c r="T10" i="13"/>
  <c r="O10" i="13"/>
  <c r="N40" i="13"/>
  <c r="N46" i="13" s="1"/>
  <c r="N56" i="13" s="1"/>
  <c r="N60" i="13" s="1"/>
  <c r="N174" i="13"/>
  <c r="G40" i="13"/>
  <c r="G46" i="13" s="1"/>
  <c r="G56" i="13" s="1"/>
  <c r="G60" i="13" s="1"/>
  <c r="G174" i="13"/>
  <c r="K97" i="13"/>
  <c r="K98" i="13" s="1"/>
  <c r="K174" i="13"/>
  <c r="L97" i="13"/>
  <c r="L98" i="13" s="1"/>
  <c r="L174" i="13"/>
  <c r="AA35" i="13"/>
  <c r="AA174" i="13"/>
  <c r="R40" i="13"/>
  <c r="R46" i="13" s="1"/>
  <c r="R56" i="13" s="1"/>
  <c r="R60" i="13" s="1"/>
  <c r="R174" i="13"/>
  <c r="C35" i="13"/>
  <c r="C174" i="13"/>
  <c r="B40" i="13"/>
  <c r="B46" i="13" s="1"/>
  <c r="B56" i="13" s="1"/>
  <c r="B60" i="13" s="1"/>
  <c r="B174" i="13"/>
  <c r="F40" i="13"/>
  <c r="F46" i="13" s="1"/>
  <c r="F56" i="13" s="1"/>
  <c r="F60" i="13" s="1"/>
  <c r="F174" i="13"/>
  <c r="I35" i="13"/>
  <c r="I174" i="13"/>
  <c r="P35" i="13"/>
  <c r="P174" i="13"/>
  <c r="J174" i="13"/>
  <c r="J11" i="13"/>
  <c r="E74" i="14"/>
  <c r="AA40" i="13"/>
  <c r="AA97" i="13"/>
  <c r="E74" i="17"/>
  <c r="B35" i="13"/>
  <c r="C97" i="13"/>
  <c r="C98" i="13" s="1"/>
  <c r="C40" i="13"/>
  <c r="C46" i="13" s="1"/>
  <c r="C56" i="13" s="1"/>
  <c r="C60" i="13" s="1"/>
  <c r="G35" i="13"/>
  <c r="F35" i="13"/>
  <c r="F97" i="13"/>
  <c r="F98" i="13" s="1"/>
  <c r="G97" i="13"/>
  <c r="G98" i="13" s="1"/>
  <c r="E105" i="13"/>
  <c r="E106" i="13" s="1"/>
  <c r="B97" i="13"/>
  <c r="B98" i="13" s="1"/>
  <c r="N97" i="13"/>
  <c r="N98" i="13" s="1"/>
  <c r="K35" i="13"/>
  <c r="I40" i="13"/>
  <c r="I46" i="13" s="1"/>
  <c r="I56" i="13" s="1"/>
  <c r="I60" i="13" s="1"/>
  <c r="N35" i="13"/>
  <c r="P97" i="13"/>
  <c r="P98" i="13" s="1"/>
  <c r="I97" i="13"/>
  <c r="E174" i="13"/>
  <c r="K40" i="13"/>
  <c r="K46" i="13" s="1"/>
  <c r="K56" i="13" s="1"/>
  <c r="K60" i="13" s="1"/>
  <c r="L40" i="13"/>
  <c r="L46" i="13" s="1"/>
  <c r="L56" i="13" s="1"/>
  <c r="L60" i="13" s="1"/>
  <c r="P40" i="13"/>
  <c r="P46" i="13" s="1"/>
  <c r="P56" i="13" s="1"/>
  <c r="P60" i="13" s="1"/>
  <c r="L35" i="13"/>
  <c r="R97" i="13"/>
  <c r="R98" i="13" s="1"/>
  <c r="R35" i="13"/>
  <c r="M41" i="13"/>
  <c r="I106" i="13"/>
  <c r="J105" i="13"/>
  <c r="J106" i="13" s="1"/>
  <c r="Q98" i="13"/>
  <c r="D97" i="13"/>
  <c r="D40" i="13"/>
  <c r="D46" i="13" s="1"/>
  <c r="D56" i="13" s="1"/>
  <c r="D60" i="13" s="1"/>
  <c r="D35" i="13"/>
  <c r="F58" i="52" l="1"/>
  <c r="AA46" i="13"/>
  <c r="AA56" i="13" s="1"/>
  <c r="AA60" i="13" s="1"/>
  <c r="AA98" i="13"/>
  <c r="G58" i="52"/>
  <c r="B122" i="48"/>
  <c r="H63" i="13"/>
  <c r="H69" i="13" s="1"/>
  <c r="K4" i="14"/>
  <c r="K50" i="13"/>
  <c r="F4" i="14"/>
  <c r="F50" i="13"/>
  <c r="N50" i="13"/>
  <c r="N73" i="13" s="1"/>
  <c r="N4" i="14"/>
  <c r="I50" i="13"/>
  <c r="I70" i="13" s="1"/>
  <c r="I4" i="14"/>
  <c r="C50" i="13"/>
  <c r="C63" i="13" s="1"/>
  <c r="C69" i="13" s="1"/>
  <c r="C4" i="14"/>
  <c r="B4" i="14"/>
  <c r="B50" i="13"/>
  <c r="U50" i="13"/>
  <c r="U4" i="14"/>
  <c r="S63" i="13"/>
  <c r="S69" i="13" s="1"/>
  <c r="D4" i="14"/>
  <c r="D50" i="13"/>
  <c r="P4" i="14"/>
  <c r="P50" i="13"/>
  <c r="R50" i="13"/>
  <c r="R4" i="14"/>
  <c r="G50" i="13"/>
  <c r="G4" i="14"/>
  <c r="L50" i="13"/>
  <c r="L4" i="14"/>
  <c r="F122" i="48"/>
  <c r="F118" i="48" s="1"/>
  <c r="B44" i="13"/>
  <c r="R44" i="13"/>
  <c r="G44" i="13"/>
  <c r="U44" i="13"/>
  <c r="K44" i="13"/>
  <c r="E122" i="48"/>
  <c r="E118" i="48" s="1"/>
  <c r="C11" i="48"/>
  <c r="C15" i="48" s="1"/>
  <c r="B15" i="48"/>
  <c r="X109" i="48"/>
  <c r="X81" i="48"/>
  <c r="Y163" i="48"/>
  <c r="Z163" i="48" s="1"/>
  <c r="AA163" i="48" s="1"/>
  <c r="X95" i="48"/>
  <c r="X46" i="48"/>
  <c r="AB95" i="48"/>
  <c r="AB46" i="48"/>
  <c r="AC163" i="48"/>
  <c r="AD163" i="48" s="1"/>
  <c r="AE163" i="48" s="1"/>
  <c r="AB109" i="48"/>
  <c r="AB81" i="48"/>
  <c r="AJ109" i="48"/>
  <c r="AJ81" i="48"/>
  <c r="AK163" i="48"/>
  <c r="AL163" i="48" s="1"/>
  <c r="AM163" i="48" s="1"/>
  <c r="AJ95" i="48"/>
  <c r="AJ46" i="48"/>
  <c r="AF95" i="48"/>
  <c r="AF46" i="48"/>
  <c r="AG163" i="48"/>
  <c r="AH163" i="48" s="1"/>
  <c r="AI163" i="48" s="1"/>
  <c r="AF109" i="48"/>
  <c r="AF81" i="48"/>
  <c r="AN109" i="48"/>
  <c r="AN81" i="48"/>
  <c r="AO163" i="48"/>
  <c r="AP163" i="48" s="1"/>
  <c r="AQ163" i="48" s="1"/>
  <c r="AN95" i="48"/>
  <c r="AN46" i="48"/>
  <c r="D110" i="48"/>
  <c r="D114" i="48" s="1"/>
  <c r="D122" i="48" s="1"/>
  <c r="D118" i="48" s="1"/>
  <c r="C114" i="48"/>
  <c r="C122" i="48" s="1"/>
  <c r="C118" i="48" s="1"/>
  <c r="Q70" i="13"/>
  <c r="Q63" i="13"/>
  <c r="Q69" i="13" s="1"/>
  <c r="M70" i="13"/>
  <c r="C44" i="13"/>
  <c r="L44" i="13"/>
  <c r="P44" i="13"/>
  <c r="F44" i="13"/>
  <c r="Q44" i="15" s="1"/>
  <c r="N44" i="13"/>
  <c r="D44" i="13"/>
  <c r="E123" i="13"/>
  <c r="F123" i="13"/>
  <c r="O123" i="13"/>
  <c r="T123" i="13"/>
  <c r="J123" i="13"/>
  <c r="U123" i="13"/>
  <c r="K121" i="13"/>
  <c r="R121" i="15" s="1"/>
  <c r="R118" i="15"/>
  <c r="R123" i="15" s="1"/>
  <c r="P121" i="13"/>
  <c r="S121" i="15" s="1"/>
  <c r="S118" i="15"/>
  <c r="S123" i="15" s="1"/>
  <c r="O76" i="17"/>
  <c r="O79" i="17"/>
  <c r="O78" i="17"/>
  <c r="O77" i="17"/>
  <c r="T79" i="17"/>
  <c r="T78" i="17"/>
  <c r="T77" i="17"/>
  <c r="T76" i="17"/>
  <c r="S73" i="13"/>
  <c r="T105" i="13"/>
  <c r="T106" i="13" s="1"/>
  <c r="Q73" i="13"/>
  <c r="H73" i="13"/>
  <c r="M73" i="13"/>
  <c r="O105" i="13"/>
  <c r="O106" i="13" s="1"/>
  <c r="R41" i="13"/>
  <c r="O69" i="17"/>
  <c r="O68" i="17"/>
  <c r="T74" i="17"/>
  <c r="T69" i="17"/>
  <c r="T68" i="17"/>
  <c r="T40" i="13"/>
  <c r="T35" i="13"/>
  <c r="S41" i="13"/>
  <c r="N41" i="13"/>
  <c r="O35" i="13"/>
  <c r="O74" i="14"/>
  <c r="O11" i="13"/>
  <c r="O74" i="17"/>
  <c r="O174" i="13"/>
  <c r="O75" i="17"/>
  <c r="T74" i="14"/>
  <c r="T75" i="17"/>
  <c r="T11" i="13"/>
  <c r="T174" i="13"/>
  <c r="G41" i="13"/>
  <c r="J35" i="13"/>
  <c r="I98" i="13"/>
  <c r="H41" i="13"/>
  <c r="O97" i="13"/>
  <c r="O98" i="13" s="1"/>
  <c r="I41" i="13"/>
  <c r="E35" i="13"/>
  <c r="J97" i="13"/>
  <c r="J98" i="13" s="1"/>
  <c r="J40" i="13"/>
  <c r="K41" i="13"/>
  <c r="T97" i="13"/>
  <c r="T98" i="13" s="1"/>
  <c r="Q41" i="13"/>
  <c r="L41" i="13"/>
  <c r="P41" i="13"/>
  <c r="O40" i="13"/>
  <c r="O46" i="13" s="1"/>
  <c r="U41" i="13"/>
  <c r="M51" i="13"/>
  <c r="E40" i="13"/>
  <c r="D98" i="13"/>
  <c r="E97" i="13"/>
  <c r="E98" i="13" s="1"/>
  <c r="AA4" i="14" l="1"/>
  <c r="AA50" i="13"/>
  <c r="AA63" i="13" s="1"/>
  <c r="O50" i="13"/>
  <c r="O70" i="13" s="1"/>
  <c r="O56" i="13"/>
  <c r="O60" i="13" s="1"/>
  <c r="O4" i="14"/>
  <c r="I63" i="13"/>
  <c r="I69" i="13" s="1"/>
  <c r="J4" i="14"/>
  <c r="E44" i="13"/>
  <c r="E46" i="13"/>
  <c r="T44" i="13"/>
  <c r="T46" i="13"/>
  <c r="J44" i="13"/>
  <c r="J46" i="13"/>
  <c r="T4" i="14"/>
  <c r="AO109" i="48"/>
  <c r="AN110" i="48"/>
  <c r="AN114" i="48" s="1"/>
  <c r="AO95" i="48"/>
  <c r="AN96" i="48"/>
  <c r="AN100" i="48" s="1"/>
  <c r="AG81" i="48"/>
  <c r="AF82" i="48"/>
  <c r="AF86" i="48" s="1"/>
  <c r="AG95" i="48"/>
  <c r="AF96" i="48"/>
  <c r="AF100" i="48" s="1"/>
  <c r="AC46" i="48"/>
  <c r="AB47" i="48"/>
  <c r="AB51" i="48" s="1"/>
  <c r="Y95" i="48"/>
  <c r="X96" i="48"/>
  <c r="X100" i="48" s="1"/>
  <c r="AG46" i="48"/>
  <c r="AF47" i="48"/>
  <c r="AF51" i="48" s="1"/>
  <c r="AG109" i="48"/>
  <c r="AF110" i="48"/>
  <c r="AF114" i="48" s="1"/>
  <c r="AK81" i="48"/>
  <c r="AJ82" i="48"/>
  <c r="AJ86" i="48" s="1"/>
  <c r="AC81" i="48"/>
  <c r="AB82" i="48"/>
  <c r="AB86" i="48" s="1"/>
  <c r="AC95" i="48"/>
  <c r="AB96" i="48"/>
  <c r="AB100" i="48" s="1"/>
  <c r="AO81" i="48"/>
  <c r="AN82" i="48"/>
  <c r="AN86" i="48" s="1"/>
  <c r="AK46" i="48"/>
  <c r="AJ47" i="48"/>
  <c r="AJ51" i="48" s="1"/>
  <c r="AK109" i="48"/>
  <c r="AJ110" i="48"/>
  <c r="AJ114" i="48" s="1"/>
  <c r="AC109" i="48"/>
  <c r="AB110" i="48"/>
  <c r="AB114" i="48" s="1"/>
  <c r="X82" i="48"/>
  <c r="X86" i="48" s="1"/>
  <c r="Y81" i="48"/>
  <c r="AO46" i="48"/>
  <c r="AN47" i="48"/>
  <c r="AN51" i="48" s="1"/>
  <c r="AK95" i="48"/>
  <c r="AJ96" i="48"/>
  <c r="AJ100" i="48" s="1"/>
  <c r="Y46" i="48"/>
  <c r="X47" i="48"/>
  <c r="X51" i="48" s="1"/>
  <c r="Y109" i="48"/>
  <c r="X110" i="48"/>
  <c r="X114" i="48" s="1"/>
  <c r="Q51" i="13"/>
  <c r="F63" i="13"/>
  <c r="F69" i="13" s="1"/>
  <c r="N63" i="13"/>
  <c r="N69" i="13" s="1"/>
  <c r="L73" i="13"/>
  <c r="F73" i="13"/>
  <c r="P70" i="13"/>
  <c r="D70" i="13"/>
  <c r="P73" i="13"/>
  <c r="C73" i="13"/>
  <c r="P63" i="13"/>
  <c r="P69" i="13" s="1"/>
  <c r="N71" i="13"/>
  <c r="U51" i="13"/>
  <c r="C74" i="13"/>
  <c r="N70" i="13"/>
  <c r="S51" i="13"/>
  <c r="H51" i="13"/>
  <c r="C70" i="13"/>
  <c r="L63" i="13"/>
  <c r="L69" i="13" s="1"/>
  <c r="F70" i="13"/>
  <c r="D63" i="13"/>
  <c r="D69" i="13" s="1"/>
  <c r="L70" i="13"/>
  <c r="U63" i="13"/>
  <c r="U69" i="13" s="1"/>
  <c r="U70" i="13"/>
  <c r="U71" i="13"/>
  <c r="K70" i="13"/>
  <c r="K63" i="13"/>
  <c r="K69" i="13" s="1"/>
  <c r="G70" i="13"/>
  <c r="G63" i="13"/>
  <c r="G69" i="13" s="1"/>
  <c r="R70" i="13"/>
  <c r="R63" i="13"/>
  <c r="R69" i="13" s="1"/>
  <c r="H64" i="13"/>
  <c r="B70" i="13"/>
  <c r="B63" i="13"/>
  <c r="B69" i="13" s="1"/>
  <c r="U73" i="13"/>
  <c r="M64" i="13"/>
  <c r="K123" i="13"/>
  <c r="P123" i="13"/>
  <c r="Q71" i="13"/>
  <c r="Q29" i="14"/>
  <c r="Q59" i="14" s="1"/>
  <c r="Q62" i="14" s="1"/>
  <c r="L71" i="13"/>
  <c r="L29" i="14"/>
  <c r="L59" i="14" s="1"/>
  <c r="P71" i="13"/>
  <c r="S71" i="13"/>
  <c r="S29" i="14"/>
  <c r="S59" i="14" s="1"/>
  <c r="H71" i="13"/>
  <c r="H29" i="14"/>
  <c r="H59" i="14" s="1"/>
  <c r="F71" i="13"/>
  <c r="M71" i="13"/>
  <c r="M29" i="14"/>
  <c r="M59" i="14" s="1"/>
  <c r="S74" i="13"/>
  <c r="R73" i="13"/>
  <c r="F74" i="13"/>
  <c r="D73" i="13"/>
  <c r="B73" i="13"/>
  <c r="Q74" i="13"/>
  <c r="K73" i="13"/>
  <c r="G73" i="13"/>
  <c r="H74" i="13"/>
  <c r="I73" i="13"/>
  <c r="P74" i="13"/>
  <c r="M74" i="13"/>
  <c r="L74" i="13"/>
  <c r="R51" i="13"/>
  <c r="L51" i="13"/>
  <c r="G51" i="13"/>
  <c r="N51" i="13"/>
  <c r="K51" i="13"/>
  <c r="T41" i="13"/>
  <c r="I51" i="13"/>
  <c r="O41" i="13"/>
  <c r="P51" i="13"/>
  <c r="J41" i="13"/>
  <c r="M57" i="13"/>
  <c r="Q57" i="13"/>
  <c r="AA73" i="13" l="1"/>
  <c r="AA70" i="13"/>
  <c r="AN122" i="48"/>
  <c r="O71" i="13"/>
  <c r="AA69" i="13"/>
  <c r="J50" i="13"/>
  <c r="J70" i="13" s="1"/>
  <c r="J56" i="13"/>
  <c r="J60" i="13" s="1"/>
  <c r="T50" i="13"/>
  <c r="T70" i="13" s="1"/>
  <c r="T56" i="13"/>
  <c r="T60" i="13" s="1"/>
  <c r="E50" i="13"/>
  <c r="E63" i="13" s="1"/>
  <c r="E69" i="13" s="1"/>
  <c r="E56" i="13"/>
  <c r="E60" i="13" s="1"/>
  <c r="S64" i="13"/>
  <c r="AF122" i="48"/>
  <c r="X122" i="48"/>
  <c r="AJ122" i="48"/>
  <c r="AB122" i="48"/>
  <c r="AF118" i="48"/>
  <c r="Z109" i="48"/>
  <c r="Y110" i="48"/>
  <c r="Y114" i="48" s="1"/>
  <c r="AO47" i="48"/>
  <c r="AO51" i="48" s="1"/>
  <c r="AP46" i="48"/>
  <c r="AD109" i="48"/>
  <c r="AC110" i="48"/>
  <c r="AC114" i="48" s="1"/>
  <c r="AL46" i="48"/>
  <c r="AK47" i="48"/>
  <c r="AK51" i="48" s="1"/>
  <c r="AP81" i="48"/>
  <c r="AO82" i="48"/>
  <c r="AO86" i="48" s="1"/>
  <c r="AD81" i="48"/>
  <c r="AC82" i="48"/>
  <c r="AC86" i="48" s="1"/>
  <c r="AH109" i="48"/>
  <c r="AG110" i="48"/>
  <c r="AG114" i="48" s="1"/>
  <c r="AG47" i="48"/>
  <c r="AG51" i="48" s="1"/>
  <c r="AH46" i="48"/>
  <c r="Z95" i="48"/>
  <c r="Y96" i="48"/>
  <c r="Y100" i="48" s="1"/>
  <c r="AH95" i="48"/>
  <c r="AG96" i="48"/>
  <c r="AG100" i="48" s="1"/>
  <c r="AP95" i="48"/>
  <c r="AO96" i="48"/>
  <c r="AO100" i="48" s="1"/>
  <c r="Z81" i="48"/>
  <c r="Y82" i="48"/>
  <c r="Y86" i="48" s="1"/>
  <c r="AJ118" i="48"/>
  <c r="AB118" i="48"/>
  <c r="AN118" i="48"/>
  <c r="Z46" i="48"/>
  <c r="Y47" i="48"/>
  <c r="Y51" i="48" s="1"/>
  <c r="AL95" i="48"/>
  <c r="AK96" i="48"/>
  <c r="AK100" i="48" s="1"/>
  <c r="AL109" i="48"/>
  <c r="AK110" i="48"/>
  <c r="AK114" i="48" s="1"/>
  <c r="AD95" i="48"/>
  <c r="AC96" i="48"/>
  <c r="AC100" i="48" s="1"/>
  <c r="AL81" i="48"/>
  <c r="AK82" i="48"/>
  <c r="AK86" i="48" s="1"/>
  <c r="AD46" i="48"/>
  <c r="AC47" i="48"/>
  <c r="AC51" i="48" s="1"/>
  <c r="AH81" i="48"/>
  <c r="AG82" i="48"/>
  <c r="AG86" i="48" s="1"/>
  <c r="AP109" i="48"/>
  <c r="AO110" i="48"/>
  <c r="AO114" i="48" s="1"/>
  <c r="I64" i="13"/>
  <c r="N74" i="13"/>
  <c r="O73" i="13"/>
  <c r="C29" i="14"/>
  <c r="C59" i="14" s="1"/>
  <c r="H57" i="13"/>
  <c r="C71" i="13"/>
  <c r="S57" i="13"/>
  <c r="N29" i="14"/>
  <c r="N59" i="14" s="1"/>
  <c r="O63" i="13"/>
  <c r="O69" i="13" s="1"/>
  <c r="U29" i="14"/>
  <c r="K64" i="13"/>
  <c r="R64" i="15" s="1"/>
  <c r="Q64" i="13"/>
  <c r="U57" i="13"/>
  <c r="U74" i="13"/>
  <c r="R64" i="13"/>
  <c r="U64" i="13"/>
  <c r="T64" i="15" s="1"/>
  <c r="G64" i="13"/>
  <c r="L64" i="13"/>
  <c r="N64" i="13"/>
  <c r="P64" i="13"/>
  <c r="S64" i="15" s="1"/>
  <c r="H77" i="14"/>
  <c r="H78" i="14" s="1"/>
  <c r="Q77" i="14"/>
  <c r="Q79" i="14" s="1"/>
  <c r="K71" i="13"/>
  <c r="AA71" i="13"/>
  <c r="AA29" i="14"/>
  <c r="F29" i="14"/>
  <c r="F77" i="14" s="1"/>
  <c r="P29" i="14"/>
  <c r="P77" i="14" s="1"/>
  <c r="Q64" i="14"/>
  <c r="R61" i="14"/>
  <c r="R71" i="13"/>
  <c r="R29" i="14"/>
  <c r="D71" i="13"/>
  <c r="D29" i="14"/>
  <c r="D59" i="14" s="1"/>
  <c r="B71" i="13"/>
  <c r="B29" i="14"/>
  <c r="I71" i="13"/>
  <c r="I29" i="14"/>
  <c r="I59" i="14" s="1"/>
  <c r="G71" i="13"/>
  <c r="G29" i="14"/>
  <c r="G59" i="14" s="1"/>
  <c r="D74" i="13"/>
  <c r="B74" i="13"/>
  <c r="AA74" i="13"/>
  <c r="R74" i="13"/>
  <c r="K74" i="13"/>
  <c r="G74" i="13"/>
  <c r="I74" i="13"/>
  <c r="O74" i="13"/>
  <c r="R57" i="13"/>
  <c r="L57" i="13"/>
  <c r="G57" i="13"/>
  <c r="N57" i="13"/>
  <c r="K57" i="13"/>
  <c r="M77" i="14"/>
  <c r="L77" i="14"/>
  <c r="S77" i="14"/>
  <c r="P57" i="13"/>
  <c r="I57" i="13"/>
  <c r="T51" i="13" l="1"/>
  <c r="T73" i="13"/>
  <c r="T63" i="13"/>
  <c r="T69" i="13" s="1"/>
  <c r="J51" i="13"/>
  <c r="J73" i="13"/>
  <c r="O51" i="13"/>
  <c r="J71" i="13"/>
  <c r="E71" i="13"/>
  <c r="E70" i="13"/>
  <c r="J63" i="13"/>
  <c r="J69" i="13" s="1"/>
  <c r="E73" i="13"/>
  <c r="AC122" i="48"/>
  <c r="AG122" i="48"/>
  <c r="AK122" i="48"/>
  <c r="AO122" i="48"/>
  <c r="Y122" i="48"/>
  <c r="AO118" i="48"/>
  <c r="AA59" i="14"/>
  <c r="AA77" i="14"/>
  <c r="AC118" i="48"/>
  <c r="Y118" i="48"/>
  <c r="AD47" i="48"/>
  <c r="AD51" i="48" s="1"/>
  <c r="AE46" i="48"/>
  <c r="AE47" i="48" s="1"/>
  <c r="AE51" i="48" s="1"/>
  <c r="AM81" i="48"/>
  <c r="AM82" i="48" s="1"/>
  <c r="AM86" i="48" s="1"/>
  <c r="AL82" i="48"/>
  <c r="AL86" i="48" s="1"/>
  <c r="AM109" i="48"/>
  <c r="AM110" i="48" s="1"/>
  <c r="AM114" i="48" s="1"/>
  <c r="AL110" i="48"/>
  <c r="AL114" i="48" s="1"/>
  <c r="AQ95" i="48"/>
  <c r="AQ96" i="48" s="1"/>
  <c r="AQ100" i="48" s="1"/>
  <c r="AP96" i="48"/>
  <c r="AP100" i="48" s="1"/>
  <c r="AI109" i="48"/>
  <c r="AI110" i="48" s="1"/>
  <c r="AI114" i="48" s="1"/>
  <c r="AH110" i="48"/>
  <c r="AH114" i="48" s="1"/>
  <c r="AM46" i="48"/>
  <c r="AM47" i="48" s="1"/>
  <c r="AM51" i="48" s="1"/>
  <c r="AL47" i="48"/>
  <c r="AL51" i="48" s="1"/>
  <c r="AE109" i="48"/>
  <c r="AE110" i="48" s="1"/>
  <c r="AE114" i="48" s="1"/>
  <c r="AD110" i="48"/>
  <c r="AD114" i="48" s="1"/>
  <c r="AA109" i="48"/>
  <c r="AA110" i="48" s="1"/>
  <c r="AA114" i="48" s="1"/>
  <c r="Z110" i="48"/>
  <c r="Z114" i="48" s="1"/>
  <c r="AQ109" i="48"/>
  <c r="AQ110" i="48" s="1"/>
  <c r="AQ114" i="48" s="1"/>
  <c r="AP110" i="48"/>
  <c r="AP114" i="48" s="1"/>
  <c r="AE95" i="48"/>
  <c r="AE96" i="48" s="1"/>
  <c r="AE100" i="48" s="1"/>
  <c r="AD96" i="48"/>
  <c r="AD100" i="48" s="1"/>
  <c r="AM95" i="48"/>
  <c r="AM96" i="48" s="1"/>
  <c r="AM100" i="48" s="1"/>
  <c r="AL96" i="48"/>
  <c r="AL100" i="48" s="1"/>
  <c r="AI95" i="48"/>
  <c r="AI96" i="48" s="1"/>
  <c r="AI100" i="48" s="1"/>
  <c r="AH96" i="48"/>
  <c r="AH100" i="48" s="1"/>
  <c r="AA95" i="48"/>
  <c r="AA96" i="48" s="1"/>
  <c r="AA100" i="48" s="1"/>
  <c r="Z96" i="48"/>
  <c r="Z100" i="48" s="1"/>
  <c r="AQ81" i="48"/>
  <c r="AQ82" i="48" s="1"/>
  <c r="AQ86" i="48" s="1"/>
  <c r="AP82" i="48"/>
  <c r="AP86" i="48" s="1"/>
  <c r="AK118" i="48"/>
  <c r="AI46" i="48"/>
  <c r="AI47" i="48" s="1"/>
  <c r="AI51" i="48" s="1"/>
  <c r="AH47" i="48"/>
  <c r="AH51" i="48" s="1"/>
  <c r="AG118" i="48"/>
  <c r="AI81" i="48"/>
  <c r="AI82" i="48" s="1"/>
  <c r="AI86" i="48" s="1"/>
  <c r="AH82" i="48"/>
  <c r="AH86" i="48" s="1"/>
  <c r="AA46" i="48"/>
  <c r="AA47" i="48" s="1"/>
  <c r="AA51" i="48" s="1"/>
  <c r="Z47" i="48"/>
  <c r="Z51" i="48" s="1"/>
  <c r="AA81" i="48"/>
  <c r="AA82" i="48" s="1"/>
  <c r="AA86" i="48" s="1"/>
  <c r="Z82" i="48"/>
  <c r="Z86" i="48" s="1"/>
  <c r="AE81" i="48"/>
  <c r="AE82" i="48" s="1"/>
  <c r="AE86" i="48" s="1"/>
  <c r="AD82" i="48"/>
  <c r="AD86" i="48" s="1"/>
  <c r="AP47" i="48"/>
  <c r="AP51" i="48" s="1"/>
  <c r="AQ46" i="48"/>
  <c r="AQ47" i="48" s="1"/>
  <c r="AQ51" i="48" s="1"/>
  <c r="O29" i="14"/>
  <c r="O59" i="14" s="1"/>
  <c r="N77" i="14"/>
  <c r="N79" i="14" s="1"/>
  <c r="H79" i="14"/>
  <c r="T64" i="13"/>
  <c r="H82" i="14"/>
  <c r="Q78" i="14"/>
  <c r="Q82" i="14"/>
  <c r="G77" i="14"/>
  <c r="G79" i="14" s="1"/>
  <c r="T29" i="14"/>
  <c r="I77" i="14"/>
  <c r="I82" i="14" s="1"/>
  <c r="P59" i="14"/>
  <c r="S59" i="16" s="1"/>
  <c r="S29" i="16"/>
  <c r="B59" i="14"/>
  <c r="B77" i="14"/>
  <c r="E4" i="14"/>
  <c r="E29" i="14" s="1"/>
  <c r="E59" i="14" s="1"/>
  <c r="J29" i="14"/>
  <c r="J59" i="14" s="1"/>
  <c r="K29" i="14"/>
  <c r="U59" i="14"/>
  <c r="T29" i="16"/>
  <c r="U77" i="14"/>
  <c r="R59" i="14"/>
  <c r="R62" i="14" s="1"/>
  <c r="R77" i="14"/>
  <c r="F59" i="14"/>
  <c r="Q59" i="16" s="1"/>
  <c r="Q29" i="16"/>
  <c r="T74" i="13"/>
  <c r="T71" i="13"/>
  <c r="T57" i="13"/>
  <c r="E74" i="13"/>
  <c r="J74" i="13"/>
  <c r="C77" i="14"/>
  <c r="C82" i="14" s="1"/>
  <c r="F26" i="20"/>
  <c r="E83" i="18"/>
  <c r="E84" i="18" s="1"/>
  <c r="E65" i="18"/>
  <c r="E26" i="20"/>
  <c r="P78" i="14"/>
  <c r="P79" i="14"/>
  <c r="P82" i="14"/>
  <c r="L78" i="14"/>
  <c r="L79" i="14"/>
  <c r="L82" i="14"/>
  <c r="S79" i="14"/>
  <c r="S82" i="14"/>
  <c r="S78" i="14"/>
  <c r="M78" i="14"/>
  <c r="M79" i="14"/>
  <c r="M82" i="14"/>
  <c r="F78" i="14"/>
  <c r="F79" i="14"/>
  <c r="F82" i="14"/>
  <c r="O57" i="13"/>
  <c r="J57" i="13"/>
  <c r="O64" i="13" l="1"/>
  <c r="J64" i="13"/>
  <c r="AA122" i="48"/>
  <c r="AM122" i="48"/>
  <c r="AH122" i="48"/>
  <c r="AP122" i="48"/>
  <c r="Z122" i="48"/>
  <c r="AL122" i="48"/>
  <c r="AQ122" i="48"/>
  <c r="AI122" i="48"/>
  <c r="AE122" i="48"/>
  <c r="AD122" i="48"/>
  <c r="AA82" i="14"/>
  <c r="AA78" i="14"/>
  <c r="AA79" i="14"/>
  <c r="AA118" i="48"/>
  <c r="AP118" i="48"/>
  <c r="AQ118" i="48"/>
  <c r="AE118" i="48"/>
  <c r="AH118" i="48"/>
  <c r="AL118" i="48"/>
  <c r="Z118" i="48"/>
  <c r="AI118" i="48"/>
  <c r="AM118" i="48"/>
  <c r="AD118" i="48"/>
  <c r="N78" i="14"/>
  <c r="N82" i="14"/>
  <c r="O77" i="14"/>
  <c r="O79" i="14" s="1"/>
  <c r="G78" i="14"/>
  <c r="G82" i="14"/>
  <c r="J77" i="14"/>
  <c r="J79" i="14" s="1"/>
  <c r="I78" i="14"/>
  <c r="E77" i="14"/>
  <c r="E82" i="14" s="1"/>
  <c r="I79" i="14"/>
  <c r="T59" i="14"/>
  <c r="T77" i="14"/>
  <c r="R82" i="14"/>
  <c r="R79" i="14"/>
  <c r="R78" i="14"/>
  <c r="U62" i="14"/>
  <c r="T59" i="16"/>
  <c r="B78" i="14"/>
  <c r="B79" i="14"/>
  <c r="B82" i="14"/>
  <c r="S61" i="14"/>
  <c r="S62" i="14" s="1"/>
  <c r="R64" i="14"/>
  <c r="K59" i="14"/>
  <c r="R59" i="16" s="1"/>
  <c r="R29" i="16"/>
  <c r="R18" i="20" s="1"/>
  <c r="U82" i="14"/>
  <c r="T82" i="16" s="1"/>
  <c r="T23" i="20" s="1"/>
  <c r="U78" i="14"/>
  <c r="T78" i="16" s="1"/>
  <c r="T21" i="20" s="1"/>
  <c r="U79" i="14"/>
  <c r="T79" i="16" s="1"/>
  <c r="K77" i="14"/>
  <c r="K82" i="14" s="1"/>
  <c r="R82" i="16" s="1"/>
  <c r="R23" i="20" s="1"/>
  <c r="C78" i="14"/>
  <c r="C79" i="14"/>
  <c r="D77" i="14"/>
  <c r="D79" i="14" s="1"/>
  <c r="E28" i="20"/>
  <c r="F65" i="18"/>
  <c r="F83" i="18"/>
  <c r="F84" i="18" s="1"/>
  <c r="P2" i="11"/>
  <c r="O2" i="11"/>
  <c r="N2" i="11"/>
  <c r="M2" i="11"/>
  <c r="L2" i="11"/>
  <c r="K2" i="11"/>
  <c r="J2" i="11"/>
  <c r="I2" i="11"/>
  <c r="H2" i="11"/>
  <c r="G2" i="11"/>
  <c r="F2" i="11"/>
  <c r="E2" i="11"/>
  <c r="D2" i="11"/>
  <c r="C2" i="11"/>
  <c r="B2" i="11"/>
  <c r="P2" i="10"/>
  <c r="O2" i="10"/>
  <c r="N2" i="10"/>
  <c r="M2" i="10"/>
  <c r="L2" i="10"/>
  <c r="K2" i="10"/>
  <c r="J2" i="10"/>
  <c r="I2" i="10"/>
  <c r="H2" i="10"/>
  <c r="G2" i="10"/>
  <c r="F2" i="10"/>
  <c r="E2" i="10"/>
  <c r="D2" i="10"/>
  <c r="C2" i="10"/>
  <c r="B2" i="10"/>
  <c r="P2" i="8"/>
  <c r="O2" i="8"/>
  <c r="N2" i="8"/>
  <c r="M2" i="8"/>
  <c r="L2" i="8"/>
  <c r="K2" i="8"/>
  <c r="J2" i="8"/>
  <c r="I2" i="8"/>
  <c r="H2" i="8"/>
  <c r="G2" i="8"/>
  <c r="F2" i="8"/>
  <c r="E2" i="8"/>
  <c r="D2" i="8"/>
  <c r="C2" i="8"/>
  <c r="B2" i="8"/>
  <c r="P2" i="7"/>
  <c r="O2" i="7"/>
  <c r="N2" i="7"/>
  <c r="M2" i="7"/>
  <c r="L2" i="7"/>
  <c r="K2" i="7"/>
  <c r="J2" i="7"/>
  <c r="I2" i="7"/>
  <c r="H2" i="7"/>
  <c r="G2" i="7"/>
  <c r="F2" i="7"/>
  <c r="E2" i="7"/>
  <c r="D2" i="7"/>
  <c r="C2" i="7"/>
  <c r="B2" i="7"/>
  <c r="Q2" i="20"/>
  <c r="R2" i="20"/>
  <c r="S2" i="20"/>
  <c r="T2" i="20"/>
  <c r="Q48" i="46"/>
  <c r="R48" i="46"/>
  <c r="R10" i="11"/>
  <c r="R13" i="11" s="1"/>
  <c r="R19" i="11" s="1"/>
  <c r="R6" i="11"/>
  <c r="R59" i="20"/>
  <c r="S23" i="11"/>
  <c r="S20" i="11"/>
  <c r="S11" i="11"/>
  <c r="S10" i="11"/>
  <c r="S6" i="11"/>
  <c r="S4" i="11"/>
  <c r="S59" i="20" s="1"/>
  <c r="T23" i="11"/>
  <c r="T20" i="11"/>
  <c r="T11" i="11"/>
  <c r="T10" i="11"/>
  <c r="T6" i="11"/>
  <c r="T4" i="11"/>
  <c r="T59" i="20" s="1"/>
  <c r="R10" i="10"/>
  <c r="R13" i="10" s="1"/>
  <c r="R19" i="10" s="1"/>
  <c r="R67" i="47" s="1"/>
  <c r="R6" i="10"/>
  <c r="R52" i="20"/>
  <c r="S23" i="10"/>
  <c r="S20" i="10"/>
  <c r="S11" i="10"/>
  <c r="S10" i="10"/>
  <c r="S6" i="10"/>
  <c r="S4" i="10"/>
  <c r="S52" i="20" s="1"/>
  <c r="T23" i="10"/>
  <c r="T20" i="10"/>
  <c r="T11" i="10"/>
  <c r="T10" i="10"/>
  <c r="T6" i="10"/>
  <c r="T4" i="10"/>
  <c r="T52" i="20" s="1"/>
  <c r="Q14" i="8"/>
  <c r="Q8" i="8"/>
  <c r="Q7" i="46" s="1"/>
  <c r="Q7" i="8"/>
  <c r="Q6" i="46" s="1"/>
  <c r="Q6" i="8"/>
  <c r="Q5" i="46" s="1"/>
  <c r="Q5" i="8"/>
  <c r="Q4" i="46" s="1"/>
  <c r="R14" i="8"/>
  <c r="R8" i="8"/>
  <c r="R7" i="46" s="1"/>
  <c r="R7" i="8"/>
  <c r="R6" i="46" s="1"/>
  <c r="R6" i="8"/>
  <c r="R5" i="46" s="1"/>
  <c r="R5" i="8"/>
  <c r="R4" i="46" s="1"/>
  <c r="S14" i="8"/>
  <c r="S8" i="8"/>
  <c r="S7" i="46" s="1"/>
  <c r="S7" i="8"/>
  <c r="S6" i="46" s="1"/>
  <c r="S6" i="8"/>
  <c r="S5" i="46" s="1"/>
  <c r="S5" i="8"/>
  <c r="S4" i="46" s="1"/>
  <c r="T14" i="8"/>
  <c r="T8" i="8"/>
  <c r="T7" i="46" s="1"/>
  <c r="T7" i="8"/>
  <c r="T6" i="46" s="1"/>
  <c r="T6" i="8"/>
  <c r="T5" i="46" s="1"/>
  <c r="T5" i="8"/>
  <c r="T4" i="46" s="1"/>
  <c r="T3" i="46" s="1"/>
  <c r="R10" i="7"/>
  <c r="R6" i="7"/>
  <c r="R45" i="20"/>
  <c r="S23" i="7"/>
  <c r="S20" i="7"/>
  <c r="S11" i="7"/>
  <c r="S10" i="7"/>
  <c r="I48" i="52" s="1"/>
  <c r="S6" i="7"/>
  <c r="S4" i="7"/>
  <c r="S45" i="20" s="1"/>
  <c r="T23" i="7"/>
  <c r="T20" i="7"/>
  <c r="T11" i="7"/>
  <c r="T10" i="7"/>
  <c r="J48" i="52" s="1"/>
  <c r="T6" i="7"/>
  <c r="T4" i="7"/>
  <c r="T45" i="20" s="1"/>
  <c r="Q38" i="20"/>
  <c r="Q33" i="20"/>
  <c r="Q82" i="18"/>
  <c r="Q27" i="20" s="1"/>
  <c r="Q79" i="18"/>
  <c r="Q78" i="18"/>
  <c r="Q76" i="18"/>
  <c r="Q75" i="18"/>
  <c r="Q74" i="18"/>
  <c r="Q71" i="18"/>
  <c r="Q70" i="18"/>
  <c r="Q68" i="18"/>
  <c r="Q64" i="18"/>
  <c r="Q62" i="18"/>
  <c r="Q60" i="18"/>
  <c r="Q58" i="18"/>
  <c r="Q48" i="18"/>
  <c r="Q46" i="18"/>
  <c r="Q37" i="18"/>
  <c r="Q25" i="18"/>
  <c r="R38" i="20"/>
  <c r="R33" i="20"/>
  <c r="R82" i="18"/>
  <c r="R27" i="20" s="1"/>
  <c r="R79" i="18"/>
  <c r="R78" i="18"/>
  <c r="R76" i="18"/>
  <c r="R75" i="18"/>
  <c r="R74" i="18"/>
  <c r="R71" i="18"/>
  <c r="R70" i="18"/>
  <c r="R68" i="18"/>
  <c r="R64" i="18"/>
  <c r="R62" i="18"/>
  <c r="R60" i="18"/>
  <c r="R58" i="18"/>
  <c r="R48" i="18"/>
  <c r="R46" i="18"/>
  <c r="R37" i="18"/>
  <c r="R25" i="18"/>
  <c r="S38" i="20"/>
  <c r="S33" i="20"/>
  <c r="S82" i="18"/>
  <c r="S27" i="20" s="1"/>
  <c r="S79" i="18"/>
  <c r="S78" i="18"/>
  <c r="S76" i="18"/>
  <c r="S75" i="18"/>
  <c r="S74" i="18"/>
  <c r="S71" i="18"/>
  <c r="S70" i="18"/>
  <c r="S68" i="18"/>
  <c r="S64" i="18"/>
  <c r="S62" i="18"/>
  <c r="S60" i="18"/>
  <c r="S58" i="18"/>
  <c r="S48" i="18"/>
  <c r="S46" i="18"/>
  <c r="S37" i="18"/>
  <c r="S25" i="18"/>
  <c r="T38" i="20"/>
  <c r="T33" i="20"/>
  <c r="T82" i="18"/>
  <c r="T27" i="20" s="1"/>
  <c r="T79" i="18"/>
  <c r="T78" i="18"/>
  <c r="T76" i="18"/>
  <c r="T75" i="18"/>
  <c r="T74" i="18"/>
  <c r="T71" i="18"/>
  <c r="T70" i="18"/>
  <c r="T68" i="18"/>
  <c r="T64" i="18"/>
  <c r="T62" i="18"/>
  <c r="T60" i="18"/>
  <c r="T58" i="18"/>
  <c r="T48" i="18"/>
  <c r="T46" i="18"/>
  <c r="T37" i="18"/>
  <c r="T25" i="18"/>
  <c r="Q82" i="16"/>
  <c r="Q23" i="20" s="1"/>
  <c r="Q81" i="16"/>
  <c r="Q22" i="20" s="1"/>
  <c r="Q79" i="16"/>
  <c r="Q78" i="16"/>
  <c r="Q21" i="20" s="1"/>
  <c r="Q77" i="16"/>
  <c r="Q74" i="16"/>
  <c r="Q70" i="16"/>
  <c r="Q19" i="20"/>
  <c r="Q18" i="20"/>
  <c r="Q4" i="16"/>
  <c r="R81" i="16"/>
  <c r="R22" i="20" s="1"/>
  <c r="R74" i="16"/>
  <c r="R70" i="16"/>
  <c r="R19" i="20"/>
  <c r="R4" i="16"/>
  <c r="S82" i="16"/>
  <c r="S23" i="20" s="1"/>
  <c r="S81" i="16"/>
  <c r="S22" i="20" s="1"/>
  <c r="S79" i="16"/>
  <c r="S78" i="16"/>
  <c r="S21" i="20" s="1"/>
  <c r="S77" i="16"/>
  <c r="S74" i="16"/>
  <c r="S70" i="16"/>
  <c r="S19" i="20"/>
  <c r="S18" i="20"/>
  <c r="S4" i="16"/>
  <c r="T81" i="16"/>
  <c r="T22" i="20" s="1"/>
  <c r="T77" i="16"/>
  <c r="T74" i="16"/>
  <c r="T19" i="20"/>
  <c r="T18" i="20"/>
  <c r="T4" i="16"/>
  <c r="Q134" i="15"/>
  <c r="Q133" i="15"/>
  <c r="Q101" i="15"/>
  <c r="Q100" i="15"/>
  <c r="Q89" i="15"/>
  <c r="Q90" i="15" s="1"/>
  <c r="Q88" i="15"/>
  <c r="Q83" i="15"/>
  <c r="Q82" i="15"/>
  <c r="Q80" i="15"/>
  <c r="Q79" i="15"/>
  <c r="Q77" i="15"/>
  <c r="Q76" i="15"/>
  <c r="Q54" i="15"/>
  <c r="Q53" i="15"/>
  <c r="Q11" i="20"/>
  <c r="Q43" i="15"/>
  <c r="Q39" i="15"/>
  <c r="Q37" i="15"/>
  <c r="Q35" i="15"/>
  <c r="Q9" i="20" s="1"/>
  <c r="Q30" i="15"/>
  <c r="Q23" i="15"/>
  <c r="Q22" i="15"/>
  <c r="Q16" i="15"/>
  <c r="Q15" i="15"/>
  <c r="Q14" i="15"/>
  <c r="Q13" i="15"/>
  <c r="Q11" i="15"/>
  <c r="Q5" i="20" s="1"/>
  <c r="Q6" i="15"/>
  <c r="Q5" i="15"/>
  <c r="Q4" i="15"/>
  <c r="Q3" i="15"/>
  <c r="R134" i="15"/>
  <c r="R133" i="15"/>
  <c r="R101" i="15"/>
  <c r="R100" i="15"/>
  <c r="R89" i="15"/>
  <c r="R88" i="15"/>
  <c r="R83" i="15"/>
  <c r="R82" i="15"/>
  <c r="R80" i="15"/>
  <c r="R79" i="15"/>
  <c r="R77" i="15"/>
  <c r="R76" i="15"/>
  <c r="R57" i="15"/>
  <c r="R54" i="15"/>
  <c r="R53" i="15"/>
  <c r="R51" i="15"/>
  <c r="R44" i="15"/>
  <c r="R11" i="20" s="1"/>
  <c r="R43" i="15"/>
  <c r="R41" i="15"/>
  <c r="R39" i="15"/>
  <c r="R37" i="15"/>
  <c r="R35" i="15"/>
  <c r="R9" i="20" s="1"/>
  <c r="R30" i="15"/>
  <c r="R23" i="15"/>
  <c r="R22" i="15"/>
  <c r="R16" i="15"/>
  <c r="R15" i="15"/>
  <c r="R14" i="15"/>
  <c r="R13" i="15"/>
  <c r="R11" i="15"/>
  <c r="R5" i="20" s="1"/>
  <c r="R6" i="15"/>
  <c r="R5" i="15"/>
  <c r="R4" i="15"/>
  <c r="R47" i="47" s="1"/>
  <c r="R3" i="15"/>
  <c r="S134" i="15"/>
  <c r="S133" i="15"/>
  <c r="S101" i="15"/>
  <c r="S100" i="15"/>
  <c r="S89" i="15"/>
  <c r="S88" i="15"/>
  <c r="S83" i="15"/>
  <c r="S82" i="15"/>
  <c r="S80" i="15"/>
  <c r="S79" i="15"/>
  <c r="S77" i="15"/>
  <c r="S76" i="15"/>
  <c r="S57" i="15"/>
  <c r="S54" i="15"/>
  <c r="S53" i="15"/>
  <c r="S51" i="15"/>
  <c r="S44" i="15"/>
  <c r="S11" i="20" s="1"/>
  <c r="S43" i="15"/>
  <c r="S41" i="15"/>
  <c r="S39" i="15"/>
  <c r="S37" i="15"/>
  <c r="S35" i="15"/>
  <c r="S9" i="20" s="1"/>
  <c r="S30" i="15"/>
  <c r="S23" i="15"/>
  <c r="S22" i="15"/>
  <c r="S16" i="15"/>
  <c r="S15" i="15"/>
  <c r="S14" i="15"/>
  <c r="S13" i="15"/>
  <c r="S11" i="15"/>
  <c r="S5" i="20" s="1"/>
  <c r="S6" i="15"/>
  <c r="S5" i="15"/>
  <c r="S4" i="15"/>
  <c r="S47" i="47" s="1"/>
  <c r="S3" i="15"/>
  <c r="S2" i="10"/>
  <c r="T134" i="15"/>
  <c r="T133" i="15"/>
  <c r="T101" i="15"/>
  <c r="T100" i="15"/>
  <c r="T89" i="15"/>
  <c r="T88" i="15"/>
  <c r="T83" i="15"/>
  <c r="T82" i="15"/>
  <c r="T80" i="15"/>
  <c r="T79" i="15"/>
  <c r="T77" i="15"/>
  <c r="T76" i="15"/>
  <c r="T57" i="15"/>
  <c r="T54" i="15"/>
  <c r="T53" i="15"/>
  <c r="T51" i="15"/>
  <c r="T44" i="15"/>
  <c r="T11" i="20" s="1"/>
  <c r="T43" i="15"/>
  <c r="T41" i="15"/>
  <c r="T39" i="15"/>
  <c r="T37" i="15"/>
  <c r="T35" i="15"/>
  <c r="T9" i="20" s="1"/>
  <c r="T30" i="15"/>
  <c r="T23" i="15"/>
  <c r="T22" i="15"/>
  <c r="T16" i="15"/>
  <c r="T15" i="15"/>
  <c r="T14" i="15"/>
  <c r="T13" i="15"/>
  <c r="T11" i="15"/>
  <c r="T5" i="20" s="1"/>
  <c r="T6" i="15"/>
  <c r="T5" i="15"/>
  <c r="T4" i="15"/>
  <c r="T47" i="47" s="1"/>
  <c r="T3" i="15"/>
  <c r="T20" i="20" l="1"/>
  <c r="Q20" i="20"/>
  <c r="S20" i="20"/>
  <c r="Q3" i="46"/>
  <c r="S3" i="46"/>
  <c r="R3" i="46"/>
  <c r="R45" i="47"/>
  <c r="R59" i="47" s="1"/>
  <c r="Q85" i="15"/>
  <c r="Q86" i="15" s="1"/>
  <c r="R85" i="15"/>
  <c r="T85" i="15"/>
  <c r="S85" i="15"/>
  <c r="T90" i="15"/>
  <c r="R90" i="15"/>
  <c r="S90" i="15"/>
  <c r="R14" i="20"/>
  <c r="R77" i="46"/>
  <c r="S14" i="20"/>
  <c r="S77" i="46"/>
  <c r="T14" i="20"/>
  <c r="T77" i="46"/>
  <c r="Q14" i="20"/>
  <c r="Q77" i="46"/>
  <c r="T52" i="46"/>
  <c r="T67" i="46" s="1"/>
  <c r="T53" i="46"/>
  <c r="T68" i="46" s="1"/>
  <c r="S52" i="46"/>
  <c r="S67" i="46" s="1"/>
  <c r="Q54" i="46"/>
  <c r="Q69" i="46" s="1"/>
  <c r="Q76" i="46" s="1"/>
  <c r="Q53" i="46"/>
  <c r="Q68" i="46" s="1"/>
  <c r="Q75" i="46" s="1"/>
  <c r="T54" i="46"/>
  <c r="T69" i="46" s="1"/>
  <c r="S53" i="46"/>
  <c r="S68" i="46" s="1"/>
  <c r="R52" i="46"/>
  <c r="R67" i="46" s="1"/>
  <c r="R54" i="46"/>
  <c r="R69" i="46" s="1"/>
  <c r="S54" i="46"/>
  <c r="S69" i="46" s="1"/>
  <c r="R53" i="46"/>
  <c r="R68" i="46" s="1"/>
  <c r="Q52" i="46"/>
  <c r="Q67" i="46" s="1"/>
  <c r="Q74" i="46" s="1"/>
  <c r="J49" i="52"/>
  <c r="R13" i="7"/>
  <c r="H48" i="52"/>
  <c r="H49" i="52" s="1"/>
  <c r="O82" i="14"/>
  <c r="O78" i="14"/>
  <c r="R51" i="46"/>
  <c r="R30" i="46"/>
  <c r="R31" i="46" s="1"/>
  <c r="R13" i="46"/>
  <c r="Q51" i="46"/>
  <c r="Q30" i="46"/>
  <c r="Q31" i="46" s="1"/>
  <c r="Q13" i="46"/>
  <c r="T51" i="46"/>
  <c r="T66" i="46" s="1"/>
  <c r="T82" i="46" s="1"/>
  <c r="T30" i="46"/>
  <c r="T13" i="46"/>
  <c r="S51" i="46"/>
  <c r="S30" i="46"/>
  <c r="S13" i="46"/>
  <c r="R77" i="16"/>
  <c r="J78" i="14"/>
  <c r="E79" i="14"/>
  <c r="E78" i="14"/>
  <c r="K78" i="14"/>
  <c r="R78" i="16" s="1"/>
  <c r="R21" i="20" s="1"/>
  <c r="J82" i="14"/>
  <c r="K79" i="14"/>
  <c r="R79" i="16" s="1"/>
  <c r="T82" i="14"/>
  <c r="T78" i="14"/>
  <c r="T79" i="14"/>
  <c r="V61" i="14"/>
  <c r="Z61" i="14" s="1"/>
  <c r="U61" i="16" s="1"/>
  <c r="U64" i="14"/>
  <c r="T64" i="16" s="1"/>
  <c r="T62" i="16"/>
  <c r="T61" i="14"/>
  <c r="T62" i="14" s="1"/>
  <c r="T64" i="14" s="1"/>
  <c r="S64" i="14"/>
  <c r="D82" i="14"/>
  <c r="D78" i="14"/>
  <c r="R10" i="15"/>
  <c r="S10" i="15"/>
  <c r="T10" i="15"/>
  <c r="Q10" i="15"/>
  <c r="F28" i="20"/>
  <c r="R20" i="15"/>
  <c r="Q20" i="15"/>
  <c r="S20" i="15"/>
  <c r="T20" i="15"/>
  <c r="R135" i="15"/>
  <c r="Q24" i="15"/>
  <c r="Q31" i="15" s="1"/>
  <c r="T102" i="15"/>
  <c r="Q102" i="15"/>
  <c r="T48" i="46"/>
  <c r="S13" i="11"/>
  <c r="S19" i="11" s="1"/>
  <c r="T13" i="10"/>
  <c r="T19" i="10" s="1"/>
  <c r="T67" i="47" s="1"/>
  <c r="S13" i="10"/>
  <c r="S19" i="10" s="1"/>
  <c r="S67" i="47" s="1"/>
  <c r="T13" i="7"/>
  <c r="S13" i="7"/>
  <c r="S135" i="15"/>
  <c r="R24" i="15"/>
  <c r="R31" i="15" s="1"/>
  <c r="Q135" i="15"/>
  <c r="S102" i="15"/>
  <c r="S24" i="15"/>
  <c r="S31" i="15" s="1"/>
  <c r="R102" i="15"/>
  <c r="Q2" i="7"/>
  <c r="Q2" i="8"/>
  <c r="R2" i="10"/>
  <c r="S2" i="7"/>
  <c r="Q2" i="10"/>
  <c r="R2" i="7"/>
  <c r="T2" i="10"/>
  <c r="T2" i="11"/>
  <c r="T24" i="15"/>
  <c r="T31" i="15" s="1"/>
  <c r="T135" i="15"/>
  <c r="T2" i="7"/>
  <c r="X27" i="1"/>
  <c r="W27" i="1"/>
  <c r="V27" i="1"/>
  <c r="A70" i="16"/>
  <c r="Z15" i="13"/>
  <c r="X15" i="13"/>
  <c r="W15" i="13"/>
  <c r="V15" i="13"/>
  <c r="Z14" i="13"/>
  <c r="X14" i="13"/>
  <c r="W14" i="13"/>
  <c r="V14" i="13"/>
  <c r="Z13" i="13"/>
  <c r="X13" i="13"/>
  <c r="W13" i="13"/>
  <c r="V13" i="13"/>
  <c r="U2" i="20"/>
  <c r="A81" i="18"/>
  <c r="A82" i="18"/>
  <c r="A83" i="18"/>
  <c r="A85" i="18"/>
  <c r="A88" i="18"/>
  <c r="U33" i="20"/>
  <c r="U38" i="20"/>
  <c r="R20" i="20" l="1"/>
  <c r="R46" i="47"/>
  <c r="R53" i="47"/>
  <c r="S45" i="47"/>
  <c r="R64" i="47"/>
  <c r="R65" i="47" s="1"/>
  <c r="R66" i="47" s="1"/>
  <c r="S19" i="7"/>
  <c r="S62" i="46" s="1"/>
  <c r="S41" i="7"/>
  <c r="S42" i="7" s="1"/>
  <c r="T19" i="7"/>
  <c r="T62" i="46" s="1"/>
  <c r="T41" i="7"/>
  <c r="T42" i="7" s="1"/>
  <c r="R19" i="7"/>
  <c r="R62" i="46" s="1"/>
  <c r="R41" i="7"/>
  <c r="R42" i="7" s="1"/>
  <c r="S86" i="15"/>
  <c r="R86" i="15"/>
  <c r="T86" i="15"/>
  <c r="R74" i="46"/>
  <c r="R83" i="46"/>
  <c r="T75" i="46"/>
  <c r="T84" i="46"/>
  <c r="R75" i="46"/>
  <c r="R84" i="46"/>
  <c r="S75" i="46"/>
  <c r="S84" i="46"/>
  <c r="S74" i="46"/>
  <c r="S83" i="46"/>
  <c r="T74" i="46"/>
  <c r="T83" i="46"/>
  <c r="S66" i="46"/>
  <c r="S82" i="46" s="1"/>
  <c r="R66" i="46"/>
  <c r="R82" i="46" s="1"/>
  <c r="Q66" i="46"/>
  <c r="Q73" i="46" s="1"/>
  <c r="T76" i="46"/>
  <c r="T85" i="46"/>
  <c r="S76" i="46"/>
  <c r="S85" i="46"/>
  <c r="R76" i="46"/>
  <c r="R85" i="46"/>
  <c r="T60" i="46"/>
  <c r="T73" i="46"/>
  <c r="R60" i="46"/>
  <c r="S60" i="46"/>
  <c r="Q44" i="46"/>
  <c r="Q45" i="7" s="1"/>
  <c r="Q44" i="7" s="1"/>
  <c r="Q47" i="7" s="1"/>
  <c r="Q60" i="46"/>
  <c r="Q61" i="46" s="1"/>
  <c r="I49" i="52"/>
  <c r="J161" i="48"/>
  <c r="J163" i="48" s="1"/>
  <c r="I161" i="48"/>
  <c r="I163" i="48" s="1"/>
  <c r="G161" i="48"/>
  <c r="G163" i="48" s="1"/>
  <c r="H161" i="48"/>
  <c r="H163" i="48" s="1"/>
  <c r="T44" i="46"/>
  <c r="T31" i="46"/>
  <c r="R44" i="46"/>
  <c r="S44" i="46"/>
  <c r="S31" i="46"/>
  <c r="S136" i="15"/>
  <c r="J26" i="20"/>
  <c r="H26" i="20"/>
  <c r="G26" i="20"/>
  <c r="G65" i="18"/>
  <c r="G83" i="18"/>
  <c r="G84" i="18" s="1"/>
  <c r="I26" i="20"/>
  <c r="H83" i="18"/>
  <c r="H65" i="18"/>
  <c r="T13" i="11"/>
  <c r="T19" i="11" s="1"/>
  <c r="T22" i="11" s="1"/>
  <c r="T61" i="20" s="1"/>
  <c r="R136" i="15"/>
  <c r="T58" i="20"/>
  <c r="Z20" i="13"/>
  <c r="X20" i="13"/>
  <c r="V20" i="13"/>
  <c r="W20" i="13"/>
  <c r="S58" i="20"/>
  <c r="R58" i="20"/>
  <c r="S51" i="20"/>
  <c r="R51" i="20"/>
  <c r="T51" i="20"/>
  <c r="R44" i="20"/>
  <c r="S44" i="20"/>
  <c r="T44" i="20"/>
  <c r="Q136" i="15"/>
  <c r="T105" i="15"/>
  <c r="T106" i="15" s="1"/>
  <c r="T4" i="20"/>
  <c r="Q105" i="15"/>
  <c r="Q106" i="15" s="1"/>
  <c r="Q4" i="20"/>
  <c r="R105" i="15"/>
  <c r="R106" i="15" s="1"/>
  <c r="R4" i="20"/>
  <c r="S105" i="15"/>
  <c r="S106" i="15" s="1"/>
  <c r="S4" i="20"/>
  <c r="T136" i="15"/>
  <c r="V96" i="13"/>
  <c r="W96" i="13"/>
  <c r="X96" i="13"/>
  <c r="Z96" i="13"/>
  <c r="S48" i="46" l="1"/>
  <c r="S64" i="47"/>
  <c r="S65" i="47" s="1"/>
  <c r="S66" i="47" s="1"/>
  <c r="T45" i="47"/>
  <c r="S46" i="47"/>
  <c r="S59" i="47"/>
  <c r="H28" i="20"/>
  <c r="H84" i="18"/>
  <c r="T61" i="46"/>
  <c r="R73" i="46"/>
  <c r="S73" i="46"/>
  <c r="S61" i="46"/>
  <c r="F49" i="1"/>
  <c r="E49" i="1" s="1"/>
  <c r="E48" i="1" s="1"/>
  <c r="E51" i="1" s="1"/>
  <c r="R61" i="46"/>
  <c r="G10" i="48"/>
  <c r="G11" i="48" s="1"/>
  <c r="G15" i="48" s="1"/>
  <c r="G95" i="48"/>
  <c r="G96" i="48" s="1"/>
  <c r="G100" i="48" s="1"/>
  <c r="J10" i="48"/>
  <c r="J95" i="48"/>
  <c r="J96" i="48" s="1"/>
  <c r="J100" i="48" s="1"/>
  <c r="H10" i="48"/>
  <c r="H11" i="48" s="1"/>
  <c r="H95" i="48"/>
  <c r="H96" i="48" s="1"/>
  <c r="H100" i="48" s="1"/>
  <c r="I10" i="48"/>
  <c r="I95" i="48"/>
  <c r="I96" i="48" s="1"/>
  <c r="I100" i="48" s="1"/>
  <c r="T45" i="7"/>
  <c r="T44" i="7" s="1"/>
  <c r="T47" i="7" s="1"/>
  <c r="U49" i="1"/>
  <c r="T49" i="1" s="1"/>
  <c r="R45" i="7"/>
  <c r="R44" i="7" s="1"/>
  <c r="R47" i="7" s="1"/>
  <c r="K49" i="1"/>
  <c r="J49" i="1" s="1"/>
  <c r="S45" i="7"/>
  <c r="S44" i="7" s="1"/>
  <c r="S47" i="7" s="1"/>
  <c r="P49" i="1"/>
  <c r="O49" i="1" s="1"/>
  <c r="H46" i="48"/>
  <c r="H47" i="48" s="1"/>
  <c r="H51" i="48" s="1"/>
  <c r="H109" i="48"/>
  <c r="H110" i="48" s="1"/>
  <c r="H114" i="48" s="1"/>
  <c r="H81" i="48"/>
  <c r="H82" i="48" s="1"/>
  <c r="H86" i="48" s="1"/>
  <c r="AV163" i="48"/>
  <c r="I109" i="48"/>
  <c r="I110" i="48" s="1"/>
  <c r="I114" i="48" s="1"/>
  <c r="I46" i="48"/>
  <c r="I47" i="48" s="1"/>
  <c r="I51" i="48" s="1"/>
  <c r="AZ163" i="48"/>
  <c r="I81" i="48"/>
  <c r="I82" i="48" s="1"/>
  <c r="I86" i="48" s="1"/>
  <c r="G81" i="48"/>
  <c r="G82" i="48" s="1"/>
  <c r="G86" i="48" s="1"/>
  <c r="AR163" i="48"/>
  <c r="G46" i="48"/>
  <c r="G47" i="48" s="1"/>
  <c r="G51" i="48" s="1"/>
  <c r="G109" i="48"/>
  <c r="G110" i="48" s="1"/>
  <c r="G114" i="48" s="1"/>
  <c r="J81" i="48"/>
  <c r="J82" i="48" s="1"/>
  <c r="J86" i="48" s="1"/>
  <c r="BD163" i="48"/>
  <c r="J109" i="48"/>
  <c r="J110" i="48" s="1"/>
  <c r="J114" i="48" s="1"/>
  <c r="J46" i="48"/>
  <c r="J47" i="48" s="1"/>
  <c r="I65" i="18"/>
  <c r="I83" i="18"/>
  <c r="G28" i="20"/>
  <c r="T60" i="20"/>
  <c r="J83" i="18"/>
  <c r="J84" i="18" s="1"/>
  <c r="J65" i="18"/>
  <c r="R22" i="11"/>
  <c r="R61" i="20" s="1"/>
  <c r="R60" i="20"/>
  <c r="S22" i="11"/>
  <c r="S61" i="20" s="1"/>
  <c r="S60" i="20"/>
  <c r="T22" i="10"/>
  <c r="T53" i="20"/>
  <c r="S22" i="10"/>
  <c r="S53" i="20"/>
  <c r="R22" i="10"/>
  <c r="R53" i="20"/>
  <c r="T22" i="7"/>
  <c r="T46" i="20"/>
  <c r="S22" i="7"/>
  <c r="S46" i="20"/>
  <c r="R22" i="7"/>
  <c r="R46" i="20"/>
  <c r="U23" i="15"/>
  <c r="U60" i="18"/>
  <c r="Z82" i="17"/>
  <c r="X82" i="17"/>
  <c r="X83" i="17" s="1"/>
  <c r="W82" i="17"/>
  <c r="W83" i="17" s="1"/>
  <c r="V82" i="17"/>
  <c r="V83" i="17" s="1"/>
  <c r="Z70" i="17"/>
  <c r="U70" i="18" s="1"/>
  <c r="X70" i="17"/>
  <c r="W70" i="17"/>
  <c r="V70" i="17"/>
  <c r="Z71" i="17"/>
  <c r="U71" i="18" s="1"/>
  <c r="W71" i="17"/>
  <c r="V71" i="17"/>
  <c r="X71" i="17"/>
  <c r="A71" i="18"/>
  <c r="Z81" i="14"/>
  <c r="A3" i="18"/>
  <c r="A4" i="18"/>
  <c r="A65" i="18"/>
  <c r="A67" i="18"/>
  <c r="A68" i="18"/>
  <c r="A73" i="18"/>
  <c r="A74" i="18"/>
  <c r="A75" i="18"/>
  <c r="A76" i="18"/>
  <c r="A78" i="18"/>
  <c r="A79" i="18"/>
  <c r="A81" i="16"/>
  <c r="A82" i="16"/>
  <c r="V81" i="14"/>
  <c r="W81" i="14"/>
  <c r="X81" i="14"/>
  <c r="A73" i="16"/>
  <c r="A74" i="16"/>
  <c r="A75" i="16"/>
  <c r="A77" i="16"/>
  <c r="A78" i="16"/>
  <c r="A61" i="16"/>
  <c r="A62" i="16"/>
  <c r="A67" i="16"/>
  <c r="U82" i="18" l="1"/>
  <c r="U27" i="20" s="1"/>
  <c r="Z83" i="17"/>
  <c r="T64" i="47"/>
  <c r="T65" i="47" s="1"/>
  <c r="T66" i="47" s="1"/>
  <c r="U45" i="47"/>
  <c r="T59" i="47"/>
  <c r="T46" i="47"/>
  <c r="I28" i="20"/>
  <c r="I84" i="18"/>
  <c r="G122" i="48"/>
  <c r="G118" i="48" s="1"/>
  <c r="I122" i="48"/>
  <c r="I118" i="48" s="1"/>
  <c r="H122" i="48"/>
  <c r="H118" i="48" s="1"/>
  <c r="D49" i="1"/>
  <c r="D48" i="1" s="1"/>
  <c r="D51" i="1" s="1"/>
  <c r="I11" i="48"/>
  <c r="H15" i="48"/>
  <c r="S49" i="1"/>
  <c r="T48" i="1"/>
  <c r="N49" i="1"/>
  <c r="O48" i="1"/>
  <c r="I49" i="1"/>
  <c r="J48" i="1"/>
  <c r="AZ109" i="48"/>
  <c r="BA163" i="48"/>
  <c r="BB163" i="48" s="1"/>
  <c r="BC163" i="48" s="1"/>
  <c r="AZ81" i="48"/>
  <c r="AZ95" i="48"/>
  <c r="AZ46" i="48"/>
  <c r="J51" i="48"/>
  <c r="J122" i="48" s="1"/>
  <c r="J118" i="48" s="1"/>
  <c r="BD95" i="48"/>
  <c r="BD109" i="48"/>
  <c r="BD81" i="48"/>
  <c r="BD46" i="48"/>
  <c r="BE163" i="48"/>
  <c r="BF163" i="48" s="1"/>
  <c r="BG163" i="48" s="1"/>
  <c r="AR46" i="48"/>
  <c r="AR95" i="48"/>
  <c r="AS163" i="48"/>
  <c r="AT163" i="48" s="1"/>
  <c r="AU163" i="48" s="1"/>
  <c r="AR109" i="48"/>
  <c r="AR81" i="48"/>
  <c r="AV46" i="48"/>
  <c r="AV81" i="48"/>
  <c r="AV109" i="48"/>
  <c r="AV95" i="48"/>
  <c r="AW163" i="48"/>
  <c r="AX163" i="48" s="1"/>
  <c r="AY163" i="48" s="1"/>
  <c r="S54" i="20"/>
  <c r="S68" i="47"/>
  <c r="R54" i="20"/>
  <c r="R68" i="47"/>
  <c r="T54" i="20"/>
  <c r="T68" i="47"/>
  <c r="R47" i="20"/>
  <c r="R63" i="46"/>
  <c r="T47" i="20"/>
  <c r="T63" i="46"/>
  <c r="S47" i="20"/>
  <c r="S63" i="46"/>
  <c r="K26" i="20"/>
  <c r="J28" i="20"/>
  <c r="L26" i="20"/>
  <c r="K83" i="18"/>
  <c r="K84" i="18" s="1"/>
  <c r="K65" i="18"/>
  <c r="U81" i="16"/>
  <c r="U22" i="20" s="1"/>
  <c r="A10" i="11"/>
  <c r="A3" i="11"/>
  <c r="A4" i="11"/>
  <c r="A6" i="11"/>
  <c r="A11" i="11"/>
  <c r="A19" i="11"/>
  <c r="A20" i="11"/>
  <c r="A22" i="11"/>
  <c r="A23" i="11"/>
  <c r="A3" i="10"/>
  <c r="A4" i="10"/>
  <c r="A6" i="10"/>
  <c r="A10" i="10"/>
  <c r="A11" i="10"/>
  <c r="A19" i="10"/>
  <c r="A20" i="10"/>
  <c r="A22" i="10"/>
  <c r="A23" i="10"/>
  <c r="A3" i="7"/>
  <c r="A4" i="7"/>
  <c r="A6" i="7"/>
  <c r="A10" i="7"/>
  <c r="A11" i="7"/>
  <c r="A20" i="7"/>
  <c r="A22" i="7"/>
  <c r="A23" i="7"/>
  <c r="A10" i="15"/>
  <c r="A11" i="15"/>
  <c r="A20" i="15"/>
  <c r="A22" i="15"/>
  <c r="A23" i="15"/>
  <c r="A24" i="15"/>
  <c r="A30" i="15"/>
  <c r="A31" i="15"/>
  <c r="A34" i="15"/>
  <c r="A35" i="15"/>
  <c r="A37" i="15"/>
  <c r="A38" i="15"/>
  <c r="A39" i="15"/>
  <c r="A40" i="15"/>
  <c r="A41" i="15"/>
  <c r="A43" i="15"/>
  <c r="A44" i="15"/>
  <c r="A50" i="15"/>
  <c r="A51" i="15"/>
  <c r="A53" i="15"/>
  <c r="A54" i="15"/>
  <c r="A56" i="15"/>
  <c r="A57" i="15"/>
  <c r="A70" i="15"/>
  <c r="A71" i="15"/>
  <c r="A73" i="15"/>
  <c r="A74" i="15"/>
  <c r="A76" i="15"/>
  <c r="A77" i="15"/>
  <c r="A79" i="15"/>
  <c r="A80" i="15"/>
  <c r="A82" i="15"/>
  <c r="A83" i="15"/>
  <c r="A88" i="15"/>
  <c r="A89" i="15"/>
  <c r="A95" i="15"/>
  <c r="A96" i="15"/>
  <c r="A97" i="15"/>
  <c r="A98" i="15"/>
  <c r="A100" i="15"/>
  <c r="A101" i="15"/>
  <c r="A102" i="15"/>
  <c r="A103" i="15"/>
  <c r="A105" i="15"/>
  <c r="A106" i="15"/>
  <c r="A132" i="15"/>
  <c r="A133" i="15"/>
  <c r="A134" i="15"/>
  <c r="A135" i="15"/>
  <c r="A136" i="15"/>
  <c r="U101" i="15"/>
  <c r="U100" i="15"/>
  <c r="U133" i="15"/>
  <c r="U134" i="15"/>
  <c r="U53" i="15"/>
  <c r="U38" i="15"/>
  <c r="U39" i="15"/>
  <c r="U54" i="15"/>
  <c r="U77" i="15"/>
  <c r="U80" i="15"/>
  <c r="U83" i="15"/>
  <c r="U30" i="15"/>
  <c r="U22" i="15"/>
  <c r="U96" i="15"/>
  <c r="V45" i="47" l="1"/>
  <c r="U64" i="47"/>
  <c r="U65" i="47" s="1"/>
  <c r="C49" i="1"/>
  <c r="C48" i="1" s="1"/>
  <c r="C51" i="1" s="1"/>
  <c r="J11" i="48"/>
  <c r="I15" i="48"/>
  <c r="T51" i="1"/>
  <c r="S48" i="1"/>
  <c r="S51" i="1" s="1"/>
  <c r="R49" i="1"/>
  <c r="J51" i="1"/>
  <c r="I48" i="1"/>
  <c r="I51" i="1" s="1"/>
  <c r="H49" i="1"/>
  <c r="O51" i="1"/>
  <c r="M49" i="1"/>
  <c r="N48" i="1"/>
  <c r="N51" i="1" s="1"/>
  <c r="AW109" i="48"/>
  <c r="AV110" i="48"/>
  <c r="AV114" i="48" s="1"/>
  <c r="AS109" i="48"/>
  <c r="AR110" i="48"/>
  <c r="AR114" i="48" s="1"/>
  <c r="BE95" i="48"/>
  <c r="BD96" i="48"/>
  <c r="BD100" i="48" s="1"/>
  <c r="BA95" i="48"/>
  <c r="AZ96" i="48"/>
  <c r="AZ100" i="48" s="1"/>
  <c r="AW81" i="48"/>
  <c r="AV82" i="48"/>
  <c r="AV86" i="48" s="1"/>
  <c r="BD47" i="48"/>
  <c r="BD51" i="48" s="1"/>
  <c r="BE46" i="48"/>
  <c r="BA81" i="48"/>
  <c r="AZ82" i="48"/>
  <c r="AZ86" i="48" s="1"/>
  <c r="AV47" i="48"/>
  <c r="AV51" i="48" s="1"/>
  <c r="AW46" i="48"/>
  <c r="AS95" i="48"/>
  <c r="AR96" i="48"/>
  <c r="AR100" i="48" s="1"/>
  <c r="BE81" i="48"/>
  <c r="BD82" i="48"/>
  <c r="BD86" i="48" s="1"/>
  <c r="AW95" i="48"/>
  <c r="AV96" i="48"/>
  <c r="AV100" i="48" s="1"/>
  <c r="AS81" i="48"/>
  <c r="AR82" i="48"/>
  <c r="AR86" i="48" s="1"/>
  <c r="AS46" i="48"/>
  <c r="AR47" i="48"/>
  <c r="AR51" i="48" s="1"/>
  <c r="BE109" i="48"/>
  <c r="BD110" i="48"/>
  <c r="BD114" i="48" s="1"/>
  <c r="BA46" i="48"/>
  <c r="AZ47" i="48"/>
  <c r="AZ51" i="48" s="1"/>
  <c r="BA109" i="48"/>
  <c r="AZ110" i="48"/>
  <c r="AZ114" i="48" s="1"/>
  <c r="K28" i="20"/>
  <c r="L83" i="18"/>
  <c r="L84" i="18" s="1"/>
  <c r="L65" i="18"/>
  <c r="U88" i="15"/>
  <c r="U89" i="15"/>
  <c r="U102" i="15"/>
  <c r="U135" i="15"/>
  <c r="U24" i="15"/>
  <c r="Z2" i="4"/>
  <c r="Y2" i="4"/>
  <c r="X2" i="4"/>
  <c r="W2" i="4"/>
  <c r="V2" i="4"/>
  <c r="U2" i="11"/>
  <c r="Z2" i="2"/>
  <c r="Y2" i="2"/>
  <c r="X2" i="2"/>
  <c r="W2" i="2"/>
  <c r="V2" i="2"/>
  <c r="U2" i="10"/>
  <c r="Z2" i="5"/>
  <c r="Y2" i="5"/>
  <c r="X2" i="5"/>
  <c r="W2" i="5"/>
  <c r="V2" i="5"/>
  <c r="Z2" i="1"/>
  <c r="Y2" i="1"/>
  <c r="X2" i="1"/>
  <c r="W2" i="1"/>
  <c r="V2" i="1"/>
  <c r="B49" i="1" l="1"/>
  <c r="B48" i="1" s="1"/>
  <c r="F48" i="1" s="1"/>
  <c r="V64" i="47"/>
  <c r="W45" i="47"/>
  <c r="AR122" i="48"/>
  <c r="AZ122" i="48"/>
  <c r="U90" i="15"/>
  <c r="AV122" i="48"/>
  <c r="BD122" i="48"/>
  <c r="U31" i="15"/>
  <c r="J15" i="48"/>
  <c r="R48" i="1"/>
  <c r="R51" i="1" s="1"/>
  <c r="Q49" i="1"/>
  <c r="Q48" i="1" s="1"/>
  <c r="G49" i="1"/>
  <c r="G48" i="1" s="1"/>
  <c r="H48" i="1"/>
  <c r="H51" i="1" s="1"/>
  <c r="AZ118" i="48"/>
  <c r="L49" i="1"/>
  <c r="L48" i="1" s="1"/>
  <c r="M48" i="1"/>
  <c r="M51" i="1" s="1"/>
  <c r="BD118" i="48"/>
  <c r="AX46" i="48"/>
  <c r="AW47" i="48"/>
  <c r="AW51" i="48" s="1"/>
  <c r="BF46" i="48"/>
  <c r="BE47" i="48"/>
  <c r="BE51" i="48" s="1"/>
  <c r="AR118" i="48"/>
  <c r="BF109" i="48"/>
  <c r="BE110" i="48"/>
  <c r="BE114" i="48" s="1"/>
  <c r="AT81" i="48"/>
  <c r="AS82" i="48"/>
  <c r="AS86" i="48" s="1"/>
  <c r="BF81" i="48"/>
  <c r="BE82" i="48"/>
  <c r="BE86" i="48" s="1"/>
  <c r="BA96" i="48"/>
  <c r="BA100" i="48" s="1"/>
  <c r="BB95" i="48"/>
  <c r="AT109" i="48"/>
  <c r="AS110" i="48"/>
  <c r="AS114" i="48" s="1"/>
  <c r="AV118" i="48"/>
  <c r="BB109" i="48"/>
  <c r="BA110" i="48"/>
  <c r="BA114" i="48" s="1"/>
  <c r="BA47" i="48"/>
  <c r="BA51" i="48" s="1"/>
  <c r="BB46" i="48"/>
  <c r="AT46" i="48"/>
  <c r="AS47" i="48"/>
  <c r="AS51" i="48" s="1"/>
  <c r="AX95" i="48"/>
  <c r="AW96" i="48"/>
  <c r="AW100" i="48" s="1"/>
  <c r="AT95" i="48"/>
  <c r="AS96" i="48"/>
  <c r="AS100" i="48" s="1"/>
  <c r="BA82" i="48"/>
  <c r="BA86" i="48" s="1"/>
  <c r="BB81" i="48"/>
  <c r="AX81" i="48"/>
  <c r="AW82" i="48"/>
  <c r="AW86" i="48" s="1"/>
  <c r="BF95" i="48"/>
  <c r="BE96" i="48"/>
  <c r="BE100" i="48" s="1"/>
  <c r="AX109" i="48"/>
  <c r="AW110" i="48"/>
  <c r="AW114" i="48" s="1"/>
  <c r="M26" i="20"/>
  <c r="N26" i="20"/>
  <c r="L28" i="20"/>
  <c r="M83" i="18"/>
  <c r="M84" i="18" s="1"/>
  <c r="M65" i="18"/>
  <c r="U136" i="15"/>
  <c r="Y75" i="14"/>
  <c r="X75" i="14"/>
  <c r="W75" i="14"/>
  <c r="U37" i="18"/>
  <c r="Z102" i="13"/>
  <c r="AE103" i="13" s="1"/>
  <c r="X102" i="13"/>
  <c r="W102" i="13"/>
  <c r="AB103" i="13" s="1"/>
  <c r="V102" i="13"/>
  <c r="V103" i="13" s="1"/>
  <c r="X135" i="13"/>
  <c r="Y134" i="13" s="1"/>
  <c r="W135" i="13"/>
  <c r="V135" i="13"/>
  <c r="X24" i="13"/>
  <c r="X31" i="13" s="1"/>
  <c r="X34" i="13" s="1"/>
  <c r="W24" i="13"/>
  <c r="W31" i="13" s="1"/>
  <c r="W34" i="13" s="1"/>
  <c r="V24" i="13"/>
  <c r="V31" i="13" s="1"/>
  <c r="V34" i="13" s="1"/>
  <c r="Y38" i="13"/>
  <c r="Y23" i="13"/>
  <c r="Y22" i="13"/>
  <c r="Z24" i="13"/>
  <c r="Z31" i="13" s="1"/>
  <c r="Z34" i="13" s="1"/>
  <c r="Z135" i="13"/>
  <c r="Y100" i="13"/>
  <c r="B51" i="1" l="1"/>
  <c r="F51" i="1" s="1"/>
  <c r="W64" i="47"/>
  <c r="W65" i="47" s="1"/>
  <c r="X45" i="47"/>
  <c r="AG26" i="2"/>
  <c r="BA122" i="48"/>
  <c r="AS122" i="48"/>
  <c r="AW122" i="48"/>
  <c r="BE122" i="48"/>
  <c r="Q51" i="1"/>
  <c r="U51" i="1" s="1"/>
  <c r="U48" i="1"/>
  <c r="L51" i="1"/>
  <c r="P51" i="1" s="1"/>
  <c r="P48" i="1"/>
  <c r="G51" i="1"/>
  <c r="K51" i="1" s="1"/>
  <c r="K48" i="1"/>
  <c r="AU95" i="48"/>
  <c r="AU96" i="48" s="1"/>
  <c r="AU100" i="48" s="1"/>
  <c r="AT96" i="48"/>
  <c r="AT100" i="48" s="1"/>
  <c r="BC81" i="48"/>
  <c r="BC82" i="48" s="1"/>
  <c r="BC86" i="48" s="1"/>
  <c r="BB82" i="48"/>
  <c r="BB86" i="48" s="1"/>
  <c r="BC46" i="48"/>
  <c r="BC47" i="48" s="1"/>
  <c r="BC51" i="48" s="1"/>
  <c r="BB47" i="48"/>
  <c r="BB51" i="48" s="1"/>
  <c r="AU81" i="48"/>
  <c r="AU82" i="48" s="1"/>
  <c r="AU86" i="48" s="1"/>
  <c r="AT82" i="48"/>
  <c r="AT86" i="48" s="1"/>
  <c r="AY81" i="48"/>
  <c r="AY82" i="48" s="1"/>
  <c r="AY86" i="48" s="1"/>
  <c r="AX82" i="48"/>
  <c r="AX86" i="48" s="1"/>
  <c r="BC95" i="48"/>
  <c r="BC96" i="48" s="1"/>
  <c r="BC100" i="48" s="1"/>
  <c r="BB96" i="48"/>
  <c r="BB100" i="48" s="1"/>
  <c r="AY95" i="48"/>
  <c r="AY96" i="48" s="1"/>
  <c r="AY100" i="48" s="1"/>
  <c r="AX96" i="48"/>
  <c r="AX100" i="48" s="1"/>
  <c r="AS118" i="48"/>
  <c r="BE118" i="48"/>
  <c r="BG46" i="48"/>
  <c r="BG47" i="48" s="1"/>
  <c r="BG51" i="48" s="1"/>
  <c r="BF47" i="48"/>
  <c r="BF51" i="48" s="1"/>
  <c r="AY109" i="48"/>
  <c r="AY110" i="48" s="1"/>
  <c r="AY114" i="48" s="1"/>
  <c r="AX110" i="48"/>
  <c r="AX114" i="48" s="1"/>
  <c r="BC109" i="48"/>
  <c r="BC110" i="48" s="1"/>
  <c r="BC114" i="48" s="1"/>
  <c r="BB110" i="48"/>
  <c r="BB114" i="48" s="1"/>
  <c r="BG95" i="48"/>
  <c r="BG96" i="48" s="1"/>
  <c r="BG100" i="48" s="1"/>
  <c r="BF96" i="48"/>
  <c r="BF100" i="48" s="1"/>
  <c r="AW118" i="48"/>
  <c r="BA118" i="48"/>
  <c r="AU109" i="48"/>
  <c r="AU110" i="48" s="1"/>
  <c r="AU114" i="48" s="1"/>
  <c r="AT110" i="48"/>
  <c r="AT114" i="48" s="1"/>
  <c r="BG81" i="48"/>
  <c r="BG82" i="48" s="1"/>
  <c r="BG86" i="48" s="1"/>
  <c r="BF82" i="48"/>
  <c r="BF86" i="48" s="1"/>
  <c r="BG109" i="48"/>
  <c r="BG110" i="48" s="1"/>
  <c r="BG114" i="48" s="1"/>
  <c r="BF110" i="48"/>
  <c r="BF114" i="48" s="1"/>
  <c r="AU46" i="48"/>
  <c r="AU47" i="48" s="1"/>
  <c r="AU51" i="48" s="1"/>
  <c r="AT47" i="48"/>
  <c r="AT51" i="48" s="1"/>
  <c r="AY46" i="48"/>
  <c r="AY47" i="48" s="1"/>
  <c r="AY51" i="48" s="1"/>
  <c r="AX47" i="48"/>
  <c r="AX51" i="48" s="1"/>
  <c r="X118" i="13"/>
  <c r="X121" i="13" s="1"/>
  <c r="Z118" i="13"/>
  <c r="V118" i="13"/>
  <c r="V121" i="13" s="1"/>
  <c r="W118" i="13"/>
  <c r="W121" i="13" s="1"/>
  <c r="M28" i="20"/>
  <c r="Z103" i="13"/>
  <c r="U103" i="15" s="1"/>
  <c r="W103" i="13"/>
  <c r="X103" i="13"/>
  <c r="N83" i="18"/>
  <c r="N84" i="18" s="1"/>
  <c r="N65" i="18"/>
  <c r="Y70" i="17"/>
  <c r="Y71" i="17"/>
  <c r="U19" i="20"/>
  <c r="U25" i="18"/>
  <c r="U46" i="18"/>
  <c r="U62" i="18"/>
  <c r="U58" i="18"/>
  <c r="Y82" i="17"/>
  <c r="Y83" i="17" s="1"/>
  <c r="Z136" i="13"/>
  <c r="V136" i="13"/>
  <c r="W136" i="13"/>
  <c r="X136" i="13"/>
  <c r="Y135" i="13"/>
  <c r="Y24" i="13"/>
  <c r="X64" i="47" l="1"/>
  <c r="X65" i="47" s="1"/>
  <c r="X67" i="47" s="1"/>
  <c r="Y45" i="47"/>
  <c r="AR26" i="2" s="1"/>
  <c r="AG27" i="2"/>
  <c r="AU122" i="48"/>
  <c r="AX122" i="48"/>
  <c r="AY122" i="48"/>
  <c r="AT122" i="48"/>
  <c r="BF122" i="48"/>
  <c r="BB122" i="48"/>
  <c r="BG122" i="48"/>
  <c r="BC122" i="48"/>
  <c r="AT118" i="48"/>
  <c r="BF118" i="48"/>
  <c r="BC118" i="48"/>
  <c r="AX118" i="48"/>
  <c r="BG118" i="48"/>
  <c r="AU118" i="48"/>
  <c r="AY118" i="48"/>
  <c r="BB118" i="48"/>
  <c r="W123" i="13"/>
  <c r="V123" i="13"/>
  <c r="X123" i="13"/>
  <c r="Z121" i="13"/>
  <c r="U121" i="15" s="1"/>
  <c r="U118" i="15"/>
  <c r="U123" i="15" s="1"/>
  <c r="O26" i="20"/>
  <c r="N28" i="20"/>
  <c r="O83" i="18"/>
  <c r="O84" i="18" s="1"/>
  <c r="O65" i="18"/>
  <c r="P26" i="20"/>
  <c r="Y136" i="13"/>
  <c r="Y96" i="13"/>
  <c r="U76" i="15"/>
  <c r="U79" i="15"/>
  <c r="U64" i="18"/>
  <c r="U48" i="18"/>
  <c r="Y31" i="13"/>
  <c r="Y81" i="14"/>
  <c r="X202" i="31"/>
  <c r="X201" i="31" s="1"/>
  <c r="Y101" i="13"/>
  <c r="Z202" i="31"/>
  <c r="U16" i="15"/>
  <c r="U15" i="15"/>
  <c r="U14" i="15"/>
  <c r="U13" i="15"/>
  <c r="AP26" i="2" l="1"/>
  <c r="AQ26" i="2"/>
  <c r="AP4" i="13"/>
  <c r="Y3" i="10"/>
  <c r="Y8" i="10"/>
  <c r="Y4" i="10"/>
  <c r="AM26" i="2"/>
  <c r="AM27" i="2"/>
  <c r="AK26" i="2"/>
  <c r="AL26" i="2"/>
  <c r="AK27" i="2"/>
  <c r="AL27" i="2"/>
  <c r="X3" i="10"/>
  <c r="AO4" i="13"/>
  <c r="X4" i="10"/>
  <c r="X8" i="10"/>
  <c r="X19" i="10"/>
  <c r="AO14" i="13"/>
  <c r="AF27" i="2"/>
  <c r="AF26" i="2"/>
  <c r="Y64" i="47"/>
  <c r="Y65" i="47" s="1"/>
  <c r="Y67" i="47" s="1"/>
  <c r="Z45" i="47"/>
  <c r="U14" i="20"/>
  <c r="U77" i="46"/>
  <c r="Z123" i="13"/>
  <c r="U202" i="32"/>
  <c r="Z201" i="31"/>
  <c r="O28" i="20"/>
  <c r="P83" i="18"/>
  <c r="P84" i="18" s="1"/>
  <c r="P65" i="18"/>
  <c r="U37" i="15"/>
  <c r="U43" i="15"/>
  <c r="U20" i="15"/>
  <c r="Y37" i="13"/>
  <c r="Y202" i="31" s="1"/>
  <c r="Y201" i="31" s="1"/>
  <c r="AT26" i="2" l="1"/>
  <c r="AQ27" i="2"/>
  <c r="AR27" i="2"/>
  <c r="AO27" i="2"/>
  <c r="AP27" i="2"/>
  <c r="AO26" i="2"/>
  <c r="Y4" i="15"/>
  <c r="Y47" i="47" s="1"/>
  <c r="Y68" i="47" s="1"/>
  <c r="Y23" i="10"/>
  <c r="Y19" i="10"/>
  <c r="X23" i="10"/>
  <c r="X14" i="15"/>
  <c r="AO20" i="13"/>
  <c r="AO34" i="13" s="1"/>
  <c r="AL4" i="13"/>
  <c r="X4" i="15"/>
  <c r="X47" i="47" s="1"/>
  <c r="AO10" i="13"/>
  <c r="AT11" i="13" s="1"/>
  <c r="AM4" i="13"/>
  <c r="AK4" i="13"/>
  <c r="Z64" i="47"/>
  <c r="AA45" i="47"/>
  <c r="X22" i="10"/>
  <c r="X54" i="20" s="1"/>
  <c r="AG4" i="13"/>
  <c r="U201" i="32"/>
  <c r="P28" i="20"/>
  <c r="X97" i="13"/>
  <c r="V97" i="13"/>
  <c r="Z97" i="13"/>
  <c r="W97" i="13"/>
  <c r="W40" i="13"/>
  <c r="W46" i="13" s="1"/>
  <c r="W56" i="13" s="1"/>
  <c r="W60" i="13" s="1"/>
  <c r="X40" i="13"/>
  <c r="X46" i="13" s="1"/>
  <c r="X56" i="13" s="1"/>
  <c r="X60" i="13" s="1"/>
  <c r="Z40" i="13"/>
  <c r="Z46" i="13" s="1"/>
  <c r="Z56" i="13" s="1"/>
  <c r="Z60" i="13" s="1"/>
  <c r="V40" i="13"/>
  <c r="V46" i="13" s="1"/>
  <c r="V56" i="13" s="1"/>
  <c r="V60" i="13" s="1"/>
  <c r="AB45" i="47" l="1"/>
  <c r="AC45" i="47" s="1"/>
  <c r="AD45" i="47" s="1"/>
  <c r="Y59" i="47"/>
  <c r="Y48" i="47"/>
  <c r="X59" i="47"/>
  <c r="X68" i="47"/>
  <c r="AT27" i="2"/>
  <c r="Y14" i="15"/>
  <c r="AO97" i="13"/>
  <c r="AN97" i="13" s="1"/>
  <c r="AO118" i="13"/>
  <c r="AO121" i="13" s="1"/>
  <c r="AO123" i="13" s="1"/>
  <c r="AO40" i="13"/>
  <c r="AT41" i="13" s="1"/>
  <c r="AO74" i="14"/>
  <c r="AO69" i="17"/>
  <c r="AO77" i="17"/>
  <c r="AO74" i="17"/>
  <c r="AO105" i="13"/>
  <c r="AO106" i="13" s="1"/>
  <c r="AO75" i="17"/>
  <c r="AO76" i="17"/>
  <c r="X76" i="18" s="1"/>
  <c r="AO79" i="17"/>
  <c r="AO78" i="17"/>
  <c r="AO68" i="17"/>
  <c r="AO35" i="13"/>
  <c r="X35" i="15" s="1"/>
  <c r="Y20" i="10"/>
  <c r="Y13" i="10"/>
  <c r="Y22" i="10"/>
  <c r="AM10" i="13"/>
  <c r="AL10" i="13"/>
  <c r="AK10" i="13"/>
  <c r="AB64" i="47"/>
  <c r="X10" i="15"/>
  <c r="X20" i="15"/>
  <c r="AN4" i="13"/>
  <c r="AO174" i="13"/>
  <c r="AA64" i="47"/>
  <c r="Z50" i="13"/>
  <c r="Z63" i="13" s="1"/>
  <c r="Z69" i="13" s="1"/>
  <c r="Z4" i="14"/>
  <c r="X4" i="14"/>
  <c r="X50" i="13"/>
  <c r="W4" i="14"/>
  <c r="W50" i="13"/>
  <c r="W70" i="13" s="1"/>
  <c r="V50" i="13"/>
  <c r="V4" i="14"/>
  <c r="X44" i="13"/>
  <c r="V44" i="13"/>
  <c r="W41" i="13"/>
  <c r="Z41" i="13"/>
  <c r="X41" i="13"/>
  <c r="B84" i="17"/>
  <c r="B65" i="17"/>
  <c r="V41" i="13"/>
  <c r="AA41" i="13"/>
  <c r="AC64" i="47" l="1"/>
  <c r="AD64" i="47"/>
  <c r="AE45" i="47"/>
  <c r="AF45" i="47" s="1"/>
  <c r="AF64" i="47" s="1"/>
  <c r="AN84" i="17"/>
  <c r="AV4" i="13"/>
  <c r="AV14" i="13"/>
  <c r="AO98" i="13"/>
  <c r="AR11" i="13"/>
  <c r="AQ11" i="13"/>
  <c r="AO44" i="13"/>
  <c r="AO46" i="13"/>
  <c r="AN10" i="13"/>
  <c r="Y43" i="15"/>
  <c r="AK68" i="17"/>
  <c r="AK105" i="13"/>
  <c r="AK106" i="13" s="1"/>
  <c r="AK77" i="17"/>
  <c r="AM11" i="13"/>
  <c r="AM76" i="17"/>
  <c r="AM69" i="17"/>
  <c r="AM105" i="13"/>
  <c r="AM79" i="17"/>
  <c r="AM74" i="17"/>
  <c r="AM68" i="17"/>
  <c r="AM78" i="17"/>
  <c r="AM77" i="17"/>
  <c r="AM75" i="17"/>
  <c r="AM35" i="13"/>
  <c r="AM98" i="13"/>
  <c r="AM74" i="14"/>
  <c r="AK75" i="17"/>
  <c r="AK74" i="17"/>
  <c r="AK98" i="13"/>
  <c r="AK74" i="14"/>
  <c r="AK78" i="17"/>
  <c r="AK69" i="17"/>
  <c r="AK79" i="17"/>
  <c r="AK35" i="13"/>
  <c r="AK76" i="17"/>
  <c r="AL79" i="17"/>
  <c r="AL74" i="17"/>
  <c r="AL68" i="17"/>
  <c r="AL78" i="17"/>
  <c r="AL77" i="17"/>
  <c r="AL76" i="17"/>
  <c r="AL69" i="17"/>
  <c r="AL74" i="14"/>
  <c r="AL75" i="17"/>
  <c r="AL105" i="13"/>
  <c r="AL35" i="13"/>
  <c r="AL98" i="13"/>
  <c r="X34" i="15"/>
  <c r="X172" i="15" s="1"/>
  <c r="X118" i="15"/>
  <c r="X123" i="15" s="1"/>
  <c r="Z70" i="13"/>
  <c r="Y54" i="20"/>
  <c r="W63" i="13"/>
  <c r="W69" i="13" s="1"/>
  <c r="Y4" i="14"/>
  <c r="X63" i="13"/>
  <c r="X70" i="13"/>
  <c r="V70" i="13"/>
  <c r="V63" i="13"/>
  <c r="V69" i="13" s="1"/>
  <c r="W73" i="13"/>
  <c r="U41" i="15"/>
  <c r="C65" i="17"/>
  <c r="C84" i="17"/>
  <c r="Q5" i="18"/>
  <c r="W51" i="13"/>
  <c r="AE64" i="47" l="1"/>
  <c r="AV10" i="13"/>
  <c r="AS11" i="13"/>
  <c r="AO4" i="14"/>
  <c r="AO56" i="13"/>
  <c r="AT57" i="13" s="1"/>
  <c r="AO50" i="13"/>
  <c r="AT51" i="13" s="1"/>
  <c r="AN76" i="17"/>
  <c r="AN79" i="17"/>
  <c r="AN75" i="17"/>
  <c r="AN105" i="13"/>
  <c r="AN78" i="17"/>
  <c r="AN74" i="17"/>
  <c r="AN69" i="17"/>
  <c r="AN77" i="17"/>
  <c r="AN68" i="17"/>
  <c r="AN74" i="14"/>
  <c r="AN98" i="13"/>
  <c r="AM106" i="13"/>
  <c r="AL106" i="13"/>
  <c r="X74" i="16"/>
  <c r="X68" i="18"/>
  <c r="X8" i="18"/>
  <c r="X121" i="15"/>
  <c r="X69" i="18"/>
  <c r="X9" i="18"/>
  <c r="X75" i="18"/>
  <c r="X14" i="18"/>
  <c r="X69" i="13"/>
  <c r="W64" i="13"/>
  <c r="W71" i="13"/>
  <c r="W29" i="14"/>
  <c r="W59" i="14" s="1"/>
  <c r="W74" i="13"/>
  <c r="Q26" i="20"/>
  <c r="Q15" i="18"/>
  <c r="F84" i="17"/>
  <c r="Q85" i="18" s="1"/>
  <c r="Q29" i="20" s="1"/>
  <c r="Q83" i="18"/>
  <c r="D84" i="17"/>
  <c r="D65" i="17"/>
  <c r="W57" i="13"/>
  <c r="AV79" i="17" l="1"/>
  <c r="AV74" i="17"/>
  <c r="AV68" i="17"/>
  <c r="AV78" i="17"/>
  <c r="AV77" i="17"/>
  <c r="AV76" i="17"/>
  <c r="AV69" i="17"/>
  <c r="AV75" i="17"/>
  <c r="AV74" i="14"/>
  <c r="AV105" i="13"/>
  <c r="AV11" i="13"/>
  <c r="AN106" i="13"/>
  <c r="AO73" i="13"/>
  <c r="AO70" i="13"/>
  <c r="AO63" i="13"/>
  <c r="AT64" i="13" s="1"/>
  <c r="AO71" i="13"/>
  <c r="AO60" i="13"/>
  <c r="AO74" i="13"/>
  <c r="AO29" i="14"/>
  <c r="AN4" i="14"/>
  <c r="AN29" i="14" s="1"/>
  <c r="X41" i="16"/>
  <c r="X33" i="16"/>
  <c r="Q28" i="20"/>
  <c r="Q84" i="18"/>
  <c r="X73" i="13"/>
  <c r="X29" i="14"/>
  <c r="V73" i="13"/>
  <c r="E84" i="17"/>
  <c r="Q37" i="20"/>
  <c r="W77" i="14"/>
  <c r="W82" i="14" s="1"/>
  <c r="X51" i="13"/>
  <c r="G65" i="17"/>
  <c r="G84" i="17"/>
  <c r="E65" i="17"/>
  <c r="F65" i="17"/>
  <c r="Q27" i="18"/>
  <c r="Q65" i="18" s="1"/>
  <c r="V51" i="13"/>
  <c r="AA51" i="13"/>
  <c r="AV106" i="13" l="1"/>
  <c r="AO69" i="13"/>
  <c r="AN77" i="14"/>
  <c r="AN59" i="14"/>
  <c r="AO77" i="14"/>
  <c r="AO59" i="14"/>
  <c r="X70" i="18"/>
  <c r="X59" i="14"/>
  <c r="V64" i="13"/>
  <c r="AA64" i="13"/>
  <c r="X64" i="13"/>
  <c r="V71" i="13"/>
  <c r="V29" i="14"/>
  <c r="V59" i="14" s="1"/>
  <c r="V62" i="14" s="1"/>
  <c r="X74" i="13"/>
  <c r="X71" i="13"/>
  <c r="V74" i="13"/>
  <c r="W78" i="14"/>
  <c r="W79" i="14"/>
  <c r="X57" i="13"/>
  <c r="H84" i="17"/>
  <c r="H65" i="17"/>
  <c r="R5" i="18"/>
  <c r="V57" i="13"/>
  <c r="AA57" i="13"/>
  <c r="AN82" i="14" l="1"/>
  <c r="AN78" i="14"/>
  <c r="AN79" i="14"/>
  <c r="AO79" i="14"/>
  <c r="AO78" i="14"/>
  <c r="AO82" i="14"/>
  <c r="X100" i="15"/>
  <c r="V77" i="14"/>
  <c r="V82" i="14" s="1"/>
  <c r="V64" i="14"/>
  <c r="W61" i="14"/>
  <c r="W62" i="14" s="1"/>
  <c r="R26" i="20"/>
  <c r="R83" i="18"/>
  <c r="K84" i="17"/>
  <c r="R85" i="18" s="1"/>
  <c r="R29" i="20" s="1"/>
  <c r="R15" i="18"/>
  <c r="I65" i="17"/>
  <c r="I84" i="17"/>
  <c r="X77" i="14"/>
  <c r="X102" i="15" l="1"/>
  <c r="X105" i="15"/>
  <c r="X31" i="18"/>
  <c r="R28" i="20"/>
  <c r="R84" i="18"/>
  <c r="V79" i="14"/>
  <c r="V78" i="14"/>
  <c r="W64" i="14"/>
  <c r="X61" i="14"/>
  <c r="X62" i="14" s="1"/>
  <c r="R37" i="20"/>
  <c r="J84" i="17"/>
  <c r="K65" i="17"/>
  <c r="R27" i="18"/>
  <c r="R65" i="18" s="1"/>
  <c r="J65" i="17"/>
  <c r="L65" i="17"/>
  <c r="L84" i="17"/>
  <c r="X78" i="14"/>
  <c r="X79" i="14"/>
  <c r="X82" i="14"/>
  <c r="U20" i="11"/>
  <c r="U6" i="11"/>
  <c r="U6" i="10"/>
  <c r="U20" i="10"/>
  <c r="X106" i="15" l="1"/>
  <c r="Y61" i="14"/>
  <c r="X64" i="14"/>
  <c r="Q40" i="20"/>
  <c r="Q39" i="20"/>
  <c r="S5" i="18"/>
  <c r="M65" i="17"/>
  <c r="M84" i="17"/>
  <c r="U51" i="20"/>
  <c r="U58" i="20"/>
  <c r="Y19" i="4"/>
  <c r="AD20" i="4" s="1"/>
  <c r="U14" i="8"/>
  <c r="U6" i="8"/>
  <c r="U5" i="46" s="1"/>
  <c r="U7" i="8"/>
  <c r="U6" i="46" s="1"/>
  <c r="U8" i="8"/>
  <c r="U7" i="46" s="1"/>
  <c r="U5" i="8"/>
  <c r="U4" i="46" s="1"/>
  <c r="U3" i="46" s="1"/>
  <c r="U52" i="46" l="1"/>
  <c r="U67" i="46" s="1"/>
  <c r="U54" i="46"/>
  <c r="U69" i="46" s="1"/>
  <c r="U53" i="46"/>
  <c r="U68" i="46" s="1"/>
  <c r="U51" i="46"/>
  <c r="U30" i="46"/>
  <c r="U31" i="46" s="1"/>
  <c r="U13" i="46"/>
  <c r="S26" i="20"/>
  <c r="X8" i="4"/>
  <c r="X15" i="4"/>
  <c r="X10" i="4"/>
  <c r="AC11" i="4" s="1"/>
  <c r="X26" i="4"/>
  <c r="X4" i="4"/>
  <c r="X5" i="13"/>
  <c r="Z8" i="4"/>
  <c r="U8" i="11" s="1"/>
  <c r="Z10" i="4"/>
  <c r="AE11" i="4" s="1"/>
  <c r="Z15" i="4"/>
  <c r="U15" i="11" s="1"/>
  <c r="Z4" i="4"/>
  <c r="U4" i="11" s="1"/>
  <c r="U59" i="20" s="1"/>
  <c r="Z5" i="13"/>
  <c r="V8" i="4"/>
  <c r="V10" i="4"/>
  <c r="V15" i="4"/>
  <c r="V26" i="4"/>
  <c r="V4" i="4"/>
  <c r="AA4" i="4"/>
  <c r="V5" i="13"/>
  <c r="W8" i="4"/>
  <c r="W15" i="4"/>
  <c r="W10" i="4"/>
  <c r="AB11" i="4" s="1"/>
  <c r="W26" i="4"/>
  <c r="W4" i="4"/>
  <c r="W5" i="13"/>
  <c r="X8" i="2"/>
  <c r="X15" i="2"/>
  <c r="X10" i="2"/>
  <c r="AC11" i="2" s="1"/>
  <c r="X22" i="2"/>
  <c r="AC23" i="2" s="1"/>
  <c r="X26" i="2"/>
  <c r="X4" i="2"/>
  <c r="X4" i="13"/>
  <c r="Z8" i="2"/>
  <c r="U8" i="10" s="1"/>
  <c r="Z10" i="2"/>
  <c r="AE11" i="2" s="1"/>
  <c r="Z15" i="2"/>
  <c r="U15" i="10" s="1"/>
  <c r="Z22" i="2"/>
  <c r="AE23" i="2" s="1"/>
  <c r="Z4" i="2"/>
  <c r="U4" i="10" s="1"/>
  <c r="U52" i="20" s="1"/>
  <c r="Z4" i="13"/>
  <c r="V8" i="2"/>
  <c r="V15" i="2"/>
  <c r="V10" i="2"/>
  <c r="V22" i="2"/>
  <c r="V26" i="2"/>
  <c r="V4" i="2"/>
  <c r="V4" i="13"/>
  <c r="W8" i="2"/>
  <c r="W15" i="2"/>
  <c r="W10" i="2"/>
  <c r="AB11" i="2" s="1"/>
  <c r="W26" i="2"/>
  <c r="W4" i="2"/>
  <c r="W22" i="2"/>
  <c r="AB23" i="2" s="1"/>
  <c r="W4" i="13"/>
  <c r="Y27" i="4"/>
  <c r="Z27" i="4" s="1"/>
  <c r="Y20" i="4"/>
  <c r="Y15" i="13"/>
  <c r="Y27" i="2"/>
  <c r="Z27" i="2" s="1"/>
  <c r="Y20" i="2"/>
  <c r="Y14" i="13"/>
  <c r="S15" i="18"/>
  <c r="N84" i="17"/>
  <c r="N65" i="17"/>
  <c r="Q65" i="14"/>
  <c r="P84" i="17"/>
  <c r="S85" i="18" s="1"/>
  <c r="S29" i="20" s="1"/>
  <c r="S83" i="18"/>
  <c r="X22" i="4"/>
  <c r="AC23" i="4" s="1"/>
  <c r="V22" i="4"/>
  <c r="Z22" i="4"/>
  <c r="AE23" i="4" s="1"/>
  <c r="W22" i="4"/>
  <c r="AB23" i="4" s="1"/>
  <c r="Y3" i="2"/>
  <c r="AD4" i="2" s="1"/>
  <c r="S28" i="20" l="1"/>
  <c r="S84" i="18"/>
  <c r="U75" i="46"/>
  <c r="U84" i="46"/>
  <c r="U74" i="46"/>
  <c r="U83" i="46"/>
  <c r="U76" i="46"/>
  <c r="U85" i="46"/>
  <c r="U66" i="46"/>
  <c r="U82" i="46" s="1"/>
  <c r="U60" i="46"/>
  <c r="U44" i="46"/>
  <c r="U6" i="15"/>
  <c r="U5" i="15"/>
  <c r="U65" i="14"/>
  <c r="Y8" i="4"/>
  <c r="Y10" i="4"/>
  <c r="Y15" i="4"/>
  <c r="Y26" i="4"/>
  <c r="Z26" i="4" s="1"/>
  <c r="Y4" i="4"/>
  <c r="Y5" i="13"/>
  <c r="V11" i="2"/>
  <c r="AA11" i="2"/>
  <c r="V23" i="2"/>
  <c r="AA23" i="2"/>
  <c r="Z23" i="2"/>
  <c r="U23" i="10" s="1"/>
  <c r="Z11" i="2"/>
  <c r="U11" i="10" s="1"/>
  <c r="U10" i="10"/>
  <c r="U13" i="10" s="1"/>
  <c r="U19" i="10" s="1"/>
  <c r="X11" i="2"/>
  <c r="W23" i="2"/>
  <c r="W11" i="2"/>
  <c r="Y8" i="2"/>
  <c r="Y10" i="2"/>
  <c r="Y15" i="2"/>
  <c r="Y26" i="2"/>
  <c r="Z26" i="2" s="1"/>
  <c r="Y4" i="2"/>
  <c r="Y4" i="13"/>
  <c r="Y22" i="2"/>
  <c r="AD23" i="2" s="1"/>
  <c r="X23" i="2"/>
  <c r="X11" i="4"/>
  <c r="W23" i="4"/>
  <c r="V11" i="4"/>
  <c r="AA11" i="4"/>
  <c r="X23" i="4"/>
  <c r="V23" i="4"/>
  <c r="AA23" i="4"/>
  <c r="W11" i="4"/>
  <c r="Z23" i="4"/>
  <c r="U23" i="11" s="1"/>
  <c r="U10" i="11"/>
  <c r="U13" i="11" s="1"/>
  <c r="U19" i="11" s="1"/>
  <c r="Z11" i="4"/>
  <c r="U11" i="11" s="1"/>
  <c r="O84" i="17"/>
  <c r="S37" i="20"/>
  <c r="R65" i="14"/>
  <c r="P65" i="17"/>
  <c r="O65" i="17"/>
  <c r="S27" i="18"/>
  <c r="S65" i="18" s="1"/>
  <c r="Q84" i="17"/>
  <c r="Q65" i="17"/>
  <c r="U4" i="15"/>
  <c r="U47" i="47" s="1"/>
  <c r="Y102" i="13"/>
  <c r="Y22" i="4"/>
  <c r="AD23" i="4" s="1"/>
  <c r="U48" i="46" l="1"/>
  <c r="Y11" i="4"/>
  <c r="AD11" i="4"/>
  <c r="U59" i="47"/>
  <c r="U46" i="47"/>
  <c r="Y11" i="2"/>
  <c r="AD11" i="2"/>
  <c r="U73" i="46"/>
  <c r="U22" i="11"/>
  <c r="U61" i="20" s="1"/>
  <c r="U45" i="7"/>
  <c r="U44" i="7" s="1"/>
  <c r="Z49" i="1"/>
  <c r="Y49" i="1" s="1"/>
  <c r="X49" i="1" s="1"/>
  <c r="U53" i="20"/>
  <c r="U67" i="47"/>
  <c r="U66" i="47" s="1"/>
  <c r="Y23" i="2"/>
  <c r="AI5" i="13"/>
  <c r="AI26" i="4"/>
  <c r="U22" i="10"/>
  <c r="AD5" i="13"/>
  <c r="Y103" i="13"/>
  <c r="U60" i="20"/>
  <c r="Y23" i="4"/>
  <c r="R40" i="20"/>
  <c r="R39" i="20"/>
  <c r="R84" i="17"/>
  <c r="R65" i="17"/>
  <c r="S65" i="14"/>
  <c r="T5" i="18"/>
  <c r="X48" i="1" l="1"/>
  <c r="X51" i="1" s="1"/>
  <c r="W49" i="1"/>
  <c r="U54" i="20"/>
  <c r="U68" i="47"/>
  <c r="V4" i="10"/>
  <c r="V52" i="20" s="1"/>
  <c r="V8" i="10"/>
  <c r="V3" i="10"/>
  <c r="W6" i="10"/>
  <c r="AJ5" i="13"/>
  <c r="W4" i="11"/>
  <c r="W8" i="11"/>
  <c r="W6" i="11"/>
  <c r="AI15" i="13"/>
  <c r="T26" i="20"/>
  <c r="T65" i="16"/>
  <c r="V6" i="15"/>
  <c r="V8" i="11"/>
  <c r="V6" i="11"/>
  <c r="AD15" i="13"/>
  <c r="AE5" i="13"/>
  <c r="V4" i="11"/>
  <c r="V59" i="20" s="1"/>
  <c r="AA26" i="4"/>
  <c r="AE26" i="4" s="1"/>
  <c r="V58" i="20"/>
  <c r="AE4" i="13"/>
  <c r="AA26" i="2"/>
  <c r="AE26" i="2" s="1"/>
  <c r="V6" i="10"/>
  <c r="V65" i="14"/>
  <c r="T65" i="14"/>
  <c r="S65" i="17"/>
  <c r="S84" i="17"/>
  <c r="T15" i="18"/>
  <c r="T83" i="18"/>
  <c r="U84" i="17"/>
  <c r="T85" i="18" s="1"/>
  <c r="T29" i="20" s="1"/>
  <c r="W5" i="15" l="1"/>
  <c r="V5" i="15"/>
  <c r="AG27" i="4"/>
  <c r="AH27" i="4"/>
  <c r="AI27" i="4"/>
  <c r="AF27" i="4"/>
  <c r="AB27" i="4"/>
  <c r="AC27" i="4"/>
  <c r="V51" i="20"/>
  <c r="T28" i="20"/>
  <c r="T84" i="18"/>
  <c r="V49" i="1"/>
  <c r="V48" i="1" s="1"/>
  <c r="V51" i="1" s="1"/>
  <c r="W48" i="1"/>
  <c r="W51" i="1" s="1"/>
  <c r="AJ4" i="13"/>
  <c r="W4" i="10"/>
  <c r="W8" i="10"/>
  <c r="W3" i="10"/>
  <c r="AJ26" i="4"/>
  <c r="AJ15" i="13"/>
  <c r="W15" i="15" s="1"/>
  <c r="X23" i="11"/>
  <c r="W20" i="11"/>
  <c r="W6" i="15"/>
  <c r="V16" i="15"/>
  <c r="AA27" i="4"/>
  <c r="AE15" i="13"/>
  <c r="V15" i="15" s="1"/>
  <c r="V23" i="11"/>
  <c r="V20" i="11"/>
  <c r="V4" i="15"/>
  <c r="V47" i="47" s="1"/>
  <c r="T37" i="20"/>
  <c r="T84" i="17"/>
  <c r="V65" i="17"/>
  <c r="V84" i="17"/>
  <c r="T27" i="18"/>
  <c r="T65" i="18" s="1"/>
  <c r="T65" i="17"/>
  <c r="U65" i="17"/>
  <c r="W65" i="14"/>
  <c r="W4" i="15" l="1"/>
  <c r="W47" i="47" s="1"/>
  <c r="W48" i="47" s="1"/>
  <c r="AE27" i="4"/>
  <c r="X52" i="20"/>
  <c r="AJ27" i="4"/>
  <c r="W15" i="11"/>
  <c r="W14" i="11"/>
  <c r="X11" i="11"/>
  <c r="W23" i="11"/>
  <c r="W16" i="15"/>
  <c r="W59" i="20"/>
  <c r="W58" i="20"/>
  <c r="V14" i="11"/>
  <c r="V15" i="11"/>
  <c r="X59" i="20"/>
  <c r="X58" i="20"/>
  <c r="W52" i="20"/>
  <c r="W51" i="20"/>
  <c r="X51" i="20"/>
  <c r="S40" i="20"/>
  <c r="S39" i="20"/>
  <c r="W65" i="17"/>
  <c r="W84" i="17"/>
  <c r="X65" i="14"/>
  <c r="Z8" i="1"/>
  <c r="U8" i="7" s="1"/>
  <c r="W46" i="47" l="1"/>
  <c r="W59" i="47"/>
  <c r="X48" i="47"/>
  <c r="W11" i="11"/>
  <c r="W10" i="11"/>
  <c r="W13" i="11" s="1"/>
  <c r="W19" i="11" s="1"/>
  <c r="V48" i="46"/>
  <c r="Y58" i="20"/>
  <c r="Y59" i="20"/>
  <c r="X60" i="20"/>
  <c r="X13" i="11"/>
  <c r="V10" i="11"/>
  <c r="V13" i="11" s="1"/>
  <c r="V19" i="11" s="1"/>
  <c r="V11" i="11"/>
  <c r="Y52" i="20"/>
  <c r="Y51" i="20"/>
  <c r="X13" i="10"/>
  <c r="X53" i="20"/>
  <c r="Z15" i="1"/>
  <c r="U15" i="7" s="1"/>
  <c r="Z10" i="1"/>
  <c r="Z4" i="1"/>
  <c r="X65" i="17"/>
  <c r="Z3" i="13"/>
  <c r="Z22" i="1"/>
  <c r="AE23" i="1" s="1"/>
  <c r="W48" i="46" l="1"/>
  <c r="X84" i="17"/>
  <c r="W22" i="11"/>
  <c r="W61" i="20" s="1"/>
  <c r="Z10" i="13"/>
  <c r="U4" i="7"/>
  <c r="U45" i="20" s="1"/>
  <c r="U44" i="20"/>
  <c r="W60" i="20"/>
  <c r="V60" i="20"/>
  <c r="V22" i="11"/>
  <c r="Y60" i="20"/>
  <c r="Y53" i="20"/>
  <c r="Z23" i="1"/>
  <c r="U23" i="7" s="1"/>
  <c r="U10" i="7"/>
  <c r="K48" i="52" s="1"/>
  <c r="K49" i="52" s="1"/>
  <c r="Z11" i="1"/>
  <c r="U11" i="7" s="1"/>
  <c r="U3" i="15"/>
  <c r="CQ23" i="48" l="1"/>
  <c r="CQ43" i="48" s="1"/>
  <c r="U10" i="15"/>
  <c r="Z76" i="17"/>
  <c r="U76" i="18" s="1"/>
  <c r="Z77" i="17"/>
  <c r="U77" i="18" s="1"/>
  <c r="Z174" i="13"/>
  <c r="Z78" i="17"/>
  <c r="U78" i="18" s="1"/>
  <c r="Z79" i="17"/>
  <c r="U79" i="18" s="1"/>
  <c r="Z11" i="13"/>
  <c r="U11" i="15" s="1"/>
  <c r="U5" i="20" s="1"/>
  <c r="Z68" i="17"/>
  <c r="U68" i="18" s="1"/>
  <c r="Z69" i="17"/>
  <c r="U69" i="18" s="1"/>
  <c r="Z58" i="20"/>
  <c r="Z59" i="20"/>
  <c r="V61" i="20"/>
  <c r="U13" i="7"/>
  <c r="Y20" i="1"/>
  <c r="T39" i="20"/>
  <c r="T40" i="20"/>
  <c r="Y13" i="13"/>
  <c r="Y20" i="13" s="1"/>
  <c r="Y27" i="1"/>
  <c r="Z27" i="1" s="1"/>
  <c r="Z35" i="13"/>
  <c r="Z105" i="13"/>
  <c r="Z106" i="13" s="1"/>
  <c r="Z74" i="14"/>
  <c r="U74" i="16" s="1"/>
  <c r="Z98" i="13"/>
  <c r="Z75" i="17"/>
  <c r="U75" i="18" s="1"/>
  <c r="Z74" i="17"/>
  <c r="U74" i="18" s="1"/>
  <c r="Y34" i="13" l="1"/>
  <c r="Y118" i="13" s="1"/>
  <c r="Y121" i="13" s="1"/>
  <c r="U19" i="7"/>
  <c r="U62" i="46" s="1"/>
  <c r="U61" i="46" s="1"/>
  <c r="U41" i="7"/>
  <c r="U105" i="15"/>
  <c r="U106" i="15" s="1"/>
  <c r="K161" i="48"/>
  <c r="K163" i="48" s="1"/>
  <c r="K81" i="48" s="1"/>
  <c r="K82" i="48" s="1"/>
  <c r="K86" i="48" s="1"/>
  <c r="AA58" i="20"/>
  <c r="AA59" i="20"/>
  <c r="Z60" i="20"/>
  <c r="U4" i="20"/>
  <c r="X8" i="1"/>
  <c r="W8" i="1"/>
  <c r="V8" i="1"/>
  <c r="U22" i="7" l="1"/>
  <c r="U63" i="46" s="1"/>
  <c r="CR23" i="48"/>
  <c r="CS43" i="48" s="1"/>
  <c r="U42" i="7"/>
  <c r="U47" i="7"/>
  <c r="K46" i="48"/>
  <c r="K47" i="48" s="1"/>
  <c r="K51" i="48" s="1"/>
  <c r="K95" i="48"/>
  <c r="K96" i="48" s="1"/>
  <c r="K100" i="48" s="1"/>
  <c r="BH163" i="48"/>
  <c r="BH81" i="48" s="1"/>
  <c r="K10" i="48"/>
  <c r="K11" i="48" s="1"/>
  <c r="K15" i="48" s="1"/>
  <c r="K109" i="48"/>
  <c r="K110" i="48" s="1"/>
  <c r="K114" i="48" s="1"/>
  <c r="Y123" i="13"/>
  <c r="AA60" i="20"/>
  <c r="W15" i="1"/>
  <c r="W10" i="1"/>
  <c r="AB11" i="1" s="1"/>
  <c r="W4" i="1"/>
  <c r="X15" i="1"/>
  <c r="X10" i="1"/>
  <c r="AC11" i="1" s="1"/>
  <c r="X4" i="1"/>
  <c r="V15" i="1"/>
  <c r="V10" i="1"/>
  <c r="V4" i="1"/>
  <c r="V3" i="13"/>
  <c r="V26" i="1"/>
  <c r="W26" i="1"/>
  <c r="W3" i="13"/>
  <c r="X26" i="1"/>
  <c r="X3" i="13"/>
  <c r="Y3" i="1"/>
  <c r="V22" i="1"/>
  <c r="W22" i="1"/>
  <c r="AB23" i="1" s="1"/>
  <c r="X22" i="1"/>
  <c r="AC23" i="1" s="1"/>
  <c r="CS23" i="48" l="1"/>
  <c r="CU43" i="48" s="1"/>
  <c r="BH46" i="48"/>
  <c r="BI46" i="48" s="1"/>
  <c r="BI163" i="48"/>
  <c r="BJ163" i="48" s="1"/>
  <c r="BK163" i="48" s="1"/>
  <c r="BH95" i="48"/>
  <c r="BH96" i="48" s="1"/>
  <c r="BH100" i="48" s="1"/>
  <c r="K122" i="48"/>
  <c r="K118" i="48" s="1"/>
  <c r="BH109" i="48"/>
  <c r="BH110" i="48" s="1"/>
  <c r="BH114" i="48" s="1"/>
  <c r="AD4" i="1"/>
  <c r="Y48" i="1"/>
  <c r="Y46" i="1"/>
  <c r="BI81" i="48"/>
  <c r="BH82" i="48"/>
  <c r="BH86" i="48" s="1"/>
  <c r="V10" i="13"/>
  <c r="W3" i="7"/>
  <c r="Y8" i="1"/>
  <c r="Y10" i="1"/>
  <c r="Y15" i="1"/>
  <c r="Y4" i="1"/>
  <c r="W23" i="1"/>
  <c r="X11" i="1"/>
  <c r="X23" i="1"/>
  <c r="V11" i="1"/>
  <c r="AA11" i="1"/>
  <c r="W11" i="1"/>
  <c r="V23" i="1"/>
  <c r="AA23" i="1"/>
  <c r="X10" i="13"/>
  <c r="W10" i="13"/>
  <c r="Y3" i="13"/>
  <c r="Y26" i="1"/>
  <c r="Z26" i="1" s="1"/>
  <c r="Y22" i="1"/>
  <c r="AD23" i="1" s="1"/>
  <c r="M52" i="52" l="1"/>
  <c r="M53" i="52" s="1"/>
  <c r="M54" i="52" s="1"/>
  <c r="W32" i="46"/>
  <c r="W44" i="7"/>
  <c r="BH47" i="48"/>
  <c r="BH51" i="48" s="1"/>
  <c r="BH122" i="48" s="1"/>
  <c r="BI95" i="48"/>
  <c r="BI96" i="48" s="1"/>
  <c r="BI100" i="48" s="1"/>
  <c r="BI109" i="48"/>
  <c r="BI110" i="48" s="1"/>
  <c r="BI114" i="48" s="1"/>
  <c r="Z48" i="1"/>
  <c r="Y51" i="1"/>
  <c r="Z51" i="1" s="1"/>
  <c r="M32" i="52"/>
  <c r="M41" i="52" s="1"/>
  <c r="BJ81" i="48"/>
  <c r="BI82" i="48"/>
  <c r="BI86" i="48" s="1"/>
  <c r="BJ46" i="48"/>
  <c r="BI47" i="48"/>
  <c r="BI51" i="48" s="1"/>
  <c r="V78" i="17"/>
  <c r="V74" i="14"/>
  <c r="AA11" i="13"/>
  <c r="V105" i="13"/>
  <c r="V106" i="13" s="1"/>
  <c r="V69" i="17"/>
  <c r="V77" i="17"/>
  <c r="V35" i="13"/>
  <c r="V174" i="13"/>
  <c r="V98" i="13"/>
  <c r="V11" i="13"/>
  <c r="V79" i="17"/>
  <c r="V74" i="17"/>
  <c r="V75" i="17"/>
  <c r="V68" i="17"/>
  <c r="V76" i="17"/>
  <c r="X79" i="17"/>
  <c r="X78" i="17"/>
  <c r="X77" i="17"/>
  <c r="X76" i="17"/>
  <c r="W79" i="17"/>
  <c r="W78" i="17"/>
  <c r="W77" i="17"/>
  <c r="W76" i="17"/>
  <c r="V3" i="7"/>
  <c r="W174" i="13"/>
  <c r="W69" i="17"/>
  <c r="W68" i="17"/>
  <c r="X174" i="13"/>
  <c r="X69" i="17"/>
  <c r="X68" i="17"/>
  <c r="Y23" i="1"/>
  <c r="Y11" i="1"/>
  <c r="X105" i="13"/>
  <c r="W105" i="13"/>
  <c r="W106" i="13" s="1"/>
  <c r="AB11" i="13"/>
  <c r="X11" i="13"/>
  <c r="X35" i="13"/>
  <c r="W74" i="17"/>
  <c r="W74" i="14"/>
  <c r="W35" i="13"/>
  <c r="W75" i="17"/>
  <c r="W11" i="13"/>
  <c r="X74" i="14"/>
  <c r="Y10" i="13"/>
  <c r="W98" i="13"/>
  <c r="X98" i="13"/>
  <c r="Y97" i="13" s="1"/>
  <c r="X74" i="17"/>
  <c r="X75" i="17"/>
  <c r="W31" i="46" l="1"/>
  <c r="AJ31" i="5" s="1"/>
  <c r="AJ32" i="5"/>
  <c r="L52" i="52"/>
  <c r="L53" i="52" s="1"/>
  <c r="L54" i="52" s="1"/>
  <c r="V32" i="46"/>
  <c r="V31" i="46" s="1"/>
  <c r="BJ109" i="48"/>
  <c r="BK109" i="48" s="1"/>
  <c r="BK110" i="48" s="1"/>
  <c r="BK114" i="48" s="1"/>
  <c r="N33" i="52"/>
  <c r="BJ95" i="48"/>
  <c r="BK95" i="48" s="1"/>
  <c r="BK96" i="48" s="1"/>
  <c r="BK100" i="48" s="1"/>
  <c r="BH118" i="48"/>
  <c r="X106" i="13"/>
  <c r="BI122" i="48"/>
  <c r="L32" i="52"/>
  <c r="V44" i="7"/>
  <c r="L39" i="52"/>
  <c r="L40" i="52"/>
  <c r="K38" i="52"/>
  <c r="BI118" i="48"/>
  <c r="BK46" i="48"/>
  <c r="BJ47" i="48"/>
  <c r="BJ51" i="48" s="1"/>
  <c r="BK81" i="48"/>
  <c r="BK82" i="48" s="1"/>
  <c r="BK86" i="48" s="1"/>
  <c r="BJ82" i="48"/>
  <c r="BJ86" i="48" s="1"/>
  <c r="Y78" i="17"/>
  <c r="Y76" i="17"/>
  <c r="Y77" i="17"/>
  <c r="Y79" i="17"/>
  <c r="Y174" i="13"/>
  <c r="Y69" i="17"/>
  <c r="Y68" i="17"/>
  <c r="Y105" i="13"/>
  <c r="Y98" i="13"/>
  <c r="Y74" i="14"/>
  <c r="Y11" i="13"/>
  <c r="Y75" i="17"/>
  <c r="Y74" i="17"/>
  <c r="AI31" i="5" l="1"/>
  <c r="AI32" i="5" s="1"/>
  <c r="BJ110" i="48"/>
  <c r="BJ114" i="48" s="1"/>
  <c r="Y106" i="13"/>
  <c r="BJ96" i="48"/>
  <c r="BJ100" i="48" s="1"/>
  <c r="L33" i="52"/>
  <c r="M33" i="52"/>
  <c r="K39" i="52"/>
  <c r="J38" i="52"/>
  <c r="K40" i="52"/>
  <c r="J39" i="52"/>
  <c r="K41" i="52"/>
  <c r="L41" i="52"/>
  <c r="L37" i="52" s="1"/>
  <c r="BK47" i="48"/>
  <c r="AE3" i="13"/>
  <c r="AA26" i="1"/>
  <c r="AE26" i="1" s="1"/>
  <c r="AD3" i="13"/>
  <c r="BJ118" i="48" l="1"/>
  <c r="BJ122" i="48"/>
  <c r="BK51" i="48"/>
  <c r="J37" i="52"/>
  <c r="J57" i="52" s="1"/>
  <c r="J58" i="52" s="1"/>
  <c r="K37" i="52"/>
  <c r="K57" i="52" s="1"/>
  <c r="V4" i="7"/>
  <c r="V45" i="20" s="1"/>
  <c r="V44" i="20"/>
  <c r="AJ3" i="13"/>
  <c r="V3" i="15"/>
  <c r="AE10" i="13"/>
  <c r="U82" i="15"/>
  <c r="U85" i="15" s="1"/>
  <c r="U86" i="15" s="1"/>
  <c r="Y40" i="13"/>
  <c r="Y35" i="13"/>
  <c r="U35" i="15"/>
  <c r="U9" i="20" s="1"/>
  <c r="AE79" i="17" l="1"/>
  <c r="V79" i="18" s="1"/>
  <c r="AE77" i="17"/>
  <c r="V77" i="18" s="1"/>
  <c r="AE74" i="14"/>
  <c r="Y46" i="13"/>
  <c r="Y50" i="13" s="1"/>
  <c r="BK118" i="48"/>
  <c r="BK122" i="48"/>
  <c r="K58" i="52"/>
  <c r="V10" i="15"/>
  <c r="AA27" i="1"/>
  <c r="AE27" i="1" s="1"/>
  <c r="V20" i="7"/>
  <c r="AE13" i="13"/>
  <c r="AE11" i="13"/>
  <c r="V11" i="15" s="1"/>
  <c r="V5" i="20" s="1"/>
  <c r="V36" i="18"/>
  <c r="AE32" i="17"/>
  <c r="W21" i="16" s="1"/>
  <c r="W3" i="15"/>
  <c r="AJ10" i="13"/>
  <c r="Y41" i="13"/>
  <c r="AE76" i="17" l="1"/>
  <c r="AJ74" i="17"/>
  <c r="AJ74" i="14"/>
  <c r="AJ69" i="17"/>
  <c r="AJ75" i="17"/>
  <c r="AJ68" i="17"/>
  <c r="AJ79" i="17"/>
  <c r="W79" i="18" s="1"/>
  <c r="AJ78" i="17"/>
  <c r="AJ77" i="17"/>
  <c r="AJ76" i="17"/>
  <c r="W76" i="18" s="1"/>
  <c r="AO11" i="13"/>
  <c r="X11" i="15" s="1"/>
  <c r="AJ105" i="13"/>
  <c r="AJ106" i="13" s="1"/>
  <c r="Y56" i="13"/>
  <c r="Y60" i="13" s="1"/>
  <c r="L161" i="48"/>
  <c r="V33" i="18"/>
  <c r="L61" i="52" s="1"/>
  <c r="V4" i="20"/>
  <c r="W10" i="15"/>
  <c r="V76" i="18"/>
  <c r="Z64" i="13"/>
  <c r="U64" i="15" s="1"/>
  <c r="V24" i="16"/>
  <c r="Z73" i="13"/>
  <c r="W4" i="7"/>
  <c r="W45" i="20" s="1"/>
  <c r="W44" i="20"/>
  <c r="AJ11" i="13"/>
  <c r="W11" i="15" s="1"/>
  <c r="W5" i="20" s="1"/>
  <c r="V23" i="7"/>
  <c r="W36" i="18"/>
  <c r="V32" i="18"/>
  <c r="V13" i="15"/>
  <c r="Z51" i="13"/>
  <c r="U44" i="15"/>
  <c r="U11" i="20" s="1"/>
  <c r="L62" i="52" l="1"/>
  <c r="W4" i="20"/>
  <c r="M161" i="48"/>
  <c r="Y70" i="13"/>
  <c r="Y63" i="13"/>
  <c r="Y29" i="14"/>
  <c r="Z29" i="14"/>
  <c r="Z74" i="13"/>
  <c r="Z71" i="13"/>
  <c r="Y73" i="13"/>
  <c r="W32" i="18"/>
  <c r="Y51" i="13"/>
  <c r="U51" i="15"/>
  <c r="Z57" i="13"/>
  <c r="Y59" i="14" l="1"/>
  <c r="Y62" i="14" s="1"/>
  <c r="Y64" i="14" s="1"/>
  <c r="Y69" i="13"/>
  <c r="Y64" i="13"/>
  <c r="Z59" i="14"/>
  <c r="U29" i="16"/>
  <c r="W24" i="16"/>
  <c r="Y74" i="13"/>
  <c r="Y71" i="13"/>
  <c r="Y77" i="14"/>
  <c r="U57" i="15"/>
  <c r="Y57" i="13"/>
  <c r="U4" i="16"/>
  <c r="Z77" i="14"/>
  <c r="Z82" i="14" s="1"/>
  <c r="U82" i="16" s="1"/>
  <c r="U23" i="20" s="1"/>
  <c r="W33" i="18" l="1"/>
  <c r="M61" i="52" s="1"/>
  <c r="W77" i="18"/>
  <c r="Y82" i="14"/>
  <c r="Z62" i="14"/>
  <c r="U59" i="16"/>
  <c r="U18" i="20"/>
  <c r="U77" i="16"/>
  <c r="Z79" i="14"/>
  <c r="U79" i="16" s="1"/>
  <c r="Z78" i="14"/>
  <c r="U78" i="16" s="1"/>
  <c r="U21" i="20" s="1"/>
  <c r="Y79" i="14"/>
  <c r="Y78" i="14"/>
  <c r="Y40" i="10" l="1"/>
  <c r="CQ22" i="48"/>
  <c r="CR42" i="48" s="1"/>
  <c r="V17" i="16"/>
  <c r="U20" i="20"/>
  <c r="Z64" i="14"/>
  <c r="U64" i="16" s="1"/>
  <c r="AA61" i="14"/>
  <c r="AA62" i="14" s="1"/>
  <c r="U62" i="16"/>
  <c r="Y65" i="14"/>
  <c r="AJ77" i="18" l="1"/>
  <c r="AC36" i="18"/>
  <c r="AD36" i="18" s="1"/>
  <c r="AA64" i="14"/>
  <c r="AA65" i="14" s="1"/>
  <c r="AB61" i="14"/>
  <c r="Z65" i="14"/>
  <c r="AE61" i="14"/>
  <c r="V61" i="16" s="1"/>
  <c r="Y84" i="17"/>
  <c r="U5" i="18"/>
  <c r="U83" i="18"/>
  <c r="U15" i="18"/>
  <c r="AD24" i="16" l="1"/>
  <c r="AL77" i="18" s="1"/>
  <c r="AE36" i="18"/>
  <c r="AF36" i="18" s="1"/>
  <c r="AF24" i="16" s="1"/>
  <c r="AC24" i="16"/>
  <c r="AK77" i="18" s="1"/>
  <c r="AJ74" i="18"/>
  <c r="U28" i="20"/>
  <c r="U84" i="18"/>
  <c r="W17" i="16"/>
  <c r="U26" i="20"/>
  <c r="U65" i="16"/>
  <c r="AA84" i="17"/>
  <c r="AA65" i="17"/>
  <c r="Z84" i="17"/>
  <c r="U85" i="18" s="1"/>
  <c r="U27" i="18"/>
  <c r="U65" i="18" s="1"/>
  <c r="AE24" i="16" l="1"/>
  <c r="AM77" i="18" s="1"/>
  <c r="U29" i="20"/>
  <c r="U37" i="20"/>
  <c r="Y65" i="17"/>
  <c r="Z65" i="17"/>
  <c r="U47" i="20" l="1"/>
  <c r="U46" i="20"/>
  <c r="U39" i="20" l="1"/>
  <c r="U40" i="20"/>
  <c r="AA102" i="13" l="1"/>
  <c r="AA106" i="13"/>
  <c r="AA103" i="13" l="1"/>
  <c r="AC7" i="18" l="1"/>
  <c r="AD7" i="18" l="1"/>
  <c r="AC38" i="16"/>
  <c r="AC37" i="16"/>
  <c r="W21" i="18"/>
  <c r="AD37" i="16" l="1"/>
  <c r="AE7" i="18"/>
  <c r="AD38" i="16"/>
  <c r="X21" i="18"/>
  <c r="W6" i="18"/>
  <c r="AF7" i="18" l="1"/>
  <c r="AF37" i="16"/>
  <c r="AF38" i="16"/>
  <c r="AE37" i="16"/>
  <c r="AE38" i="16"/>
  <c r="Y21" i="18"/>
  <c r="AE133" i="13"/>
  <c r="AE135" i="13" s="1"/>
  <c r="AH135" i="13"/>
  <c r="AF135" i="13"/>
  <c r="Z21" i="18" l="1"/>
  <c r="AF136" i="13"/>
  <c r="AH136" i="13"/>
  <c r="W133" i="15"/>
  <c r="W62" i="15"/>
  <c r="AD135" i="13"/>
  <c r="AD136" i="13" s="1"/>
  <c r="AE136" i="13"/>
  <c r="V133" i="15"/>
  <c r="AG135" i="13"/>
  <c r="AI135" i="13" s="1"/>
  <c r="AI136" i="13" s="1"/>
  <c r="AA21" i="18" l="1"/>
  <c r="BE21" i="17"/>
  <c r="BF21" i="17" s="1"/>
  <c r="BG21" i="17" s="1"/>
  <c r="BH21" i="17" s="1"/>
  <c r="BI21" i="17" s="1"/>
  <c r="AB21" i="18" s="1"/>
  <c r="AG136" i="13"/>
  <c r="V135" i="15"/>
  <c r="V136" i="15" s="1"/>
  <c r="W135" i="15"/>
  <c r="W136" i="15" s="1"/>
  <c r="AC21" i="18" l="1"/>
  <c r="AD21" i="18" s="1"/>
  <c r="AE21" i="18" s="1"/>
  <c r="AF21" i="18" s="1"/>
  <c r="P34" i="15"/>
  <c r="P118" i="15" l="1"/>
  <c r="P172" i="15"/>
  <c r="P8" i="20"/>
  <c r="P40" i="15"/>
  <c r="P46" i="15" s="1"/>
  <c r="P35" i="15"/>
  <c r="P9" i="20" s="1"/>
  <c r="P97" i="15"/>
  <c r="P50" i="15" l="1"/>
  <c r="P70" i="15" s="1"/>
  <c r="P185" i="15" s="1"/>
  <c r="P56" i="15"/>
  <c r="P60" i="15" s="1"/>
  <c r="P86" i="18"/>
  <c r="P186" i="15"/>
  <c r="P44" i="15"/>
  <c r="P123" i="15"/>
  <c r="P121" i="15"/>
  <c r="P10" i="20"/>
  <c r="F41" i="13"/>
  <c r="Q41" i="15" s="1"/>
  <c r="P6" i="20"/>
  <c r="P98" i="15"/>
  <c r="P7" i="20" s="1"/>
  <c r="P85" i="18"/>
  <c r="P63" i="15" l="1"/>
  <c r="P69" i="15" s="1"/>
  <c r="P12" i="20"/>
  <c r="P29" i="20"/>
  <c r="P13" i="20"/>
  <c r="P11" i="20"/>
  <c r="P73" i="15"/>
  <c r="P37" i="20"/>
  <c r="F51" i="13"/>
  <c r="F64" i="13" l="1"/>
  <c r="Q64" i="15" s="1"/>
  <c r="Q51" i="15"/>
  <c r="P71" i="15"/>
  <c r="P4" i="16"/>
  <c r="P29" i="16" s="1"/>
  <c r="P40" i="20"/>
  <c r="P74" i="15"/>
  <c r="F57" i="13"/>
  <c r="Q57" i="15" s="1"/>
  <c r="E34" i="15"/>
  <c r="E118" i="15" s="1"/>
  <c r="L34" i="15"/>
  <c r="G34" i="15"/>
  <c r="G118" i="15" s="1"/>
  <c r="C34" i="15"/>
  <c r="M34" i="15"/>
  <c r="M118" i="15" s="1"/>
  <c r="D34" i="15"/>
  <c r="F34" i="15"/>
  <c r="F118" i="15" s="1"/>
  <c r="K34" i="15"/>
  <c r="J34" i="15"/>
  <c r="J118" i="15" s="1"/>
  <c r="H34" i="15"/>
  <c r="O34" i="15"/>
  <c r="N34" i="15"/>
  <c r="N118" i="15" s="1"/>
  <c r="I34" i="15"/>
  <c r="I118" i="15" s="1"/>
  <c r="B34" i="15"/>
  <c r="B118" i="15" s="1"/>
  <c r="I123" i="15" l="1"/>
  <c r="I121" i="15"/>
  <c r="J123" i="15"/>
  <c r="J121" i="15"/>
  <c r="M123" i="15"/>
  <c r="M121" i="15"/>
  <c r="E123" i="15"/>
  <c r="E121" i="15"/>
  <c r="N123" i="15"/>
  <c r="N121" i="15"/>
  <c r="F123" i="15"/>
  <c r="F121" i="15"/>
  <c r="G123" i="15"/>
  <c r="G121" i="15"/>
  <c r="B123" i="15"/>
  <c r="B121" i="15"/>
  <c r="P59" i="16"/>
  <c r="P77" i="16"/>
  <c r="P18" i="20"/>
  <c r="O118" i="15"/>
  <c r="D118" i="15"/>
  <c r="L118" i="15"/>
  <c r="H118" i="15"/>
  <c r="K118" i="15"/>
  <c r="C118" i="15"/>
  <c r="F97" i="15"/>
  <c r="F186" i="15" s="1"/>
  <c r="G97" i="15"/>
  <c r="G186" i="15" s="1"/>
  <c r="B97" i="15"/>
  <c r="B186" i="15" s="1"/>
  <c r="I97" i="15"/>
  <c r="I186" i="15" s="1"/>
  <c r="J40" i="15"/>
  <c r="M97" i="15"/>
  <c r="M186" i="15" s="1"/>
  <c r="E97" i="15"/>
  <c r="E186" i="15" s="1"/>
  <c r="N97" i="15"/>
  <c r="N186" i="15" s="1"/>
  <c r="P39" i="20"/>
  <c r="J97" i="15"/>
  <c r="J186" i="15" s="1"/>
  <c r="O172" i="15"/>
  <c r="O8" i="20"/>
  <c r="O35" i="15"/>
  <c r="O9" i="20" s="1"/>
  <c r="O40" i="15"/>
  <c r="O46" i="15" s="1"/>
  <c r="O97" i="15"/>
  <c r="K8" i="20"/>
  <c r="K172" i="15"/>
  <c r="K35" i="15"/>
  <c r="K9" i="20" s="1"/>
  <c r="K40" i="15"/>
  <c r="K46" i="15" s="1"/>
  <c r="K97" i="15"/>
  <c r="D8" i="20"/>
  <c r="D172" i="15"/>
  <c r="D35" i="15"/>
  <c r="D9" i="20" s="1"/>
  <c r="D40" i="15"/>
  <c r="D46" i="15" s="1"/>
  <c r="D97" i="15"/>
  <c r="B172" i="15"/>
  <c r="B8" i="20"/>
  <c r="B35" i="15"/>
  <c r="B9" i="20" s="1"/>
  <c r="B40" i="15"/>
  <c r="H172" i="15"/>
  <c r="H8" i="20"/>
  <c r="H35" i="15"/>
  <c r="H9" i="20" s="1"/>
  <c r="H40" i="15"/>
  <c r="H46" i="15" s="1"/>
  <c r="H97" i="15"/>
  <c r="C172" i="15"/>
  <c r="C8" i="20"/>
  <c r="C35" i="15"/>
  <c r="C9" i="20" s="1"/>
  <c r="C40" i="15"/>
  <c r="C46" i="15" s="1"/>
  <c r="C97" i="15"/>
  <c r="L8" i="20"/>
  <c r="L172" i="15"/>
  <c r="L40" i="15"/>
  <c r="L46" i="15" s="1"/>
  <c r="L35" i="15"/>
  <c r="L9" i="20" s="1"/>
  <c r="L97" i="15"/>
  <c r="I8" i="20"/>
  <c r="I172" i="15"/>
  <c r="I35" i="15"/>
  <c r="I9" i="20" s="1"/>
  <c r="I40" i="15"/>
  <c r="I46" i="15" s="1"/>
  <c r="N172" i="15"/>
  <c r="N8" i="20"/>
  <c r="F8" i="20"/>
  <c r="F172" i="15"/>
  <c r="F35" i="15"/>
  <c r="F9" i="20" s="1"/>
  <c r="F40" i="15"/>
  <c r="F46" i="15" s="1"/>
  <c r="M172" i="15"/>
  <c r="M8" i="20"/>
  <c r="M35" i="15"/>
  <c r="M9" i="20" s="1"/>
  <c r="M40" i="15"/>
  <c r="M46" i="15" s="1"/>
  <c r="N40" i="15"/>
  <c r="N46" i="15" s="1"/>
  <c r="J172" i="15"/>
  <c r="J8" i="20"/>
  <c r="J35" i="15"/>
  <c r="J9" i="20" s="1"/>
  <c r="G172" i="15"/>
  <c r="G40" i="15"/>
  <c r="G46" i="15" s="1"/>
  <c r="G35" i="15"/>
  <c r="G9" i="20" s="1"/>
  <c r="G8" i="20"/>
  <c r="E8" i="20"/>
  <c r="E172" i="15"/>
  <c r="E40" i="15"/>
  <c r="E46" i="15" s="1"/>
  <c r="E35" i="15"/>
  <c r="E9" i="20" s="1"/>
  <c r="N35" i="15"/>
  <c r="N9" i="20" s="1"/>
  <c r="G50" i="15" l="1"/>
  <c r="G56" i="15"/>
  <c r="G60" i="15" s="1"/>
  <c r="E50" i="15"/>
  <c r="E63" i="15" s="1"/>
  <c r="E69" i="15" s="1"/>
  <c r="E56" i="15"/>
  <c r="E60" i="15" s="1"/>
  <c r="H50" i="15"/>
  <c r="H63" i="15" s="1"/>
  <c r="H56" i="15"/>
  <c r="H60" i="15" s="1"/>
  <c r="O86" i="18"/>
  <c r="O186" i="15"/>
  <c r="M50" i="15"/>
  <c r="M70" i="15" s="1"/>
  <c r="M185" i="15" s="1"/>
  <c r="M56" i="15"/>
  <c r="M60" i="15" s="1"/>
  <c r="L86" i="18"/>
  <c r="L186" i="15"/>
  <c r="C50" i="15"/>
  <c r="C63" i="15" s="1"/>
  <c r="C69" i="15" s="1"/>
  <c r="C56" i="15"/>
  <c r="C60" i="15" s="1"/>
  <c r="K86" i="18"/>
  <c r="K186" i="15"/>
  <c r="O50" i="15"/>
  <c r="O56" i="15"/>
  <c r="O60" i="15" s="1"/>
  <c r="H86" i="18"/>
  <c r="H186" i="15"/>
  <c r="C86" i="18"/>
  <c r="C186" i="15"/>
  <c r="D86" i="18"/>
  <c r="D186" i="15"/>
  <c r="K50" i="15"/>
  <c r="K70" i="15" s="1"/>
  <c r="K185" i="15" s="1"/>
  <c r="K56" i="15"/>
  <c r="K60" i="15" s="1"/>
  <c r="N50" i="15"/>
  <c r="N63" i="15" s="1"/>
  <c r="N69" i="15" s="1"/>
  <c r="N56" i="15"/>
  <c r="N60" i="15" s="1"/>
  <c r="F50" i="15"/>
  <c r="F70" i="15" s="1"/>
  <c r="F185" i="15" s="1"/>
  <c r="F56" i="15"/>
  <c r="F60" i="15" s="1"/>
  <c r="I50" i="15"/>
  <c r="I70" i="15" s="1"/>
  <c r="I185" i="15" s="1"/>
  <c r="I56" i="15"/>
  <c r="I60" i="15" s="1"/>
  <c r="L50" i="15"/>
  <c r="L56" i="15"/>
  <c r="L60" i="15" s="1"/>
  <c r="D50" i="15"/>
  <c r="D63" i="15" s="1"/>
  <c r="D69" i="15" s="1"/>
  <c r="D56" i="15"/>
  <c r="D60" i="15" s="1"/>
  <c r="B44" i="15"/>
  <c r="B11" i="20" s="1"/>
  <c r="B46" i="15"/>
  <c r="J44" i="15"/>
  <c r="J11" i="20" s="1"/>
  <c r="J46" i="15"/>
  <c r="E98" i="15"/>
  <c r="E7" i="20" s="1"/>
  <c r="E86" i="18"/>
  <c r="B98" i="15"/>
  <c r="B7" i="20" s="1"/>
  <c r="B86" i="18"/>
  <c r="J86" i="18"/>
  <c r="M85" i="18"/>
  <c r="M29" i="20" s="1"/>
  <c r="M86" i="18"/>
  <c r="G85" i="18"/>
  <c r="G29" i="20" s="1"/>
  <c r="G86" i="18"/>
  <c r="F98" i="15"/>
  <c r="F7" i="20" s="1"/>
  <c r="F86" i="18"/>
  <c r="N98" i="15"/>
  <c r="N7" i="20" s="1"/>
  <c r="N86" i="18"/>
  <c r="I86" i="18"/>
  <c r="N44" i="15"/>
  <c r="N11" i="20" s="1"/>
  <c r="K44" i="15"/>
  <c r="K11" i="20" s="1"/>
  <c r="H44" i="15"/>
  <c r="H11" i="20" s="1"/>
  <c r="M44" i="15"/>
  <c r="M11" i="20" s="1"/>
  <c r="F44" i="15"/>
  <c r="F11" i="20" s="1"/>
  <c r="L44" i="15"/>
  <c r="L11" i="20" s="1"/>
  <c r="C44" i="15"/>
  <c r="C11" i="20" s="1"/>
  <c r="O44" i="15"/>
  <c r="O11" i="20" s="1"/>
  <c r="G44" i="15"/>
  <c r="G11" i="20" s="1"/>
  <c r="I44" i="15"/>
  <c r="I11" i="20" s="1"/>
  <c r="D44" i="15"/>
  <c r="D11" i="20" s="1"/>
  <c r="B41" i="15"/>
  <c r="K123" i="15"/>
  <c r="K121" i="15"/>
  <c r="O121" i="15"/>
  <c r="O123" i="15" s="1"/>
  <c r="H123" i="15"/>
  <c r="H121" i="15"/>
  <c r="L123" i="15"/>
  <c r="L121" i="15"/>
  <c r="C123" i="15"/>
  <c r="C121" i="15"/>
  <c r="D123" i="15"/>
  <c r="D121" i="15"/>
  <c r="P78" i="16"/>
  <c r="P21" i="20" s="1"/>
  <c r="P82" i="16"/>
  <c r="P23" i="20" s="1"/>
  <c r="P79" i="16"/>
  <c r="P20" i="20"/>
  <c r="B6" i="20"/>
  <c r="G6" i="20"/>
  <c r="E37" i="20"/>
  <c r="J10" i="20"/>
  <c r="E85" i="18"/>
  <c r="E6" i="20"/>
  <c r="G98" i="15"/>
  <c r="G7" i="20" s="1"/>
  <c r="M98" i="15"/>
  <c r="M7" i="20" s="1"/>
  <c r="F85" i="18"/>
  <c r="I98" i="15"/>
  <c r="I7" i="20" s="1"/>
  <c r="F6" i="20"/>
  <c r="N6" i="20"/>
  <c r="M37" i="20"/>
  <c r="B85" i="18"/>
  <c r="I85" i="18"/>
  <c r="M6" i="20"/>
  <c r="N85" i="18"/>
  <c r="I6" i="20"/>
  <c r="J6" i="20"/>
  <c r="J85" i="18"/>
  <c r="J98" i="15"/>
  <c r="J7" i="20" s="1"/>
  <c r="N41" i="15"/>
  <c r="N10" i="20"/>
  <c r="M10" i="20"/>
  <c r="M41" i="15"/>
  <c r="F41" i="15"/>
  <c r="F10" i="20"/>
  <c r="L10" i="20"/>
  <c r="L41" i="15"/>
  <c r="C6" i="20"/>
  <c r="C98" i="15"/>
  <c r="C7" i="20" s="1"/>
  <c r="C85" i="18"/>
  <c r="B10" i="20"/>
  <c r="D10" i="20"/>
  <c r="D41" i="15"/>
  <c r="K6" i="20"/>
  <c r="K85" i="18"/>
  <c r="K98" i="15"/>
  <c r="K7" i="20" s="1"/>
  <c r="K41" i="15"/>
  <c r="K10" i="20"/>
  <c r="J37" i="20"/>
  <c r="E10" i="20"/>
  <c r="E41" i="15"/>
  <c r="E11" i="20"/>
  <c r="C41" i="15"/>
  <c r="C10" i="20"/>
  <c r="H85" i="18"/>
  <c r="H6" i="20"/>
  <c r="H98" i="15"/>
  <c r="H7" i="20" s="1"/>
  <c r="O6" i="20"/>
  <c r="O98" i="15"/>
  <c r="O7" i="20" s="1"/>
  <c r="O85" i="18"/>
  <c r="G41" i="15"/>
  <c r="G10" i="20"/>
  <c r="I10" i="20"/>
  <c r="I41" i="15"/>
  <c r="L6" i="20"/>
  <c r="L98" i="15"/>
  <c r="L7" i="20" s="1"/>
  <c r="L85" i="18"/>
  <c r="H10" i="20"/>
  <c r="H41" i="15"/>
  <c r="J41" i="15"/>
  <c r="D6" i="20"/>
  <c r="D85" i="18"/>
  <c r="D98" i="15"/>
  <c r="D7" i="20" s="1"/>
  <c r="O41" i="15"/>
  <c r="O10" i="20"/>
  <c r="P41" i="15"/>
  <c r="E70" i="15" l="1"/>
  <c r="E185" i="15" s="1"/>
  <c r="G12" i="20"/>
  <c r="E12" i="20"/>
  <c r="K12" i="20"/>
  <c r="L12" i="20"/>
  <c r="J50" i="15"/>
  <c r="J51" i="15" s="1"/>
  <c r="J56" i="15"/>
  <c r="J60" i="15" s="1"/>
  <c r="O12" i="20"/>
  <c r="B50" i="15"/>
  <c r="B63" i="15" s="1"/>
  <c r="B69" i="15" s="1"/>
  <c r="B56" i="15"/>
  <c r="B60" i="15" s="1"/>
  <c r="O70" i="15"/>
  <c r="O185" i="15" s="1"/>
  <c r="I37" i="20"/>
  <c r="D70" i="15"/>
  <c r="L29" i="20"/>
  <c r="H29" i="20"/>
  <c r="K29" i="20"/>
  <c r="C29" i="20"/>
  <c r="I29" i="20"/>
  <c r="D29" i="20"/>
  <c r="O29" i="20"/>
  <c r="J29" i="20"/>
  <c r="N29" i="20"/>
  <c r="B29" i="20"/>
  <c r="F29" i="20"/>
  <c r="E29" i="20"/>
  <c r="M12" i="20"/>
  <c r="L63" i="15"/>
  <c r="L69" i="15" s="1"/>
  <c r="I63" i="15"/>
  <c r="I69" i="15" s="1"/>
  <c r="H12" i="20"/>
  <c r="F12" i="20"/>
  <c r="G70" i="15"/>
  <c r="G185" i="15" s="1"/>
  <c r="H70" i="15"/>
  <c r="N70" i="15"/>
  <c r="C70" i="15"/>
  <c r="D12" i="20"/>
  <c r="G63" i="15"/>
  <c r="G69" i="15" s="1"/>
  <c r="F63" i="15"/>
  <c r="F69" i="15" s="1"/>
  <c r="C12" i="20"/>
  <c r="N12" i="20"/>
  <c r="O63" i="15"/>
  <c r="O69" i="15" s="1"/>
  <c r="L70" i="15"/>
  <c r="K63" i="15"/>
  <c r="K69" i="15" s="1"/>
  <c r="I12" i="20"/>
  <c r="M63" i="15"/>
  <c r="M69" i="15" s="1"/>
  <c r="H69" i="15"/>
  <c r="D64" i="15"/>
  <c r="E64" i="15"/>
  <c r="F37" i="20"/>
  <c r="M13" i="20"/>
  <c r="I13" i="20"/>
  <c r="F13" i="20"/>
  <c r="K13" i="20"/>
  <c r="G37" i="20"/>
  <c r="N37" i="20"/>
  <c r="B37" i="20"/>
  <c r="C73" i="15"/>
  <c r="E73" i="15"/>
  <c r="K73" i="15"/>
  <c r="D73" i="15"/>
  <c r="L73" i="15"/>
  <c r="N73" i="15"/>
  <c r="H73" i="15"/>
  <c r="O73" i="15"/>
  <c r="M73" i="15"/>
  <c r="G73" i="15"/>
  <c r="I73" i="15"/>
  <c r="F73" i="15"/>
  <c r="M51" i="15"/>
  <c r="P51" i="15"/>
  <c r="O51" i="15"/>
  <c r="F51" i="15"/>
  <c r="O37" i="20"/>
  <c r="G51" i="15"/>
  <c r="H37" i="20"/>
  <c r="L51" i="15"/>
  <c r="N51" i="15"/>
  <c r="L37" i="20"/>
  <c r="D37" i="20"/>
  <c r="E51" i="15"/>
  <c r="H51" i="15"/>
  <c r="I51" i="15"/>
  <c r="K37" i="20"/>
  <c r="D51" i="15"/>
  <c r="C37" i="20"/>
  <c r="E13" i="20" l="1"/>
  <c r="J12" i="20"/>
  <c r="K51" i="15"/>
  <c r="G13" i="20"/>
  <c r="J73" i="15"/>
  <c r="J70" i="15"/>
  <c r="J185" i="15" s="1"/>
  <c r="J63" i="15"/>
  <c r="J69" i="15" s="1"/>
  <c r="B73" i="15"/>
  <c r="B51" i="15"/>
  <c r="L13" i="20"/>
  <c r="L185" i="15"/>
  <c r="C13" i="20"/>
  <c r="C185" i="15"/>
  <c r="N13" i="20"/>
  <c r="N185" i="15"/>
  <c r="C51" i="15"/>
  <c r="H13" i="20"/>
  <c r="H185" i="15"/>
  <c r="B70" i="15"/>
  <c r="D13" i="20"/>
  <c r="D185" i="15"/>
  <c r="O13" i="20"/>
  <c r="B57" i="15"/>
  <c r="B12" i="20"/>
  <c r="O64" i="15"/>
  <c r="I64" i="15"/>
  <c r="N64" i="15"/>
  <c r="F64" i="15"/>
  <c r="G64" i="15"/>
  <c r="P64" i="15"/>
  <c r="B64" i="15"/>
  <c r="L64" i="15"/>
  <c r="H64" i="15"/>
  <c r="M64" i="15"/>
  <c r="C64" i="15"/>
  <c r="B71" i="15"/>
  <c r="B4" i="16"/>
  <c r="B29" i="16" s="1"/>
  <c r="G71" i="15"/>
  <c r="G4" i="16"/>
  <c r="G29" i="16" s="1"/>
  <c r="E71" i="15"/>
  <c r="E4" i="16"/>
  <c r="E29" i="16" s="1"/>
  <c r="I71" i="15"/>
  <c r="I4" i="16"/>
  <c r="I29" i="16" s="1"/>
  <c r="K71" i="15"/>
  <c r="K4" i="16"/>
  <c r="K29" i="16" s="1"/>
  <c r="N71" i="15"/>
  <c r="N4" i="16"/>
  <c r="N29" i="16" s="1"/>
  <c r="F71" i="15"/>
  <c r="F4" i="16"/>
  <c r="F29" i="16" s="1"/>
  <c r="D71" i="15"/>
  <c r="D4" i="16"/>
  <c r="D29" i="16" s="1"/>
  <c r="C71" i="15"/>
  <c r="C4" i="16"/>
  <c r="C29" i="16" s="1"/>
  <c r="L71" i="15"/>
  <c r="L4" i="16"/>
  <c r="L29" i="16" s="1"/>
  <c r="H71" i="15"/>
  <c r="H4" i="16"/>
  <c r="H29" i="16" s="1"/>
  <c r="J71" i="15"/>
  <c r="J4" i="16"/>
  <c r="J29" i="16" s="1"/>
  <c r="M71" i="15"/>
  <c r="M4" i="16"/>
  <c r="M29" i="16" s="1"/>
  <c r="O71" i="15"/>
  <c r="O4" i="16"/>
  <c r="O29" i="16" s="1"/>
  <c r="N40" i="20"/>
  <c r="E39" i="20"/>
  <c r="M40" i="20"/>
  <c r="F40" i="20"/>
  <c r="J74" i="15"/>
  <c r="B40" i="20"/>
  <c r="L40" i="20"/>
  <c r="C40" i="20"/>
  <c r="K40" i="20"/>
  <c r="H74" i="15"/>
  <c r="G74" i="15"/>
  <c r="O74" i="15"/>
  <c r="M74" i="15"/>
  <c r="F74" i="15"/>
  <c r="D74" i="15"/>
  <c r="K74" i="15"/>
  <c r="E74" i="15"/>
  <c r="I74" i="15"/>
  <c r="C74" i="15"/>
  <c r="N74" i="15"/>
  <c r="L74" i="15"/>
  <c r="B74" i="15"/>
  <c r="H40" i="20"/>
  <c r="I40" i="20"/>
  <c r="J40" i="20"/>
  <c r="J39" i="20"/>
  <c r="M57" i="15"/>
  <c r="F57" i="15"/>
  <c r="G39" i="20"/>
  <c r="D57" i="15"/>
  <c r="C57" i="15"/>
  <c r="H57" i="15"/>
  <c r="I39" i="20"/>
  <c r="N57" i="15"/>
  <c r="K57" i="15"/>
  <c r="I57" i="15"/>
  <c r="E57" i="15"/>
  <c r="L57" i="15"/>
  <c r="G57" i="15"/>
  <c r="J57" i="15"/>
  <c r="P57" i="15"/>
  <c r="O57" i="15"/>
  <c r="G40" i="20"/>
  <c r="J13" i="20" l="1"/>
  <c r="K64" i="15"/>
  <c r="J64" i="15"/>
  <c r="B13" i="20"/>
  <c r="B185" i="15"/>
  <c r="N39" i="20"/>
  <c r="M39" i="20"/>
  <c r="J59" i="16"/>
  <c r="J77" i="16"/>
  <c r="J18" i="20"/>
  <c r="L59" i="16"/>
  <c r="L77" i="16"/>
  <c r="L18" i="20"/>
  <c r="D59" i="16"/>
  <c r="D18" i="20"/>
  <c r="D77" i="16"/>
  <c r="N59" i="16"/>
  <c r="N18" i="20"/>
  <c r="N77" i="16"/>
  <c r="I59" i="16"/>
  <c r="I18" i="20"/>
  <c r="I77" i="16"/>
  <c r="G59" i="16"/>
  <c r="G18" i="20"/>
  <c r="G77" i="16"/>
  <c r="H59" i="16"/>
  <c r="H18" i="20"/>
  <c r="H77" i="16"/>
  <c r="C59" i="16"/>
  <c r="C18" i="20"/>
  <c r="C77" i="16"/>
  <c r="F59" i="16"/>
  <c r="F77" i="16"/>
  <c r="F18" i="20"/>
  <c r="K59" i="16"/>
  <c r="K77" i="16"/>
  <c r="K18" i="20"/>
  <c r="E59" i="16"/>
  <c r="E18" i="20"/>
  <c r="E77" i="16"/>
  <c r="B59" i="16"/>
  <c r="B62" i="16" s="1"/>
  <c r="B18" i="20"/>
  <c r="B77" i="16"/>
  <c r="M59" i="16"/>
  <c r="M18" i="20"/>
  <c r="M77" i="16"/>
  <c r="O59" i="16"/>
  <c r="O77" i="16"/>
  <c r="O18" i="20"/>
  <c r="E40" i="20"/>
  <c r="F39" i="20"/>
  <c r="B39" i="20"/>
  <c r="L39" i="20"/>
  <c r="C39" i="20"/>
  <c r="K39" i="20"/>
  <c r="H39" i="20"/>
  <c r="O39" i="20"/>
  <c r="O40" i="20"/>
  <c r="D39" i="20"/>
  <c r="D40" i="20"/>
  <c r="U34" i="15"/>
  <c r="S34" i="15"/>
  <c r="Q34" i="15"/>
  <c r="R34" i="15"/>
  <c r="T34" i="15"/>
  <c r="B20" i="20" l="1"/>
  <c r="B79" i="16"/>
  <c r="B82" i="16"/>
  <c r="B23" i="20" s="1"/>
  <c r="B78" i="16"/>
  <c r="B21" i="20" s="1"/>
  <c r="C20" i="20"/>
  <c r="C82" i="16"/>
  <c r="C23" i="20" s="1"/>
  <c r="C78" i="16"/>
  <c r="C21" i="20" s="1"/>
  <c r="C79" i="16"/>
  <c r="N20" i="20"/>
  <c r="N78" i="16"/>
  <c r="N21" i="20" s="1"/>
  <c r="N82" i="16"/>
  <c r="N23" i="20" s="1"/>
  <c r="N79" i="16"/>
  <c r="I20" i="20"/>
  <c r="I79" i="16"/>
  <c r="I82" i="16"/>
  <c r="I23" i="20" s="1"/>
  <c r="I78" i="16"/>
  <c r="I21" i="20" s="1"/>
  <c r="J20" i="20"/>
  <c r="J78" i="16"/>
  <c r="J21" i="20" s="1"/>
  <c r="J82" i="16"/>
  <c r="J23" i="20" s="1"/>
  <c r="J79" i="16"/>
  <c r="B64" i="16"/>
  <c r="B65" i="16" s="1"/>
  <c r="C61" i="16"/>
  <c r="C62" i="16" s="1"/>
  <c r="F20" i="20"/>
  <c r="F78" i="16"/>
  <c r="F21" i="20" s="1"/>
  <c r="F79" i="16"/>
  <c r="F82" i="16"/>
  <c r="F23" i="20" s="1"/>
  <c r="G20" i="20"/>
  <c r="G82" i="16"/>
  <c r="G23" i="20" s="1"/>
  <c r="G79" i="16"/>
  <c r="G78" i="16"/>
  <c r="G21" i="20" s="1"/>
  <c r="E20" i="20"/>
  <c r="E79" i="16"/>
  <c r="E82" i="16"/>
  <c r="E23" i="20" s="1"/>
  <c r="E78" i="16"/>
  <c r="E21" i="20" s="1"/>
  <c r="K20" i="20"/>
  <c r="K79" i="16"/>
  <c r="K82" i="16"/>
  <c r="K23" i="20" s="1"/>
  <c r="K78" i="16"/>
  <c r="K21" i="20" s="1"/>
  <c r="H20" i="20"/>
  <c r="H79" i="16"/>
  <c r="H82" i="16"/>
  <c r="H23" i="20" s="1"/>
  <c r="H78" i="16"/>
  <c r="H21" i="20" s="1"/>
  <c r="D20" i="20"/>
  <c r="D82" i="16"/>
  <c r="D23" i="20" s="1"/>
  <c r="D78" i="16"/>
  <c r="D21" i="20" s="1"/>
  <c r="D79" i="16"/>
  <c r="L20" i="20"/>
  <c r="L82" i="16"/>
  <c r="L23" i="20" s="1"/>
  <c r="L78" i="16"/>
  <c r="L21" i="20" s="1"/>
  <c r="L79" i="16"/>
  <c r="M20" i="20"/>
  <c r="M79" i="16"/>
  <c r="M82" i="16"/>
  <c r="M23" i="20" s="1"/>
  <c r="M78" i="16"/>
  <c r="M21" i="20" s="1"/>
  <c r="O20" i="20"/>
  <c r="O79" i="16"/>
  <c r="O78" i="16"/>
  <c r="O21" i="20" s="1"/>
  <c r="O82" i="16"/>
  <c r="O23" i="20" s="1"/>
  <c r="Q40" i="15"/>
  <c r="Q46" i="15" s="1"/>
  <c r="S40" i="15"/>
  <c r="S46" i="15" s="1"/>
  <c r="R40" i="15"/>
  <c r="R46" i="15" s="1"/>
  <c r="T97" i="15"/>
  <c r="S97" i="15"/>
  <c r="T8" i="20"/>
  <c r="T40" i="15"/>
  <c r="T46" i="15" s="1"/>
  <c r="R8" i="20"/>
  <c r="R97" i="15"/>
  <c r="R86" i="18" s="1"/>
  <c r="Q8" i="20"/>
  <c r="Q97" i="15"/>
  <c r="Q86" i="18" s="1"/>
  <c r="U8" i="20"/>
  <c r="U97" i="15"/>
  <c r="S8" i="20"/>
  <c r="U40" i="15"/>
  <c r="U46" i="15" s="1"/>
  <c r="S50" i="15" l="1"/>
  <c r="S56" i="15"/>
  <c r="S60" i="15" s="1"/>
  <c r="Q50" i="15"/>
  <c r="Q56" i="15"/>
  <c r="Q60" i="15" s="1"/>
  <c r="U50" i="15"/>
  <c r="U56" i="15"/>
  <c r="U60" i="15" s="1"/>
  <c r="T50" i="15"/>
  <c r="T63" i="15" s="1"/>
  <c r="T69" i="15" s="1"/>
  <c r="T56" i="15"/>
  <c r="T60" i="15" s="1"/>
  <c r="R50" i="15"/>
  <c r="R56" i="15"/>
  <c r="R60" i="15" s="1"/>
  <c r="U86" i="18"/>
  <c r="S98" i="15"/>
  <c r="S7" i="20" s="1"/>
  <c r="S86" i="18"/>
  <c r="T98" i="15"/>
  <c r="T7" i="20" s="1"/>
  <c r="T86" i="18"/>
  <c r="R10" i="20"/>
  <c r="Q10" i="20"/>
  <c r="C64" i="16"/>
  <c r="C65" i="16" s="1"/>
  <c r="D61" i="16"/>
  <c r="D62" i="16" s="1"/>
  <c r="S10" i="20"/>
  <c r="T6" i="20"/>
  <c r="S6" i="20"/>
  <c r="U10" i="20"/>
  <c r="R6" i="20"/>
  <c r="R98" i="15"/>
  <c r="R7" i="20" s="1"/>
  <c r="Q6" i="20"/>
  <c r="Q98" i="15"/>
  <c r="Q7" i="20" s="1"/>
  <c r="T10" i="20"/>
  <c r="U6" i="20"/>
  <c r="U98" i="15"/>
  <c r="U7" i="20" s="1"/>
  <c r="T70" i="15" l="1"/>
  <c r="T13" i="20" s="1"/>
  <c r="T12" i="20"/>
  <c r="U63" i="15"/>
  <c r="U69" i="15" s="1"/>
  <c r="U12" i="20"/>
  <c r="U70" i="15"/>
  <c r="S73" i="15"/>
  <c r="R70" i="15"/>
  <c r="R13" i="20" s="1"/>
  <c r="R63" i="15"/>
  <c r="R69" i="15" s="1"/>
  <c r="S63" i="15"/>
  <c r="S69" i="15" s="1"/>
  <c r="S70" i="15"/>
  <c r="S13" i="20" s="1"/>
  <c r="Q70" i="15"/>
  <c r="Q13" i="20" s="1"/>
  <c r="Q63" i="15"/>
  <c r="Q69" i="15" s="1"/>
  <c r="R73" i="15"/>
  <c r="D64" i="16"/>
  <c r="D65" i="16" s="1"/>
  <c r="E61" i="16"/>
  <c r="E62" i="16" s="1"/>
  <c r="Q73" i="15"/>
  <c r="T71" i="15"/>
  <c r="T73" i="15"/>
  <c r="U73" i="15"/>
  <c r="U71" i="15" l="1"/>
  <c r="U13" i="20"/>
  <c r="Q71" i="15"/>
  <c r="Q12" i="20"/>
  <c r="S71" i="15"/>
  <c r="S12" i="20"/>
  <c r="R71" i="15"/>
  <c r="R12" i="20"/>
  <c r="S74" i="15"/>
  <c r="Q74" i="15"/>
  <c r="F61" i="16"/>
  <c r="F62" i="16" s="1"/>
  <c r="E64" i="16"/>
  <c r="E65" i="16" s="1"/>
  <c r="R74" i="15"/>
  <c r="T74" i="15"/>
  <c r="U74" i="15"/>
  <c r="F64" i="16" l="1"/>
  <c r="F65" i="16" s="1"/>
  <c r="G61" i="16"/>
  <c r="G62" i="16" s="1"/>
  <c r="X45" i="20"/>
  <c r="G64" i="16" l="1"/>
  <c r="G65" i="16" s="1"/>
  <c r="H61" i="16"/>
  <c r="H62" i="16" s="1"/>
  <c r="X44" i="20"/>
  <c r="X184" i="15" l="1"/>
  <c r="X5" i="20"/>
  <c r="X4" i="20"/>
  <c r="N161" i="48"/>
  <c r="H64" i="16"/>
  <c r="H65" i="16" s="1"/>
  <c r="I61" i="16"/>
  <c r="I62" i="16" s="1"/>
  <c r="X46" i="20"/>
  <c r="X19" i="20" l="1"/>
  <c r="J61" i="16"/>
  <c r="J62" i="16" s="1"/>
  <c r="I64" i="16"/>
  <c r="I65" i="16" s="1"/>
  <c r="X8" i="20" l="1"/>
  <c r="J64" i="16"/>
  <c r="J65" i="16" s="1"/>
  <c r="K61" i="16"/>
  <c r="K62" i="16" s="1"/>
  <c r="AA46" i="20"/>
  <c r="AA41" i="7" l="1"/>
  <c r="K64" i="16"/>
  <c r="K65" i="16" s="1"/>
  <c r="L61" i="16"/>
  <c r="L62" i="16" s="1"/>
  <c r="X9" i="20" l="1"/>
  <c r="L64" i="16"/>
  <c r="L65" i="16" s="1"/>
  <c r="M61" i="16"/>
  <c r="M62" i="16" s="1"/>
  <c r="M64" i="16" l="1"/>
  <c r="M65" i="16" s="1"/>
  <c r="N61" i="16"/>
  <c r="N62" i="16" s="1"/>
  <c r="N64" i="16" l="1"/>
  <c r="N65" i="16" s="1"/>
  <c r="O61" i="16"/>
  <c r="O62" i="16" s="1"/>
  <c r="O64" i="16" l="1"/>
  <c r="O65" i="16" s="1"/>
  <c r="P61" i="16"/>
  <c r="P62" i="16" s="1"/>
  <c r="P64" i="16" s="1"/>
  <c r="P65" i="16" l="1"/>
  <c r="B61" i="14"/>
  <c r="F61" i="14" l="1"/>
  <c r="B62" i="14"/>
  <c r="B64" i="14" l="1"/>
  <c r="B65" i="14" s="1"/>
  <c r="C61" i="14"/>
  <c r="C62" i="14" s="1"/>
  <c r="F62" i="14"/>
  <c r="Q61" i="16"/>
  <c r="Q62" i="16" l="1"/>
  <c r="G61" i="14"/>
  <c r="F64" i="14"/>
  <c r="C64" i="14"/>
  <c r="C65" i="14" s="1"/>
  <c r="D61" i="14"/>
  <c r="D62" i="14" s="1"/>
  <c r="Q64" i="16" l="1"/>
  <c r="Q65" i="16" s="1"/>
  <c r="F65" i="14"/>
  <c r="K61" i="14"/>
  <c r="G62" i="14"/>
  <c r="D64" i="14"/>
  <c r="D65" i="14" s="1"/>
  <c r="E61" i="14"/>
  <c r="E62" i="14" s="1"/>
  <c r="E64" i="14" s="1"/>
  <c r="E65" i="14" s="1"/>
  <c r="H61" i="14" l="1"/>
  <c r="H62" i="14" s="1"/>
  <c r="G64" i="14"/>
  <c r="G65" i="14" s="1"/>
  <c r="R61" i="16"/>
  <c r="K62" i="14"/>
  <c r="R62" i="16" l="1"/>
  <c r="L61" i="14"/>
  <c r="K64" i="14"/>
  <c r="H64" i="14"/>
  <c r="H65" i="14" s="1"/>
  <c r="I61" i="14"/>
  <c r="I62" i="14" s="1"/>
  <c r="R64" i="16" l="1"/>
  <c r="R65" i="16" s="1"/>
  <c r="K65" i="14"/>
  <c r="L62" i="14"/>
  <c r="P61" i="14"/>
  <c r="J61" i="14"/>
  <c r="J62" i="14" s="1"/>
  <c r="J64" i="14" s="1"/>
  <c r="J65" i="14" s="1"/>
  <c r="I64" i="14"/>
  <c r="I65" i="14" s="1"/>
  <c r="P62" i="14" l="1"/>
  <c r="S61" i="16"/>
  <c r="L64" i="14"/>
  <c r="L65" i="14" s="1"/>
  <c r="M61" i="14"/>
  <c r="M62" i="14" s="1"/>
  <c r="M64" i="14" l="1"/>
  <c r="M65" i="14" s="1"/>
  <c r="N61" i="14"/>
  <c r="N62" i="14" s="1"/>
  <c r="S62" i="16"/>
  <c r="P64" i="14"/>
  <c r="S64" i="16" l="1"/>
  <c r="S65" i="16" s="1"/>
  <c r="P65" i="14"/>
  <c r="N64" i="14"/>
  <c r="N65" i="14" s="1"/>
  <c r="O61" i="14"/>
  <c r="O62" i="14" s="1"/>
  <c r="O64" i="14" s="1"/>
  <c r="O65" i="14" s="1"/>
  <c r="AD109" i="13" l="1"/>
  <c r="AD115" i="13" s="1"/>
  <c r="AF109" i="13"/>
  <c r="AF115" i="13" s="1"/>
  <c r="AC109" i="13" l="1"/>
  <c r="AC115" i="13" s="1"/>
  <c r="V7" i="7" l="1"/>
  <c r="V6" i="7"/>
  <c r="AE109" i="13"/>
  <c r="V8" i="7"/>
  <c r="AH109" i="13"/>
  <c r="AH115" i="13" s="1"/>
  <c r="AG109" i="13"/>
  <c r="AG115" i="13" s="1"/>
  <c r="W6" i="7" l="1"/>
  <c r="W7" i="7"/>
  <c r="W8" i="7"/>
  <c r="AE115" i="13"/>
  <c r="V109" i="15"/>
  <c r="V115" i="15" s="1"/>
  <c r="W109" i="15"/>
  <c r="W115" i="15" s="1"/>
  <c r="AC68" i="14" l="1"/>
  <c r="AB96" i="13" l="1"/>
  <c r="AE24" i="17" l="1"/>
  <c r="V24" i="18" l="1"/>
  <c r="W24" i="18" l="1"/>
  <c r="AC24" i="18" s="1"/>
  <c r="AD24" i="18" s="1"/>
  <c r="AE24" i="18" s="1"/>
  <c r="AF24" i="18" s="1"/>
  <c r="AE6" i="17" l="1"/>
  <c r="V6" i="18" l="1"/>
  <c r="V88" i="16" l="1"/>
  <c r="AC88" i="14" l="1"/>
  <c r="AD88" i="14" l="1"/>
  <c r="V25" i="16" l="1"/>
  <c r="AE42" i="17" l="1"/>
  <c r="V42" i="18" s="1"/>
  <c r="AE46" i="17" l="1"/>
  <c r="V46" i="18" s="1"/>
  <c r="AE78" i="17"/>
  <c r="V78" i="18" s="1"/>
  <c r="V7" i="16"/>
  <c r="W88" i="16" l="1"/>
  <c r="AG88" i="14" l="1"/>
  <c r="AH88" i="14" l="1"/>
  <c r="AI88" i="14" s="1"/>
  <c r="W25" i="16" s="1"/>
  <c r="W78" i="18" l="1"/>
  <c r="W42" i="18"/>
  <c r="W7" i="16" l="1"/>
  <c r="W46" i="18"/>
  <c r="AG173" i="13" l="1"/>
  <c r="AI173" i="13"/>
  <c r="Y171" i="15" l="1"/>
  <c r="Z171" i="15" s="1"/>
  <c r="AA171" i="15" s="1"/>
  <c r="AB171" i="15" s="1"/>
  <c r="AC171" i="15" s="1"/>
  <c r="AD171" i="15" s="1"/>
  <c r="AE171" i="15" s="1"/>
  <c r="AF171" i="15" s="1"/>
  <c r="AC14" i="13" l="1"/>
  <c r="AD14" i="13" l="1"/>
  <c r="V23" i="10" l="1"/>
  <c r="V20" i="10"/>
  <c r="AA27" i="2"/>
  <c r="AE27" i="2" s="1"/>
  <c r="AE14" i="13"/>
  <c r="V14" i="15" l="1"/>
  <c r="AE20" i="13"/>
  <c r="AE34" i="13" s="1"/>
  <c r="V15" i="10"/>
  <c r="V14" i="10"/>
  <c r="V20" i="15" l="1"/>
  <c r="V34" i="15" s="1"/>
  <c r="AE174" i="13"/>
  <c r="AE118" i="13"/>
  <c r="AE35" i="13"/>
  <c r="V35" i="15" s="1"/>
  <c r="V9" i="20" s="1"/>
  <c r="V10" i="10"/>
  <c r="V13" i="10" s="1"/>
  <c r="V19" i="10" s="1"/>
  <c r="V11" i="10"/>
  <c r="V67" i="47" l="1"/>
  <c r="V8" i="20"/>
  <c r="AE121" i="13"/>
  <c r="V118" i="15"/>
  <c r="V123" i="15" s="1"/>
  <c r="V22" i="10"/>
  <c r="V53" i="20"/>
  <c r="V54" i="20" l="1"/>
  <c r="V68" i="47"/>
  <c r="V121" i="15"/>
  <c r="AE123" i="13"/>
  <c r="AF4" i="13" l="1"/>
  <c r="AI26" i="2" l="1"/>
  <c r="AJ26" i="2" s="1"/>
  <c r="AJ14" i="13"/>
  <c r="AI4" i="13"/>
  <c r="W23" i="10" l="1"/>
  <c r="W20" i="10"/>
  <c r="W14" i="15"/>
  <c r="AF14" i="13" l="1"/>
  <c r="AG14" i="13"/>
  <c r="AH14" i="13"/>
  <c r="AI27" i="2" l="1"/>
  <c r="AJ27" i="2" s="1"/>
  <c r="AI14" i="13"/>
  <c r="W15" i="10" l="1"/>
  <c r="W14" i="10"/>
  <c r="W10" i="10" l="1"/>
  <c r="W11" i="10"/>
  <c r="W13" i="10" l="1"/>
  <c r="W19" i="10" l="1"/>
  <c r="W67" i="47" l="1"/>
  <c r="W66" i="47" s="1"/>
  <c r="X20" i="10"/>
  <c r="W22" i="10"/>
  <c r="W68" i="47" s="1"/>
  <c r="W53" i="20"/>
  <c r="W54" i="20" l="1"/>
  <c r="AF3" i="13" l="1"/>
  <c r="AF13" i="13"/>
  <c r="AF20" i="13" l="1"/>
  <c r="AF10" i="13"/>
  <c r="AF79" i="17" l="1"/>
  <c r="AF75" i="17"/>
  <c r="AF69" i="17"/>
  <c r="AF78" i="17"/>
  <c r="AF74" i="17"/>
  <c r="AF68" i="17"/>
  <c r="AF77" i="17"/>
  <c r="AF74" i="14"/>
  <c r="AF76" i="17"/>
  <c r="AK11" i="13"/>
  <c r="AF105" i="13"/>
  <c r="AF11" i="13"/>
  <c r="AF34" i="13"/>
  <c r="AF106" i="13" l="1"/>
  <c r="AF174" i="13"/>
  <c r="AF40" i="13"/>
  <c r="AF35" i="13"/>
  <c r="AF118" i="13"/>
  <c r="AF121" i="13" s="1"/>
  <c r="AF123" i="13" s="1"/>
  <c r="AF102" i="13"/>
  <c r="AF103" i="13" l="1"/>
  <c r="AK103" i="13"/>
  <c r="AK41" i="13"/>
  <c r="AC13" i="13" l="1"/>
  <c r="AB13" i="13"/>
  <c r="AB20" i="13" l="1"/>
  <c r="AC20" i="13"/>
  <c r="AC45" i="1"/>
  <c r="AD13" i="13"/>
  <c r="AD20" i="13" l="1"/>
  <c r="AB34" i="13"/>
  <c r="AC34" i="13"/>
  <c r="AE45" i="1"/>
  <c r="AE46" i="1" s="1"/>
  <c r="AD45" i="1"/>
  <c r="AC46" i="1"/>
  <c r="AC51" i="1"/>
  <c r="AD10" i="1"/>
  <c r="AI11" i="1" s="1"/>
  <c r="AD14" i="1"/>
  <c r="AD15" i="1"/>
  <c r="AD34" i="13" l="1"/>
  <c r="AC40" i="13"/>
  <c r="AB35" i="13"/>
  <c r="AB174" i="13"/>
  <c r="AB97" i="13"/>
  <c r="AB40" i="13"/>
  <c r="AB46" i="13" s="1"/>
  <c r="AB56" i="13" s="1"/>
  <c r="AB60" i="13" s="1"/>
  <c r="AB118" i="13"/>
  <c r="AB121" i="13" s="1"/>
  <c r="AB123" i="13" s="1"/>
  <c r="AE14" i="1"/>
  <c r="V14" i="7" s="1"/>
  <c r="AE15" i="1"/>
  <c r="V15" i="7" s="1"/>
  <c r="AC118" i="13"/>
  <c r="AC121" i="13" s="1"/>
  <c r="AC123" i="13" s="1"/>
  <c r="AE10" i="1"/>
  <c r="AD46" i="1"/>
  <c r="AD51" i="1"/>
  <c r="AE51" i="1" s="1"/>
  <c r="AD11" i="1"/>
  <c r="V10" i="7" l="1"/>
  <c r="V13" i="7" s="1"/>
  <c r="AJ11" i="1"/>
  <c r="AD118" i="13"/>
  <c r="AD121" i="13" s="1"/>
  <c r="AD123" i="13" s="1"/>
  <c r="AC46" i="13"/>
  <c r="AC41" i="13"/>
  <c r="AB4" i="14"/>
  <c r="AB50" i="13"/>
  <c r="AB98" i="13"/>
  <c r="AB41" i="13"/>
  <c r="V101" i="15"/>
  <c r="AE11" i="1"/>
  <c r="V11" i="7" s="1"/>
  <c r="L48" i="52" l="1"/>
  <c r="L49" i="52" s="1"/>
  <c r="AC50" i="13"/>
  <c r="AC4" i="14"/>
  <c r="AC29" i="14" s="1"/>
  <c r="AB73" i="13"/>
  <c r="AB70" i="13"/>
  <c r="AB63" i="13"/>
  <c r="AB51" i="13"/>
  <c r="V103" i="15"/>
  <c r="V19" i="7"/>
  <c r="V62" i="46" s="1"/>
  <c r="V61" i="46" s="1"/>
  <c r="V41" i="7"/>
  <c r="AB57" i="13"/>
  <c r="AB29" i="14"/>
  <c r="AB71" i="13"/>
  <c r="AB74" i="13"/>
  <c r="AC51" i="13" l="1"/>
  <c r="AC63" i="13"/>
  <c r="AC77" i="14"/>
  <c r="AC59" i="14"/>
  <c r="AB64" i="13"/>
  <c r="AB69" i="13"/>
  <c r="V42" i="7"/>
  <c r="V47" i="7"/>
  <c r="V22" i="7"/>
  <c r="V46" i="20"/>
  <c r="AB77" i="14"/>
  <c r="AB59" i="14"/>
  <c r="AB62" i="14" s="1"/>
  <c r="AB64" i="14" s="1"/>
  <c r="AB65" i="14" s="1"/>
  <c r="V47" i="20" l="1"/>
  <c r="V63" i="46"/>
  <c r="AC69" i="13"/>
  <c r="AC79" i="14"/>
  <c r="AC82" i="14"/>
  <c r="AC78" i="14"/>
  <c r="AB79" i="14"/>
  <c r="AB78" i="14"/>
  <c r="AB82" i="14"/>
  <c r="AB62" i="17"/>
  <c r="AB64" i="17" s="1"/>
  <c r="AC61" i="14" l="1"/>
  <c r="AB27" i="17" l="1"/>
  <c r="AB65" i="17" s="1"/>
  <c r="AB84" i="17" l="1"/>
  <c r="W101" i="15" l="1"/>
  <c r="BM30" i="48" l="1"/>
  <c r="BM19" i="48" l="1"/>
  <c r="BM23" i="48" s="1"/>
  <c r="BM25" i="48" l="1"/>
  <c r="BM28" i="48" s="1"/>
  <c r="BM32" i="48" l="1"/>
  <c r="BM36" i="48"/>
  <c r="BN21" i="48" l="1"/>
  <c r="L18" i="48"/>
  <c r="L22" i="48" s="1"/>
  <c r="BN30" i="48" l="1"/>
  <c r="BN34" i="48"/>
  <c r="L35" i="48"/>
  <c r="L31" i="48"/>
  <c r="BN19" i="48"/>
  <c r="BN25" i="48" s="1"/>
  <c r="BN28" i="48" s="1"/>
  <c r="BN22" i="48"/>
  <c r="BO22" i="48"/>
  <c r="BO31" i="48" l="1"/>
  <c r="BO35" i="48"/>
  <c r="BN31" i="48"/>
  <c r="BN35" i="48"/>
  <c r="BO19" i="48"/>
  <c r="BO25" i="48" s="1"/>
  <c r="BO28" i="48" s="1"/>
  <c r="L17" i="48"/>
  <c r="BO21" i="48"/>
  <c r="BN23" i="48"/>
  <c r="BN36" i="48" s="1"/>
  <c r="BO23" i="48" l="1"/>
  <c r="BO36" i="48" s="1"/>
  <c r="BO30" i="48"/>
  <c r="BO34" i="48"/>
  <c r="L21" i="48"/>
  <c r="L19" i="48"/>
  <c r="BN32" i="48"/>
  <c r="BO32" i="48" l="1"/>
  <c r="L23" i="48"/>
  <c r="L25" i="48"/>
  <c r="L28" i="48" s="1"/>
  <c r="L29" i="48" s="1"/>
  <c r="L34" i="48"/>
  <c r="L30" i="48"/>
  <c r="BN53" i="48"/>
  <c r="BN57" i="48" s="1"/>
  <c r="BN65" i="48" s="1"/>
  <c r="BN54" i="48"/>
  <c r="BN55" i="48" l="1"/>
  <c r="BN61" i="48" s="1"/>
  <c r="BN63" i="48" s="1"/>
  <c r="L36" i="48"/>
  <c r="L37" i="48" s="1"/>
  <c r="L32" i="48"/>
  <c r="V86" i="46" s="1"/>
  <c r="V93" i="46" s="1"/>
  <c r="BO53" i="48"/>
  <c r="BO57" i="48" s="1"/>
  <c r="BO65" i="48" s="1"/>
  <c r="BO54" i="48"/>
  <c r="BO58" i="48" s="1"/>
  <c r="BO66" i="48" s="1"/>
  <c r="BN58" i="48"/>
  <c r="BN66" i="48" s="1"/>
  <c r="BN59" i="48" l="1"/>
  <c r="BN71" i="48" s="1"/>
  <c r="BP53" i="48"/>
  <c r="BQ53" i="48" s="1"/>
  <c r="BR53" i="48" s="1"/>
  <c r="BP54" i="48"/>
  <c r="BP58" i="48" s="1"/>
  <c r="BP66" i="48" s="1"/>
  <c r="BO55" i="48"/>
  <c r="BN67" i="48" l="1"/>
  <c r="BP57" i="48"/>
  <c r="BP65" i="48" s="1"/>
  <c r="BQ57" i="48"/>
  <c r="BQ65" i="48" s="1"/>
  <c r="BR57" i="48"/>
  <c r="BR65" i="48" s="1"/>
  <c r="BS53" i="48"/>
  <c r="BO61" i="48"/>
  <c r="BO63" i="48" s="1"/>
  <c r="BO59" i="48"/>
  <c r="BQ54" i="48"/>
  <c r="BP55" i="48"/>
  <c r="BS57" i="48" l="1"/>
  <c r="BS65" i="48" s="1"/>
  <c r="BT53" i="48"/>
  <c r="BT57" i="48" s="1"/>
  <c r="BT65" i="48" s="1"/>
  <c r="BP61" i="48"/>
  <c r="BP63" i="48" s="1"/>
  <c r="BR54" i="48"/>
  <c r="BQ55" i="48"/>
  <c r="BO67" i="48"/>
  <c r="BO71" i="48"/>
  <c r="BQ58" i="48"/>
  <c r="BQ66" i="48" s="1"/>
  <c r="BP59" i="48"/>
  <c r="BQ61" i="48" l="1"/>
  <c r="BQ63" i="48" s="1"/>
  <c r="BR55" i="48"/>
  <c r="BR59" i="48" s="1"/>
  <c r="BS54" i="48"/>
  <c r="BQ59" i="48"/>
  <c r="BP71" i="48"/>
  <c r="BP67" i="48"/>
  <c r="BR58" i="48"/>
  <c r="BR66" i="48" s="1"/>
  <c r="BS55" i="48" l="1"/>
  <c r="BS61" i="48" s="1"/>
  <c r="BS63" i="48" s="1"/>
  <c r="BT54" i="48"/>
  <c r="BT55" i="48" s="1"/>
  <c r="BS58" i="48"/>
  <c r="BS66" i="48" s="1"/>
  <c r="BR67" i="48"/>
  <c r="BR71" i="48"/>
  <c r="BR61" i="48"/>
  <c r="BR63" i="48" s="1"/>
  <c r="BQ71" i="48"/>
  <c r="BQ67" i="48"/>
  <c r="BS59" i="48" l="1"/>
  <c r="BS71" i="48" s="1"/>
  <c r="BT59" i="48"/>
  <c r="BT61" i="48"/>
  <c r="BT63" i="48" s="1"/>
  <c r="BT58" i="48"/>
  <c r="BT66" i="48" s="1"/>
  <c r="AB71" i="14"/>
  <c r="AA71" i="14"/>
  <c r="BS67" i="48" l="1"/>
  <c r="AC71" i="14"/>
  <c r="AD71" i="14" s="1"/>
  <c r="BT67" i="48"/>
  <c r="BT71" i="48"/>
  <c r="AC96" i="13" l="1"/>
  <c r="AC97" i="13" l="1"/>
  <c r="AC84" i="17" l="1"/>
  <c r="BM125" i="48"/>
  <c r="AB200" i="31" l="1"/>
  <c r="AB201" i="31" s="1"/>
  <c r="AC135" i="31"/>
  <c r="AC200" i="31" l="1"/>
  <c r="AC201" i="31" s="1"/>
  <c r="AD135" i="31"/>
  <c r="AE135" i="31" s="1"/>
  <c r="V135" i="32" s="1"/>
  <c r="AF135" i="31" l="1"/>
  <c r="AD200" i="31"/>
  <c r="AD201" i="31" s="1"/>
  <c r="AE201" i="31" s="1"/>
  <c r="V201" i="32" s="1"/>
  <c r="AF200" i="31" l="1"/>
  <c r="AF201" i="31" s="1"/>
  <c r="AC56" i="13"/>
  <c r="AC60" i="13" s="1"/>
  <c r="AG135" i="31"/>
  <c r="AG200" i="31" s="1"/>
  <c r="AG201" i="31" s="1"/>
  <c r="AE200" i="31"/>
  <c r="AH135" i="31" l="1"/>
  <c r="AH200" i="31" s="1"/>
  <c r="AH201" i="31" s="1"/>
  <c r="AC57" i="13"/>
  <c r="AE202" i="31"/>
  <c r="V202" i="32" s="1"/>
  <c r="V200" i="32"/>
  <c r="AD40" i="13"/>
  <c r="AI135" i="31" l="1"/>
  <c r="AI200" i="31" s="1"/>
  <c r="AI201" i="31" s="1"/>
  <c r="AJ201" i="31" s="1"/>
  <c r="W201" i="32" s="1"/>
  <c r="AC64" i="13"/>
  <c r="V37" i="15"/>
  <c r="AE40" i="13"/>
  <c r="AD41" i="13"/>
  <c r="AF41" i="13"/>
  <c r="AJ135" i="31" l="1"/>
  <c r="W135" i="32" s="1"/>
  <c r="AJ200" i="31"/>
  <c r="AF46" i="13"/>
  <c r="AD46" i="13"/>
  <c r="AD50" i="13" s="1"/>
  <c r="AE41" i="13"/>
  <c r="V41" i="15" s="1"/>
  <c r="AE43" i="13"/>
  <c r="AE46" i="13" s="1"/>
  <c r="V40" i="15"/>
  <c r="AF56" i="13" l="1"/>
  <c r="AK57" i="13" s="1"/>
  <c r="AF4" i="14"/>
  <c r="AF29" i="14" s="1"/>
  <c r="AD56" i="13"/>
  <c r="AD71" i="13" s="1"/>
  <c r="AE56" i="13"/>
  <c r="AE60" i="13" s="1"/>
  <c r="AE4" i="14"/>
  <c r="AD4" i="14" s="1"/>
  <c r="AD70" i="13"/>
  <c r="AF50" i="13"/>
  <c r="AE50" i="13"/>
  <c r="V10" i="20"/>
  <c r="AE44" i="13"/>
  <c r="V44" i="15" s="1"/>
  <c r="V43" i="15"/>
  <c r="AD63" i="13"/>
  <c r="AD51" i="13"/>
  <c r="W200" i="32"/>
  <c r="AJ202" i="31"/>
  <c r="W202" i="32" s="1"/>
  <c r="W37" i="15"/>
  <c r="AF57" i="13" l="1"/>
  <c r="AK51" i="13"/>
  <c r="AD69" i="13"/>
  <c r="AF60" i="13"/>
  <c r="AD60" i="13"/>
  <c r="AF77" i="14"/>
  <c r="AF59" i="14"/>
  <c r="AF51" i="13"/>
  <c r="AF63" i="13"/>
  <c r="V46" i="15"/>
  <c r="V11" i="20"/>
  <c r="AD64" i="13"/>
  <c r="AE63" i="13"/>
  <c r="AE51" i="13"/>
  <c r="AD57" i="13"/>
  <c r="CQ24" i="48" l="1"/>
  <c r="CR44" i="48" s="1"/>
  <c r="AK64" i="13"/>
  <c r="AF79" i="14"/>
  <c r="AF64" i="13"/>
  <c r="AF78" i="14"/>
  <c r="AF82" i="14"/>
  <c r="V50" i="15"/>
  <c r="V56" i="15"/>
  <c r="V60" i="15" s="1"/>
  <c r="V51" i="15"/>
  <c r="AE57" i="13"/>
  <c r="V57" i="15" s="1"/>
  <c r="AE64" i="13"/>
  <c r="V64" i="15" s="1"/>
  <c r="V12" i="20" l="1"/>
  <c r="V63" i="15"/>
  <c r="V4" i="16"/>
  <c r="CQ25" i="48" l="1"/>
  <c r="CR45" i="48" s="1"/>
  <c r="BP21" i="48" l="1"/>
  <c r="BP30" i="48" l="1"/>
  <c r="BP34" i="48"/>
  <c r="BQ21" i="48"/>
  <c r="BQ30" i="48" l="1"/>
  <c r="BQ34" i="48"/>
  <c r="BR21" i="48"/>
  <c r="BR30" i="48" l="1"/>
  <c r="BR34" i="48"/>
  <c r="BS21" i="48"/>
  <c r="BT30" i="48"/>
  <c r="M17" i="48"/>
  <c r="BS30" i="48" l="1"/>
  <c r="BS34" i="48"/>
  <c r="BU21" i="48"/>
  <c r="M21" i="48"/>
  <c r="BU30" i="48" l="1"/>
  <c r="BU34" i="48"/>
  <c r="O34" i="48" s="1"/>
  <c r="BV21" i="48"/>
  <c r="M30" i="48"/>
  <c r="M34" i="48"/>
  <c r="BV30" i="48" l="1"/>
  <c r="BV34" i="48"/>
  <c r="BX21" i="48"/>
  <c r="BW21" i="48"/>
  <c r="N17" i="48"/>
  <c r="BW30" i="48" l="1"/>
  <c r="BW34" i="48"/>
  <c r="BX30" i="48"/>
  <c r="BX34" i="48"/>
  <c r="BY21" i="48"/>
  <c r="O21" i="48"/>
  <c r="O30" i="48" s="1"/>
  <c r="N21" i="48"/>
  <c r="N30" i="48" s="1"/>
  <c r="BY30" i="48" l="1"/>
  <c r="BY34" i="48"/>
  <c r="P34" i="48" s="1"/>
  <c r="BZ21" i="48"/>
  <c r="P21" i="48"/>
  <c r="P30" i="48" s="1"/>
  <c r="BP22" i="48"/>
  <c r="BP19" i="48"/>
  <c r="BZ30" i="48" l="1"/>
  <c r="BZ34" i="48"/>
  <c r="BP31" i="48"/>
  <c r="BP35" i="48"/>
  <c r="BP23" i="48"/>
  <c r="BP25" i="48"/>
  <c r="BP28" i="48" s="1"/>
  <c r="CA21" i="48" l="1"/>
  <c r="CB21" i="48"/>
  <c r="BP36" i="48"/>
  <c r="BP32" i="48"/>
  <c r="BQ19" i="48"/>
  <c r="CB30" i="48" l="1"/>
  <c r="CB34" i="48"/>
  <c r="CA30" i="48"/>
  <c r="CA34" i="48"/>
  <c r="BQ23" i="48"/>
  <c r="BQ25" i="48"/>
  <c r="BQ28" i="48" s="1"/>
  <c r="BQ22" i="48"/>
  <c r="CC21" i="48" l="1"/>
  <c r="CD21" i="48"/>
  <c r="BQ31" i="48"/>
  <c r="BQ35" i="48"/>
  <c r="BQ32" i="48"/>
  <c r="BQ36" i="48"/>
  <c r="BR19" i="48"/>
  <c r="CD30" i="48" l="1"/>
  <c r="CD34" i="48"/>
  <c r="CC30" i="48"/>
  <c r="CC34" i="48"/>
  <c r="BR23" i="48"/>
  <c r="BR25" i="48"/>
  <c r="BR28" i="48" s="1"/>
  <c r="BR22" i="48"/>
  <c r="CF21" i="48" l="1"/>
  <c r="CE21" i="48"/>
  <c r="BR31" i="48"/>
  <c r="BR35" i="48"/>
  <c r="BR32" i="48"/>
  <c r="BR36" i="48"/>
  <c r="CF34" i="48" l="1"/>
  <c r="CE30" i="48"/>
  <c r="CE34" i="48"/>
  <c r="CF30" i="48"/>
  <c r="BS22" i="48"/>
  <c r="BT22" i="48"/>
  <c r="BS19" i="48"/>
  <c r="M18" i="48"/>
  <c r="M22" i="48" s="1"/>
  <c r="M31" i="48" s="1"/>
  <c r="CG21" i="48" l="1"/>
  <c r="BT31" i="48"/>
  <c r="BT35" i="48"/>
  <c r="N35" i="48" s="1"/>
  <c r="BS31" i="48"/>
  <c r="BS35" i="48"/>
  <c r="BS23" i="48"/>
  <c r="BS36" i="48" s="1"/>
  <c r="BU22" i="48"/>
  <c r="BT19" i="48"/>
  <c r="BT25" i="48" s="1"/>
  <c r="BS25" i="48"/>
  <c r="BS28" i="48" s="1"/>
  <c r="M19" i="48"/>
  <c r="M25" i="48" s="1"/>
  <c r="M28" i="48" s="1"/>
  <c r="M35" i="48"/>
  <c r="CG34" i="48" l="1"/>
  <c r="CG30" i="48"/>
  <c r="BU31" i="48"/>
  <c r="BU35" i="48"/>
  <c r="O35" i="48" s="1"/>
  <c r="BT28" i="48"/>
  <c r="BS32" i="48"/>
  <c r="BT23" i="48"/>
  <c r="BT32" i="48" s="1"/>
  <c r="BV22" i="48"/>
  <c r="BU19" i="48"/>
  <c r="M23" i="48"/>
  <c r="M36" i="48" s="1"/>
  <c r="M37" i="48" s="1"/>
  <c r="M29" i="48"/>
  <c r="CH21" i="48" l="1"/>
  <c r="BV31" i="48"/>
  <c r="BV35" i="48"/>
  <c r="BT36" i="48"/>
  <c r="BU23" i="48"/>
  <c r="BU25" i="48"/>
  <c r="BV19" i="48"/>
  <c r="M32" i="48"/>
  <c r="W86" i="46" s="1"/>
  <c r="W93" i="46" s="1"/>
  <c r="CH30" i="48" l="1"/>
  <c r="BX22" i="48"/>
  <c r="N18" i="48"/>
  <c r="N19" i="48" s="1"/>
  <c r="BU28" i="48"/>
  <c r="BW22" i="48"/>
  <c r="BW19" i="48"/>
  <c r="BV23" i="48"/>
  <c r="BV25" i="48"/>
  <c r="BU32" i="48"/>
  <c r="BU36" i="48"/>
  <c r="BX31" i="48" l="1"/>
  <c r="BX35" i="48"/>
  <c r="BW31" i="48"/>
  <c r="BW35" i="48"/>
  <c r="N22" i="48"/>
  <c r="N31" i="48" s="1"/>
  <c r="BY22" i="48"/>
  <c r="BX19" i="48"/>
  <c r="BX23" i="48" s="1"/>
  <c r="BW25" i="48"/>
  <c r="N25" i="48" s="1"/>
  <c r="N23" i="48"/>
  <c r="BV32" i="48"/>
  <c r="BV36" i="48"/>
  <c r="BV26" i="48" s="1"/>
  <c r="BW23" i="48"/>
  <c r="BY31" i="48" l="1"/>
  <c r="BY35" i="48"/>
  <c r="P35" i="48" s="1"/>
  <c r="O19" i="48"/>
  <c r="O25" i="48" s="1"/>
  <c r="O22" i="48"/>
  <c r="O31" i="48" s="1"/>
  <c r="BZ22" i="48"/>
  <c r="BY19" i="48"/>
  <c r="BY25" i="48" s="1"/>
  <c r="BX36" i="48"/>
  <c r="BX26" i="48" s="1"/>
  <c r="BX32" i="48"/>
  <c r="BX25" i="48"/>
  <c r="P22" i="48"/>
  <c r="P31" i="48" s="1"/>
  <c r="P19" i="48"/>
  <c r="N32" i="48"/>
  <c r="X86" i="46" s="1"/>
  <c r="BV28" i="48"/>
  <c r="BW32" i="48"/>
  <c r="BW36" i="48"/>
  <c r="BW26" i="48" s="1"/>
  <c r="BW28" i="48" s="1"/>
  <c r="V89" i="15"/>
  <c r="V90" i="15" s="1"/>
  <c r="BZ31" i="48" l="1"/>
  <c r="BZ35" i="48"/>
  <c r="O23" i="48"/>
  <c r="CQ20" i="48" s="1"/>
  <c r="CQ40" i="48" s="1"/>
  <c r="BX28" i="48"/>
  <c r="BY23" i="48"/>
  <c r="BZ19" i="48"/>
  <c r="P23" i="48"/>
  <c r="CR20" i="48" s="1"/>
  <c r="CS40" i="48" s="1"/>
  <c r="P25" i="48"/>
  <c r="N26" i="48"/>
  <c r="N28" i="48" s="1"/>
  <c r="AD175" i="13"/>
  <c r="O32" i="48" l="1"/>
  <c r="Y86" i="46" s="1"/>
  <c r="Y93" i="46" s="1"/>
  <c r="O36" i="48"/>
  <c r="O37" i="48" s="1"/>
  <c r="CA19" i="48"/>
  <c r="CA25" i="48" s="1"/>
  <c r="CB19" i="48"/>
  <c r="CA22" i="48"/>
  <c r="BZ23" i="48"/>
  <c r="BZ25" i="48"/>
  <c r="BY36" i="48"/>
  <c r="BY26" i="48" s="1"/>
  <c r="BY28" i="48" s="1"/>
  <c r="BY32" i="48"/>
  <c r="P32" i="48"/>
  <c r="Z86" i="46" s="1"/>
  <c r="Z93" i="46" s="1"/>
  <c r="P36" i="48"/>
  <c r="AH89" i="13"/>
  <c r="AI90" i="13" s="1"/>
  <c r="AG175" i="13"/>
  <c r="CA31" i="48" l="1"/>
  <c r="CA35" i="48"/>
  <c r="CA23" i="48"/>
  <c r="CA36" i="48" s="1"/>
  <c r="CA26" i="48" s="1"/>
  <c r="CA28" i="48" s="1"/>
  <c r="O26" i="48"/>
  <c r="O28" i="48" s="1"/>
  <c r="CB25" i="48"/>
  <c r="CB23" i="48"/>
  <c r="CB22" i="48"/>
  <c r="CC19" i="48"/>
  <c r="CC23" i="48" s="1"/>
  <c r="BZ32" i="48"/>
  <c r="BZ36" i="48"/>
  <c r="BZ26" i="48" s="1"/>
  <c r="BZ28" i="48" s="1"/>
  <c r="P37" i="48"/>
  <c r="P26" i="48"/>
  <c r="P28" i="48" s="1"/>
  <c r="AH88" i="13"/>
  <c r="CB31" i="48" l="1"/>
  <c r="CB35" i="48"/>
  <c r="CA32" i="48"/>
  <c r="CB36" i="48"/>
  <c r="CB26" i="48" s="1"/>
  <c r="CB28" i="48" s="1"/>
  <c r="CB32" i="48"/>
  <c r="CC36" i="48"/>
  <c r="CC26" i="48" s="1"/>
  <c r="CC32" i="48"/>
  <c r="CC25" i="48"/>
  <c r="CC22" i="48"/>
  <c r="AJ88" i="13"/>
  <c r="AJ85" i="13" s="1"/>
  <c r="AH85" i="13"/>
  <c r="AM86" i="13" s="1"/>
  <c r="AI175" i="13"/>
  <c r="CC31" i="48" l="1"/>
  <c r="CC35" i="48"/>
  <c r="CC28" i="48"/>
  <c r="CD19" i="48"/>
  <c r="CD22" i="48"/>
  <c r="AJ86" i="13"/>
  <c r="AO86" i="13"/>
  <c r="W88" i="15"/>
  <c r="AH86" i="13"/>
  <c r="W89" i="15"/>
  <c r="X90" i="15" s="1"/>
  <c r="W51" i="16"/>
  <c r="W173" i="15" s="1"/>
  <c r="AJ175" i="13"/>
  <c r="CD31" i="48" l="1"/>
  <c r="CD35" i="48"/>
  <c r="CF19" i="48"/>
  <c r="CD25" i="48"/>
  <c r="CD23" i="48"/>
  <c r="CD36" i="48" s="1"/>
  <c r="CE22" i="48"/>
  <c r="CE19" i="48"/>
  <c r="W90" i="15"/>
  <c r="CE31" i="48" l="1"/>
  <c r="CE35" i="48"/>
  <c r="CF23" i="48"/>
  <c r="CF32" i="48" s="1"/>
  <c r="CF25" i="48"/>
  <c r="CF22" i="48"/>
  <c r="CE25" i="48"/>
  <c r="CE23" i="48"/>
  <c r="CD32" i="48"/>
  <c r="CD26" i="48"/>
  <c r="CD28" i="48" s="1"/>
  <c r="CF35" i="48" l="1"/>
  <c r="CE36" i="48"/>
  <c r="CE26" i="48" s="1"/>
  <c r="CE28" i="48" s="1"/>
  <c r="CF36" i="48"/>
  <c r="CF26" i="48" s="1"/>
  <c r="CF28" i="48" s="1"/>
  <c r="CF31" i="48"/>
  <c r="CG22" i="48"/>
  <c r="CE32" i="48"/>
  <c r="AA173" i="15"/>
  <c r="Z173" i="15"/>
  <c r="AE54" i="17"/>
  <c r="AE175" i="13"/>
  <c r="AC175" i="13"/>
  <c r="CG31" i="48" l="1"/>
  <c r="CG35" i="48"/>
  <c r="CH19" i="48"/>
  <c r="CG19" i="48"/>
  <c r="CG25" i="48" s="1"/>
  <c r="V88" i="15"/>
  <c r="V51" i="16"/>
  <c r="V54" i="18"/>
  <c r="CH22" i="48" l="1"/>
  <c r="CG23" i="48"/>
  <c r="CH23" i="48"/>
  <c r="CH25" i="48"/>
  <c r="CH31" i="48" l="1"/>
  <c r="CH32" i="48"/>
  <c r="CH36" i="48"/>
  <c r="CH26" i="48" s="1"/>
  <c r="CH28" i="48" s="1"/>
  <c r="CG32" i="48"/>
  <c r="CG36" i="48"/>
  <c r="CG26" i="48" s="1"/>
  <c r="AC89" i="15"/>
  <c r="AD81" i="14"/>
  <c r="CG28" i="48" l="1"/>
  <c r="AC88" i="15"/>
  <c r="AD89" i="15"/>
  <c r="V82" i="15"/>
  <c r="V85" i="15" s="1"/>
  <c r="V86" i="15" s="1"/>
  <c r="AD74" i="13"/>
  <c r="AD77" i="13"/>
  <c r="AD73" i="13"/>
  <c r="V83" i="15"/>
  <c r="V52" i="16"/>
  <c r="AE81" i="14"/>
  <c r="AD88" i="15" l="1"/>
  <c r="AE89" i="15"/>
  <c r="AD62" i="17"/>
  <c r="AE55" i="17"/>
  <c r="V55" i="16"/>
  <c r="V81" i="16"/>
  <c r="AE88" i="15" l="1"/>
  <c r="AF89" i="15"/>
  <c r="AF88" i="15" s="1"/>
  <c r="V22" i="20"/>
  <c r="V55" i="18"/>
  <c r="AE58" i="17"/>
  <c r="AG81" i="14"/>
  <c r="W54" i="18"/>
  <c r="X54" i="18" l="1"/>
  <c r="V58" i="18"/>
  <c r="AE62" i="17"/>
  <c r="W82" i="15"/>
  <c r="X85" i="15" s="1"/>
  <c r="Y86" i="15" s="1"/>
  <c r="W83" i="15"/>
  <c r="Y54" i="18" l="1"/>
  <c r="V62" i="18"/>
  <c r="W85" i="15"/>
  <c r="X86" i="15" s="1"/>
  <c r="Z54" i="18" l="1"/>
  <c r="W86" i="15"/>
  <c r="W52" i="16"/>
  <c r="W55" i="16" l="1"/>
  <c r="W81" i="16"/>
  <c r="W22" i="20" l="1"/>
  <c r="Y22" i="20"/>
  <c r="AC73" i="13" l="1"/>
  <c r="AC74" i="13"/>
  <c r="AE76" i="13"/>
  <c r="BD54" i="17" l="1"/>
  <c r="AE77" i="13"/>
  <c r="V77" i="15" s="1"/>
  <c r="AJ77" i="13"/>
  <c r="V76" i="15"/>
  <c r="V73" i="15" s="1"/>
  <c r="AC71" i="13"/>
  <c r="AC70" i="13"/>
  <c r="AE74" i="13"/>
  <c r="AE73" i="13"/>
  <c r="AA54" i="18" l="1"/>
  <c r="BE54" i="17"/>
  <c r="BF54" i="17" s="1"/>
  <c r="BG54" i="17" s="1"/>
  <c r="BH54" i="17" s="1"/>
  <c r="BI54" i="17" s="1"/>
  <c r="AB54" i="18" s="1"/>
  <c r="V74" i="15"/>
  <c r="AE79" i="13"/>
  <c r="AD80" i="13"/>
  <c r="AF73" i="13"/>
  <c r="AF74" i="13"/>
  <c r="AC54" i="18" l="1"/>
  <c r="AD54" i="18" s="1"/>
  <c r="AE54" i="18" s="1"/>
  <c r="AF54" i="18" s="1"/>
  <c r="AE71" i="13"/>
  <c r="AJ80" i="13"/>
  <c r="AE70" i="13"/>
  <c r="AE69" i="13"/>
  <c r="V79" i="15"/>
  <c r="V75" i="46" s="1"/>
  <c r="AE80" i="13"/>
  <c r="V80" i="15" s="1"/>
  <c r="AF69" i="13"/>
  <c r="AF70" i="13"/>
  <c r="AF71" i="13"/>
  <c r="V71" i="15" l="1"/>
  <c r="V77" i="46"/>
  <c r="V73" i="46"/>
  <c r="V76" i="46"/>
  <c r="V74" i="46"/>
  <c r="V14" i="20"/>
  <c r="V69" i="15"/>
  <c r="V70" i="15"/>
  <c r="V13" i="20" l="1"/>
  <c r="W76" i="15"/>
  <c r="W77" i="15"/>
  <c r="W79" i="15" l="1"/>
  <c r="W80" i="15"/>
  <c r="W73" i="46" l="1"/>
  <c r="W14" i="20"/>
  <c r="W75" i="46"/>
  <c r="W74" i="46"/>
  <c r="W77" i="46"/>
  <c r="W76" i="46"/>
  <c r="X14" i="20" l="1"/>
  <c r="Y77" i="46" l="1"/>
  <c r="Y75" i="46"/>
  <c r="Y14" i="20"/>
  <c r="Y76" i="46"/>
  <c r="B32" i="20" l="1"/>
  <c r="C32" i="20"/>
  <c r="D32" i="20"/>
  <c r="E32" i="20"/>
  <c r="F32" i="20"/>
  <c r="G32" i="20"/>
  <c r="H32" i="20"/>
  <c r="I32" i="20"/>
  <c r="J32" i="20"/>
  <c r="K32" i="20"/>
  <c r="L32" i="20"/>
  <c r="M32" i="20"/>
  <c r="N32" i="20"/>
  <c r="O32" i="20"/>
  <c r="P32" i="20"/>
  <c r="Q32" i="20"/>
  <c r="R32" i="20"/>
  <c r="S32" i="20"/>
  <c r="T32" i="20"/>
  <c r="U32" i="20"/>
  <c r="B34" i="20"/>
  <c r="C34" i="20"/>
  <c r="D34" i="20"/>
  <c r="E34" i="20"/>
  <c r="F34" i="20"/>
  <c r="G34" i="20"/>
  <c r="H34" i="20"/>
  <c r="I34" i="20"/>
  <c r="J34" i="20"/>
  <c r="K34" i="20"/>
  <c r="L34" i="20"/>
  <c r="M34" i="20"/>
  <c r="N34" i="20"/>
  <c r="O34" i="20"/>
  <c r="P34" i="20"/>
  <c r="Q34" i="20"/>
  <c r="R34" i="20"/>
  <c r="S34" i="20"/>
  <c r="T34" i="20"/>
  <c r="U34" i="20"/>
  <c r="B35" i="20"/>
  <c r="C35" i="20"/>
  <c r="D35" i="20"/>
  <c r="E35" i="20"/>
  <c r="F35" i="20"/>
  <c r="G35" i="20"/>
  <c r="H35" i="20"/>
  <c r="I35" i="20"/>
  <c r="J35" i="20"/>
  <c r="K35" i="20"/>
  <c r="L35" i="20"/>
  <c r="M35" i="20"/>
  <c r="N35" i="20"/>
  <c r="O35" i="20"/>
  <c r="P35" i="20"/>
  <c r="Q35" i="20"/>
  <c r="R35" i="20"/>
  <c r="S35" i="20"/>
  <c r="T35" i="20"/>
  <c r="U35" i="20"/>
  <c r="AC4" i="13"/>
  <c r="AD4" i="13"/>
  <c r="AC10" i="13" l="1"/>
  <c r="AD10" i="13"/>
  <c r="AE14" i="17"/>
  <c r="AE75" i="17" s="1"/>
  <c r="AE9" i="17"/>
  <c r="AE8" i="17"/>
  <c r="AC174" i="13" l="1"/>
  <c r="AC68" i="17"/>
  <c r="AC74" i="14"/>
  <c r="AC11" i="13"/>
  <c r="AC74" i="17"/>
  <c r="AC76" i="17"/>
  <c r="AC69" i="17"/>
  <c r="AC35" i="13"/>
  <c r="AC79" i="17"/>
  <c r="AC98" i="13"/>
  <c r="AC78" i="17"/>
  <c r="AH11" i="13"/>
  <c r="AD11" i="13"/>
  <c r="AD35" i="13"/>
  <c r="AC75" i="17"/>
  <c r="AC77" i="17"/>
  <c r="AC105" i="13"/>
  <c r="AD69" i="17"/>
  <c r="AD79" i="17"/>
  <c r="AD77" i="17"/>
  <c r="AD75" i="17"/>
  <c r="AD78" i="17"/>
  <c r="AD76" i="17"/>
  <c r="AD74" i="17"/>
  <c r="AD68" i="17"/>
  <c r="AD74" i="14"/>
  <c r="AD105" i="13"/>
  <c r="AD174" i="13"/>
  <c r="AE31" i="17"/>
  <c r="AE37" i="17" s="1"/>
  <c r="V14" i="18"/>
  <c r="V75" i="18"/>
  <c r="V8" i="18"/>
  <c r="AE68" i="17"/>
  <c r="V68" i="18" s="1"/>
  <c r="AC102" i="13"/>
  <c r="V9" i="18"/>
  <c r="AE69" i="17"/>
  <c r="V69" i="18" s="1"/>
  <c r="AC106" i="13" l="1"/>
  <c r="AD106" i="13"/>
  <c r="AC103" i="13"/>
  <c r="AD102" i="13"/>
  <c r="AE70" i="17"/>
  <c r="V70" i="18" s="1"/>
  <c r="V31" i="18"/>
  <c r="V19" i="16"/>
  <c r="V33" i="16"/>
  <c r="V74" i="16"/>
  <c r="V75" i="16"/>
  <c r="V16" i="16"/>
  <c r="AE48" i="17"/>
  <c r="V37" i="18"/>
  <c r="V100" i="15"/>
  <c r="V102" i="15" s="1"/>
  <c r="AE105" i="13"/>
  <c r="AE106" i="13" s="1"/>
  <c r="AD68" i="14"/>
  <c r="AD103" i="13" l="1"/>
  <c r="V20" i="16"/>
  <c r="AE68" i="14"/>
  <c r="V19" i="20"/>
  <c r="V105" i="15"/>
  <c r="V41" i="16"/>
  <c r="AE64" i="17"/>
  <c r="V48" i="18"/>
  <c r="AD64" i="17"/>
  <c r="V15" i="16"/>
  <c r="V68" i="16" l="1"/>
  <c r="AE69" i="14"/>
  <c r="V69" i="16" s="1"/>
  <c r="AD96" i="13"/>
  <c r="V64" i="18"/>
  <c r="V106" i="15"/>
  <c r="AE19" i="17"/>
  <c r="AF68" i="14" l="1"/>
  <c r="AF75" i="14"/>
  <c r="AJ75" i="14"/>
  <c r="V5" i="16"/>
  <c r="AE96" i="13"/>
  <c r="AE97" i="13" s="1"/>
  <c r="AE25" i="17"/>
  <c r="V19" i="18"/>
  <c r="AJ68" i="14" l="1"/>
  <c r="AJ69" i="14" s="1"/>
  <c r="AF71" i="14"/>
  <c r="AH71" i="14" s="1"/>
  <c r="AI71" i="14" s="1"/>
  <c r="AD97" i="13"/>
  <c r="AE98" i="13"/>
  <c r="V25" i="18"/>
  <c r="V96" i="15"/>
  <c r="V97" i="15" s="1"/>
  <c r="L162" i="48"/>
  <c r="L163" i="48" s="1"/>
  <c r="AD84" i="17" l="1"/>
  <c r="AF96" i="13"/>
  <c r="AD98" i="13"/>
  <c r="L10" i="48"/>
  <c r="L11" i="48" s="1"/>
  <c r="L15" i="48" s="1"/>
  <c r="L46" i="48"/>
  <c r="L47" i="48" s="1"/>
  <c r="L81" i="48"/>
  <c r="L82" i="48" s="1"/>
  <c r="L86" i="48" s="1"/>
  <c r="L95" i="48"/>
  <c r="L96" i="48" s="1"/>
  <c r="L100" i="48" s="1"/>
  <c r="L109" i="48"/>
  <c r="L110" i="48" s="1"/>
  <c r="L114" i="48" s="1"/>
  <c r="BL163" i="48"/>
  <c r="V98" i="15"/>
  <c r="V7" i="20" s="1"/>
  <c r="V6" i="20"/>
  <c r="L51" i="48" l="1"/>
  <c r="L122" i="48" s="1"/>
  <c r="L72" i="48"/>
  <c r="AF97" i="13"/>
  <c r="BL46" i="48"/>
  <c r="BL81" i="48"/>
  <c r="BL95" i="48"/>
  <c r="BL109" i="48"/>
  <c r="BM163" i="48"/>
  <c r="BN163" i="48" s="1"/>
  <c r="BO163" i="48" s="1"/>
  <c r="AF98" i="13" l="1"/>
  <c r="BM95" i="48"/>
  <c r="BL96" i="48"/>
  <c r="BL100" i="48" s="1"/>
  <c r="BM81" i="48"/>
  <c r="BL82" i="48"/>
  <c r="BL86" i="48" s="1"/>
  <c r="BM46" i="48"/>
  <c r="BL47" i="48"/>
  <c r="BL51" i="48" s="1"/>
  <c r="BM109" i="48"/>
  <c r="BL110" i="48"/>
  <c r="BL114" i="48" s="1"/>
  <c r="BN81" i="48" l="1"/>
  <c r="BM82" i="48"/>
  <c r="BM86" i="48" s="1"/>
  <c r="BL118" i="48"/>
  <c r="BN95" i="48"/>
  <c r="BM96" i="48"/>
  <c r="BM100" i="48" s="1"/>
  <c r="BN109" i="48"/>
  <c r="BM110" i="48"/>
  <c r="BM114" i="48" s="1"/>
  <c r="BL122" i="48"/>
  <c r="BN46" i="48"/>
  <c r="BM47" i="48"/>
  <c r="BM51" i="48" s="1"/>
  <c r="BM118" i="48" l="1"/>
  <c r="BM122" i="48"/>
  <c r="BO109" i="48"/>
  <c r="BO110" i="48" s="1"/>
  <c r="BO114" i="48" s="1"/>
  <c r="BN110" i="48"/>
  <c r="BN114" i="48" s="1"/>
  <c r="BO46" i="48"/>
  <c r="BO47" i="48" s="1"/>
  <c r="BO51" i="48" s="1"/>
  <c r="BN47" i="48"/>
  <c r="BN51" i="48" s="1"/>
  <c r="BO95" i="48"/>
  <c r="BO96" i="48" s="1"/>
  <c r="BO100" i="48" s="1"/>
  <c r="BN96" i="48"/>
  <c r="BN100" i="48" s="1"/>
  <c r="BO81" i="48"/>
  <c r="BO82" i="48" s="1"/>
  <c r="BO86" i="48" s="1"/>
  <c r="BN82" i="48"/>
  <c r="BN86" i="48" s="1"/>
  <c r="BO118" i="48" l="1"/>
  <c r="BN122" i="48"/>
  <c r="BO122" i="48"/>
  <c r="AC62" i="14" l="1"/>
  <c r="AC64" i="14" l="1"/>
  <c r="AD61" i="14"/>
  <c r="AC65" i="14" l="1"/>
  <c r="BN118" i="48" l="1"/>
  <c r="BO125" i="48"/>
  <c r="AE12" i="17" l="1"/>
  <c r="V12" i="18" s="1"/>
  <c r="AE71" i="17" l="1"/>
  <c r="V71" i="18" s="1"/>
  <c r="AE74" i="17"/>
  <c r="V74" i="18" s="1"/>
  <c r="L44" i="52"/>
  <c r="L45" i="52" s="1"/>
  <c r="L124" i="48"/>
  <c r="L125" i="48" s="1"/>
  <c r="L118" i="48" s="1"/>
  <c r="V18" i="16"/>
  <c r="AD29" i="14"/>
  <c r="AD59" i="14" l="1"/>
  <c r="AD62" i="14" s="1"/>
  <c r="AD64" i="14" s="1"/>
  <c r="AD77" i="14"/>
  <c r="V28" i="16"/>
  <c r="AE29" i="14"/>
  <c r="AE59" i="14" s="1"/>
  <c r="V29" i="16" l="1"/>
  <c r="AE77" i="14"/>
  <c r="AD79" i="14"/>
  <c r="AD78" i="14"/>
  <c r="AD82" i="14"/>
  <c r="AD65" i="14" l="1"/>
  <c r="AE62" i="14"/>
  <c r="AF61" i="14" s="1"/>
  <c r="V59" i="16"/>
  <c r="AD65" i="17"/>
  <c r="AE82" i="14"/>
  <c r="V82" i="16" s="1"/>
  <c r="V77" i="16"/>
  <c r="AE79" i="14"/>
  <c r="V79" i="16" s="1"/>
  <c r="AE78" i="14"/>
  <c r="V78" i="16" s="1"/>
  <c r="V18" i="20"/>
  <c r="AF62" i="14" l="1"/>
  <c r="AF64" i="14" s="1"/>
  <c r="AJ61" i="14"/>
  <c r="V20" i="20"/>
  <c r="V21" i="20"/>
  <c r="V23" i="20"/>
  <c r="AE64" i="14"/>
  <c r="V62" i="16"/>
  <c r="AG61" i="14" l="1"/>
  <c r="AF5" i="17"/>
  <c r="AF65" i="14" s="1"/>
  <c r="AE5" i="17"/>
  <c r="AE83" i="17" s="1"/>
  <c r="V64" i="16"/>
  <c r="W61" i="16"/>
  <c r="AF83" i="17" l="1"/>
  <c r="AF84" i="17" s="1"/>
  <c r="AF15" i="17"/>
  <c r="AF27" i="17" s="1"/>
  <c r="AF65" i="17" s="1"/>
  <c r="AE65" i="14"/>
  <c r="AE84" i="17"/>
  <c r="V5" i="18"/>
  <c r="V26" i="20" s="1"/>
  <c r="AE15" i="17"/>
  <c r="V65" i="16" l="1"/>
  <c r="AE27" i="17"/>
  <c r="V15" i="18"/>
  <c r="V83" i="18"/>
  <c r="V85" i="18"/>
  <c r="V37" i="20" l="1"/>
  <c r="V29" i="20"/>
  <c r="V84" i="18"/>
  <c r="V86" i="18" s="1"/>
  <c r="V28" i="20"/>
  <c r="AE65" i="17"/>
  <c r="V27" i="18"/>
  <c r="V65" i="18" s="1"/>
  <c r="V39" i="20" l="1"/>
  <c r="V40" i="20"/>
  <c r="V13" i="47" l="1"/>
  <c r="V16" i="47"/>
  <c r="V14" i="47"/>
  <c r="V7" i="47"/>
  <c r="V5" i="47"/>
  <c r="V10" i="47"/>
  <c r="V6" i="47"/>
  <c r="V15" i="47"/>
  <c r="V11" i="47"/>
  <c r="V12" i="47"/>
  <c r="V9" i="47"/>
  <c r="V8" i="47"/>
  <c r="V41" i="47" l="1"/>
  <c r="V43" i="47" s="1"/>
  <c r="V46" i="47" s="1"/>
  <c r="V20" i="47"/>
  <c r="W50" i="47" l="1"/>
  <c r="V59" i="47"/>
  <c r="V50" i="47"/>
  <c r="V62" i="47"/>
  <c r="V65" i="47" s="1"/>
  <c r="V66" i="47" s="1"/>
  <c r="V34" i="20"/>
  <c r="V32" i="20"/>
  <c r="V35" i="20"/>
  <c r="AI36" i="1" l="1"/>
  <c r="AI44" i="1" s="1"/>
  <c r="X20" i="7"/>
  <c r="AG27" i="1" l="1"/>
  <c r="AH27" i="1"/>
  <c r="W31" i="7"/>
  <c r="W32" i="7" s="1"/>
  <c r="W40" i="7" s="1"/>
  <c r="AF27" i="1"/>
  <c r="W20" i="7"/>
  <c r="AJ13" i="13"/>
  <c r="W23" i="7" l="1"/>
  <c r="X23" i="7"/>
  <c r="AJ36" i="1"/>
  <c r="AJ44" i="1" s="1"/>
  <c r="AG13" i="13"/>
  <c r="AI27" i="1"/>
  <c r="AJ27" i="1" s="1"/>
  <c r="AI13" i="13"/>
  <c r="AH13" i="13"/>
  <c r="AJ20" i="13"/>
  <c r="AJ34" i="13" s="1"/>
  <c r="W13" i="15"/>
  <c r="AJ97" i="13" l="1"/>
  <c r="AJ40" i="13"/>
  <c r="AO41" i="13" s="1"/>
  <c r="AJ118" i="13"/>
  <c r="AJ121" i="13" s="1"/>
  <c r="AJ123" i="13" s="1"/>
  <c r="AJ35" i="13"/>
  <c r="W35" i="15" s="1"/>
  <c r="AI20" i="13"/>
  <c r="AH20" i="13"/>
  <c r="AG20" i="13"/>
  <c r="W20" i="15"/>
  <c r="AJ174" i="13"/>
  <c r="AI45" i="1"/>
  <c r="AI34" i="13" l="1"/>
  <c r="AJ98" i="13"/>
  <c r="AJ41" i="13"/>
  <c r="W41" i="15" s="1"/>
  <c r="AJ46" i="13"/>
  <c r="AG34" i="13"/>
  <c r="AH34" i="13"/>
  <c r="W34" i="15"/>
  <c r="W9" i="20"/>
  <c r="W118" i="15"/>
  <c r="W123" i="15" s="1"/>
  <c r="AJ45" i="1"/>
  <c r="AJ46" i="1" s="1"/>
  <c r="W15" i="7"/>
  <c r="W14" i="7"/>
  <c r="W172" i="15" l="1"/>
  <c r="AI40" i="13"/>
  <c r="AI118" i="13"/>
  <c r="AI121" i="13" s="1"/>
  <c r="AI123" i="13" s="1"/>
  <c r="AJ4" i="14"/>
  <c r="AJ56" i="13"/>
  <c r="AO57" i="13" s="1"/>
  <c r="AJ50" i="13"/>
  <c r="AH118" i="13"/>
  <c r="AH121" i="13" s="1"/>
  <c r="AH123" i="13" s="1"/>
  <c r="AH174" i="13"/>
  <c r="AG40" i="13"/>
  <c r="AG97" i="13"/>
  <c r="AH40" i="13"/>
  <c r="AG118" i="13"/>
  <c r="AG121" i="13" s="1"/>
  <c r="AG123" i="13" s="1"/>
  <c r="W11" i="7"/>
  <c r="W10" i="7"/>
  <c r="W8" i="20"/>
  <c r="W40" i="15"/>
  <c r="W121" i="15"/>
  <c r="AJ70" i="13" l="1"/>
  <c r="AJ73" i="13"/>
  <c r="AO51" i="13"/>
  <c r="AM41" i="13"/>
  <c r="AL41" i="13"/>
  <c r="AI44" i="13"/>
  <c r="AI41" i="13"/>
  <c r="AI46" i="13"/>
  <c r="AI56" i="13" s="1"/>
  <c r="AJ29" i="14"/>
  <c r="AJ63" i="13"/>
  <c r="AO64" i="13" s="1"/>
  <c r="AJ51" i="13"/>
  <c r="AJ57" i="13"/>
  <c r="AJ74" i="13"/>
  <c r="AJ71" i="13"/>
  <c r="AJ60" i="13"/>
  <c r="AG46" i="13"/>
  <c r="AG41" i="13"/>
  <c r="AH41" i="13"/>
  <c r="W10" i="20"/>
  <c r="W13" i="7"/>
  <c r="M48" i="52"/>
  <c r="M49" i="52" s="1"/>
  <c r="AI50" i="13" l="1"/>
  <c r="AI57" i="13"/>
  <c r="AI74" i="13"/>
  <c r="AI71" i="13"/>
  <c r="AI60" i="13"/>
  <c r="AJ64" i="13"/>
  <c r="AJ69" i="13"/>
  <c r="AJ77" i="14"/>
  <c r="AJ59" i="14"/>
  <c r="AJ62" i="14" s="1"/>
  <c r="AK61" i="14" s="1"/>
  <c r="AG56" i="13"/>
  <c r="AL57" i="13" s="1"/>
  <c r="AG4" i="14"/>
  <c r="AG50" i="13"/>
  <c r="AH46" i="13"/>
  <c r="AH4" i="14" s="1"/>
  <c r="AH29" i="14" s="1"/>
  <c r="W41" i="7"/>
  <c r="W19" i="7"/>
  <c r="W62" i="46" s="1"/>
  <c r="W61" i="46" s="1"/>
  <c r="AK62" i="14" l="1"/>
  <c r="AK64" i="14" s="1"/>
  <c r="AK5" i="17" s="1"/>
  <c r="AO61" i="14"/>
  <c r="AO62" i="14" s="1"/>
  <c r="AI63" i="13"/>
  <c r="AI51" i="13"/>
  <c r="AI73" i="13"/>
  <c r="AI70" i="13"/>
  <c r="AL51" i="13"/>
  <c r="AJ64" i="14"/>
  <c r="AJ5" i="17" s="1"/>
  <c r="AJ65" i="14" s="1"/>
  <c r="AG29" i="14"/>
  <c r="AI4" i="14"/>
  <c r="AI29" i="14" s="1"/>
  <c r="AJ82" i="14"/>
  <c r="AJ79" i="14"/>
  <c r="AJ78" i="14"/>
  <c r="AG51" i="13"/>
  <c r="AH77" i="14"/>
  <c r="AH59" i="14"/>
  <c r="AH50" i="13"/>
  <c r="AH56" i="13"/>
  <c r="W44" i="15"/>
  <c r="W43" i="15"/>
  <c r="W42" i="7"/>
  <c r="W47" i="7"/>
  <c r="W22" i="7"/>
  <c r="W63" i="46" s="1"/>
  <c r="W46" i="20"/>
  <c r="AL61" i="14" l="1"/>
  <c r="AL62" i="14" s="1"/>
  <c r="AI64" i="13"/>
  <c r="AP61" i="14"/>
  <c r="AT61" i="14" s="1"/>
  <c r="AT62" i="14" s="1"/>
  <c r="AU61" i="14" s="1"/>
  <c r="AY61" i="14" s="1"/>
  <c r="AY62" i="14" s="1"/>
  <c r="AO64" i="14"/>
  <c r="AO5" i="17" s="1"/>
  <c r="AI69" i="13"/>
  <c r="AM51" i="13"/>
  <c r="AH71" i="13"/>
  <c r="AM57" i="13"/>
  <c r="AH70" i="13"/>
  <c r="AK15" i="17"/>
  <c r="AK27" i="17" s="1"/>
  <c r="AK65" i="17" s="1"/>
  <c r="AK83" i="17"/>
  <c r="AK84" i="17" s="1"/>
  <c r="AG59" i="14"/>
  <c r="AG62" i="14" s="1"/>
  <c r="AG64" i="14" s="1"/>
  <c r="AI77" i="14"/>
  <c r="AI59" i="14"/>
  <c r="AJ83" i="17"/>
  <c r="AJ84" i="17" s="1"/>
  <c r="AJ15" i="17"/>
  <c r="AJ27" i="17" s="1"/>
  <c r="AJ65" i="17" s="1"/>
  <c r="AH78" i="14"/>
  <c r="AH82" i="14"/>
  <c r="AH79" i="14"/>
  <c r="AH63" i="13"/>
  <c r="AM64" i="13" s="1"/>
  <c r="AH51" i="13"/>
  <c r="AH73" i="13"/>
  <c r="AH60" i="13"/>
  <c r="AH57" i="13"/>
  <c r="AH74" i="13"/>
  <c r="W11" i="20"/>
  <c r="AG63" i="13"/>
  <c r="AG70" i="13"/>
  <c r="AG73" i="13"/>
  <c r="AG57" i="13"/>
  <c r="AG71" i="13"/>
  <c r="AG74" i="13"/>
  <c r="AG60" i="13"/>
  <c r="W46" i="15"/>
  <c r="W47" i="20"/>
  <c r="AY64" i="14" l="1"/>
  <c r="AY5" i="17" s="1"/>
  <c r="AY83" i="17" s="1"/>
  <c r="AZ61" i="14"/>
  <c r="AZ62" i="14" s="1"/>
  <c r="AT64" i="14"/>
  <c r="AT5" i="17" s="1"/>
  <c r="AO83" i="17"/>
  <c r="AO84" i="17" s="1"/>
  <c r="AO15" i="17"/>
  <c r="AO27" i="17" s="1"/>
  <c r="AO65" i="17" s="1"/>
  <c r="AM61" i="14"/>
  <c r="AM62" i="14" s="1"/>
  <c r="AL64" i="14"/>
  <c r="AL5" i="17" s="1"/>
  <c r="AH69" i="13"/>
  <c r="AK66" i="17"/>
  <c r="AL64" i="13"/>
  <c r="AH61" i="14"/>
  <c r="AH62" i="14" s="1"/>
  <c r="AI61" i="14" s="1"/>
  <c r="AI62" i="14" s="1"/>
  <c r="AI64" i="14" s="1"/>
  <c r="AI82" i="14"/>
  <c r="AI79" i="14"/>
  <c r="AI78" i="14"/>
  <c r="AG5" i="17"/>
  <c r="AH64" i="13"/>
  <c r="AG69" i="13"/>
  <c r="AG64" i="13"/>
  <c r="W4" i="16"/>
  <c r="W56" i="15"/>
  <c r="W50" i="15"/>
  <c r="W57" i="15"/>
  <c r="W51" i="15"/>
  <c r="AZ64" i="14" l="1"/>
  <c r="AZ5" i="17" s="1"/>
  <c r="BA61" i="14"/>
  <c r="AY15" i="17"/>
  <c r="AY27" i="17" s="1"/>
  <c r="AY66" i="17" s="1"/>
  <c r="AZ83" i="17"/>
  <c r="AZ15" i="17"/>
  <c r="AZ27" i="17" s="1"/>
  <c r="Y5" i="18"/>
  <c r="AT83" i="17"/>
  <c r="AT65" i="14"/>
  <c r="AM64" i="14"/>
  <c r="AM5" i="17" s="1"/>
  <c r="AM15" i="17" s="1"/>
  <c r="AM27" i="17" s="1"/>
  <c r="AM65" i="17" s="1"/>
  <c r="AN61" i="14"/>
  <c r="AN62" i="14" s="1"/>
  <c r="AN64" i="14" s="1"/>
  <c r="AL15" i="17"/>
  <c r="AL27" i="17" s="1"/>
  <c r="AL83" i="17"/>
  <c r="AH64" i="14"/>
  <c r="AH5" i="17" s="1"/>
  <c r="AG83" i="17"/>
  <c r="AG15" i="17"/>
  <c r="AG27" i="17" s="1"/>
  <c r="AG65" i="17" s="1"/>
  <c r="AG65" i="14"/>
  <c r="W63" i="15"/>
  <c r="W70" i="15"/>
  <c r="W73" i="15"/>
  <c r="W64" i="15"/>
  <c r="W60" i="15"/>
  <c r="W12" i="20"/>
  <c r="W74" i="15"/>
  <c r="W71" i="15"/>
  <c r="W55" i="18"/>
  <c r="AZ84" i="17" l="1"/>
  <c r="AY65" i="17"/>
  <c r="AZ65" i="17"/>
  <c r="AZ66" i="17"/>
  <c r="AM83" i="17"/>
  <c r="AL84" i="17"/>
  <c r="AL66" i="17"/>
  <c r="AL65" i="17"/>
  <c r="AH83" i="17"/>
  <c r="AH15" i="17"/>
  <c r="AH27" i="17" s="1"/>
  <c r="AH65" i="17" s="1"/>
  <c r="AH65" i="14"/>
  <c r="AG84" i="17"/>
  <c r="W69" i="15"/>
  <c r="W13" i="20"/>
  <c r="W58" i="18"/>
  <c r="AM84" i="17" l="1"/>
  <c r="W62" i="18"/>
  <c r="AG3" i="13" l="1"/>
  <c r="AG10" i="13" l="1"/>
  <c r="AL11" i="13" l="1"/>
  <c r="AG76" i="17"/>
  <c r="AG74" i="14"/>
  <c r="AG79" i="17"/>
  <c r="AG75" i="17"/>
  <c r="AG69" i="17"/>
  <c r="AG78" i="17"/>
  <c r="AG74" i="17"/>
  <c r="AG68" i="17"/>
  <c r="AG105" i="13"/>
  <c r="AG77" i="17"/>
  <c r="AG35" i="13"/>
  <c r="AG98" i="13"/>
  <c r="AG11" i="13"/>
  <c r="AG174" i="13"/>
  <c r="AH96" i="13"/>
  <c r="AG106" i="13" l="1"/>
  <c r="AH97" i="13"/>
  <c r="AH35" i="13"/>
  <c r="AI97" i="13" l="1"/>
  <c r="AH84" i="17"/>
  <c r="AH98" i="13"/>
  <c r="AH102" i="13"/>
  <c r="AM103" i="13" s="1"/>
  <c r="AI26" i="1"/>
  <c r="AJ26" i="1" s="1"/>
  <c r="AI46" i="1"/>
  <c r="AI48" i="1"/>
  <c r="AI51" i="1" s="1"/>
  <c r="AI3" i="13"/>
  <c r="AH103" i="13" l="1"/>
  <c r="AI102" i="13"/>
  <c r="AI84" i="17"/>
  <c r="AI10" i="13"/>
  <c r="AJ48" i="1"/>
  <c r="AJ51" i="1"/>
  <c r="AI103" i="13" l="1"/>
  <c r="AN103" i="13"/>
  <c r="AI11" i="13"/>
  <c r="AI174" i="13"/>
  <c r="AI78" i="17"/>
  <c r="AI75" i="17"/>
  <c r="AI77" i="17"/>
  <c r="AI74" i="17"/>
  <c r="AI69" i="17"/>
  <c r="AI76" i="17"/>
  <c r="AI68" i="17"/>
  <c r="AI79" i="17"/>
  <c r="AI74" i="14"/>
  <c r="AI105" i="13"/>
  <c r="AI35" i="13"/>
  <c r="AI98" i="13"/>
  <c r="AN11" i="13"/>
  <c r="W16" i="16"/>
  <c r="W19" i="16"/>
  <c r="X15" i="16" l="1"/>
  <c r="X19" i="16"/>
  <c r="X16" i="16"/>
  <c r="AI106" i="13"/>
  <c r="W69" i="16"/>
  <c r="W68" i="16"/>
  <c r="W68" i="18"/>
  <c r="W8" i="18"/>
  <c r="W75" i="18"/>
  <c r="W14" i="18"/>
  <c r="W9" i="18"/>
  <c r="W69" i="18"/>
  <c r="W20" i="16"/>
  <c r="W74" i="16"/>
  <c r="W33" i="16"/>
  <c r="W75" i="16"/>
  <c r="X103" i="15"/>
  <c r="W100" i="15"/>
  <c r="W19" i="18" l="1"/>
  <c r="X75" i="16"/>
  <c r="W25" i="18"/>
  <c r="W70" i="18"/>
  <c r="W31" i="18"/>
  <c r="W19" i="20"/>
  <c r="W105" i="15"/>
  <c r="W102" i="15"/>
  <c r="W103" i="15"/>
  <c r="W15" i="16"/>
  <c r="W5" i="16"/>
  <c r="W41" i="16"/>
  <c r="X20" i="16" l="1"/>
  <c r="W96" i="15"/>
  <c r="W97" i="15" s="1"/>
  <c r="M162" i="48"/>
  <c r="M163" i="48" s="1"/>
  <c r="W106" i="15"/>
  <c r="W37" i="18"/>
  <c r="W48" i="18" l="1"/>
  <c r="M81" i="48"/>
  <c r="M82" i="48" s="1"/>
  <c r="M86" i="48" s="1"/>
  <c r="M95" i="48"/>
  <c r="M96" i="48" s="1"/>
  <c r="M100" i="48" s="1"/>
  <c r="M10" i="48"/>
  <c r="M11" i="48" s="1"/>
  <c r="M15" i="48" s="1"/>
  <c r="M46" i="48"/>
  <c r="M47" i="48" s="1"/>
  <c r="BP163" i="48"/>
  <c r="M109" i="48"/>
  <c r="M110" i="48" s="1"/>
  <c r="M114" i="48" s="1"/>
  <c r="W6" i="20"/>
  <c r="W98" i="15"/>
  <c r="W7" i="20" s="1"/>
  <c r="M51" i="48" l="1"/>
  <c r="M122" i="48" s="1"/>
  <c r="M72" i="48"/>
  <c r="W64" i="18"/>
  <c r="BP95" i="48"/>
  <c r="BQ163" i="48"/>
  <c r="BR163" i="48" s="1"/>
  <c r="BS163" i="48" s="1"/>
  <c r="BT163" i="48" s="1"/>
  <c r="BU163" i="48" s="1"/>
  <c r="BV163" i="48" s="1"/>
  <c r="BW163" i="48" s="1"/>
  <c r="BP81" i="48"/>
  <c r="BP109" i="48"/>
  <c r="BP46" i="48"/>
  <c r="BP96" i="48" l="1"/>
  <c r="BP100" i="48" s="1"/>
  <c r="BQ95" i="48"/>
  <c r="BP47" i="48"/>
  <c r="BP51" i="48" s="1"/>
  <c r="BQ46" i="48"/>
  <c r="BP110" i="48"/>
  <c r="BP114" i="48" s="1"/>
  <c r="BQ109" i="48"/>
  <c r="BQ81" i="48"/>
  <c r="BP82" i="48"/>
  <c r="BP86" i="48" s="1"/>
  <c r="BP118" i="48" l="1"/>
  <c r="BR46" i="48"/>
  <c r="BQ47" i="48"/>
  <c r="BQ51" i="48" s="1"/>
  <c r="BQ96" i="48"/>
  <c r="BQ100" i="48" s="1"/>
  <c r="BR95" i="48"/>
  <c r="BP122" i="48"/>
  <c r="BQ82" i="48"/>
  <c r="BQ86" i="48" s="1"/>
  <c r="BR81" i="48"/>
  <c r="BQ110" i="48"/>
  <c r="BQ114" i="48" s="1"/>
  <c r="BR109" i="48"/>
  <c r="X25" i="18" l="1"/>
  <c r="Y68" i="16"/>
  <c r="X19" i="18"/>
  <c r="BQ118" i="48"/>
  <c r="BR96" i="48"/>
  <c r="BR100" i="48" s="1"/>
  <c r="BS95" i="48"/>
  <c r="BQ122" i="48"/>
  <c r="BR110" i="48"/>
  <c r="BR114" i="48" s="1"/>
  <c r="BS109" i="48"/>
  <c r="BR47" i="48"/>
  <c r="BR51" i="48" s="1"/>
  <c r="BS46" i="48"/>
  <c r="BR82" i="48"/>
  <c r="BR86" i="48" s="1"/>
  <c r="BS81" i="48"/>
  <c r="BS47" i="48" l="1"/>
  <c r="BS51" i="48" s="1"/>
  <c r="BT46" i="48"/>
  <c r="BS82" i="48"/>
  <c r="BS86" i="48" s="1"/>
  <c r="BT81" i="48"/>
  <c r="BS110" i="48"/>
  <c r="BS114" i="48" s="1"/>
  <c r="BT109" i="48"/>
  <c r="BS96" i="48"/>
  <c r="BS100" i="48" s="1"/>
  <c r="BT95" i="48"/>
  <c r="BR122" i="48"/>
  <c r="BQ125" i="48"/>
  <c r="BS118" i="48" l="1"/>
  <c r="BS122" i="48"/>
  <c r="BU95" i="48"/>
  <c r="BT96" i="48"/>
  <c r="BT100" i="48" s="1"/>
  <c r="BT82" i="48"/>
  <c r="BT86" i="48" s="1"/>
  <c r="BU81" i="48"/>
  <c r="BT110" i="48"/>
  <c r="BT114" i="48" s="1"/>
  <c r="BU109" i="48"/>
  <c r="BT47" i="48"/>
  <c r="BT51" i="48" s="1"/>
  <c r="BU46" i="48"/>
  <c r="BT118" i="48" l="1"/>
  <c r="BT122" i="48"/>
  <c r="BV46" i="48"/>
  <c r="BU47" i="48"/>
  <c r="BU51" i="48" s="1"/>
  <c r="BV81" i="48"/>
  <c r="BU82" i="48"/>
  <c r="BU86" i="48" s="1"/>
  <c r="BU110" i="48"/>
  <c r="BU114" i="48" s="1"/>
  <c r="BV109" i="48"/>
  <c r="BV95" i="48"/>
  <c r="BU96" i="48"/>
  <c r="BU100" i="48" s="1"/>
  <c r="BU118" i="48" l="1"/>
  <c r="BW95" i="48"/>
  <c r="BV96" i="48"/>
  <c r="BV100" i="48" s="1"/>
  <c r="BU122" i="48"/>
  <c r="BW81" i="48"/>
  <c r="BX81" i="48" s="1"/>
  <c r="BV82" i="48"/>
  <c r="BV86" i="48" s="1"/>
  <c r="BV110" i="48"/>
  <c r="BV114" i="48" s="1"/>
  <c r="BW109" i="48"/>
  <c r="BW46" i="48"/>
  <c r="BV47" i="48"/>
  <c r="BV51" i="48" s="1"/>
  <c r="AG77" i="14"/>
  <c r="BV118" i="48" l="1"/>
  <c r="BY81" i="48"/>
  <c r="BX82" i="48"/>
  <c r="BX86" i="48" s="1"/>
  <c r="BW82" i="48"/>
  <c r="BW86" i="48" s="1"/>
  <c r="BW110" i="48"/>
  <c r="BW114" i="48" s="1"/>
  <c r="BW47" i="48"/>
  <c r="BW51" i="48" s="1"/>
  <c r="BW96" i="48"/>
  <c r="BW100" i="48" s="1"/>
  <c r="BV122" i="48"/>
  <c r="AG82" i="14"/>
  <c r="AG79" i="14"/>
  <c r="AG78" i="14"/>
  <c r="BW118" i="48" l="1"/>
  <c r="BW122" i="48"/>
  <c r="BZ81" i="48"/>
  <c r="BY82" i="48"/>
  <c r="BY86" i="48" s="1"/>
  <c r="CA81" i="48" l="1"/>
  <c r="BZ82" i="48"/>
  <c r="BZ86" i="48" s="1"/>
  <c r="CA82" i="48" l="1"/>
  <c r="CB81" i="48"/>
  <c r="CC81" i="48" l="1"/>
  <c r="CB82" i="48"/>
  <c r="X15" i="7"/>
  <c r="X14" i="7"/>
  <c r="CD81" i="48" l="1"/>
  <c r="CC82" i="48"/>
  <c r="X11" i="7"/>
  <c r="X10" i="7"/>
  <c r="CE81" i="48" l="1"/>
  <c r="CF81" i="48" s="1"/>
  <c r="CF82" i="48" s="1"/>
  <c r="CF86" i="48" s="1"/>
  <c r="CD82" i="48"/>
  <c r="N48" i="52"/>
  <c r="CE82" i="48" l="1"/>
  <c r="AL174" i="13"/>
  <c r="N49" i="52"/>
  <c r="X37" i="15"/>
  <c r="AK174" i="13"/>
  <c r="AM174" i="13" l="1"/>
  <c r="X41" i="15"/>
  <c r="X40" i="15"/>
  <c r="CG81" i="48" l="1"/>
  <c r="X10" i="20"/>
  <c r="CH81" i="48" l="1"/>
  <c r="CG82" i="48"/>
  <c r="CG86" i="48" s="1"/>
  <c r="CI81" i="48" l="1"/>
  <c r="CH82" i="48"/>
  <c r="CH86" i="48" s="1"/>
  <c r="X5" i="16"/>
  <c r="CI82" i="48" l="1"/>
  <c r="CI86" i="48" s="1"/>
  <c r="X96" i="15"/>
  <c r="X97" i="15" s="1"/>
  <c r="N162" i="48"/>
  <c r="N163" i="48" s="1"/>
  <c r="N81" i="48" l="1"/>
  <c r="N82" i="48" s="1"/>
  <c r="N109" i="48"/>
  <c r="N110" i="48" s="1"/>
  <c r="N10" i="48"/>
  <c r="N11" i="48" s="1"/>
  <c r="N95" i="48"/>
  <c r="N96" i="48" s="1"/>
  <c r="N46" i="48"/>
  <c r="N47" i="48" s="1"/>
  <c r="X98" i="15"/>
  <c r="X7" i="20" s="1"/>
  <c r="X186" i="15"/>
  <c r="X6" i="20"/>
  <c r="X78" i="18" l="1"/>
  <c r="X42" i="18"/>
  <c r="X41" i="18" l="1"/>
  <c r="X79" i="18"/>
  <c r="BR118" i="48"/>
  <c r="BR125" i="48"/>
  <c r="Y42" i="18" l="1"/>
  <c r="X25" i="16"/>
  <c r="X46" i="18"/>
  <c r="BS125" i="48"/>
  <c r="M124" i="48"/>
  <c r="M125" i="48" l="1"/>
  <c r="M118" i="48" s="1"/>
  <c r="BT125" i="48"/>
  <c r="W71" i="18"/>
  <c r="W74" i="18"/>
  <c r="W12" i="18"/>
  <c r="M44" i="52" s="1"/>
  <c r="M45" i="52" s="1"/>
  <c r="BU125" i="48" l="1"/>
  <c r="W18" i="16"/>
  <c r="AI65" i="14" l="1"/>
  <c r="BV125" i="48"/>
  <c r="W28" i="16"/>
  <c r="Y25" i="16" l="1"/>
  <c r="Y41" i="18"/>
  <c r="BW125" i="48"/>
  <c r="N124" i="48"/>
  <c r="AI89" i="17"/>
  <c r="AI110" i="17"/>
  <c r="AI111" i="17" s="1"/>
  <c r="W29" i="16"/>
  <c r="Z41" i="18" l="1"/>
  <c r="N125" i="48"/>
  <c r="AI116" i="17"/>
  <c r="AI118" i="17" s="1"/>
  <c r="AI119" i="17" s="1"/>
  <c r="AI114" i="17"/>
  <c r="AI112" i="17"/>
  <c r="AI124" i="17" s="1"/>
  <c r="W77" i="16"/>
  <c r="W78" i="16"/>
  <c r="W82" i="16"/>
  <c r="W23" i="20" s="1"/>
  <c r="W79" i="16"/>
  <c r="W18" i="20"/>
  <c r="W59" i="16"/>
  <c r="X74" i="18" l="1"/>
  <c r="X12" i="18"/>
  <c r="X71" i="18"/>
  <c r="W20" i="20"/>
  <c r="W62" i="16"/>
  <c r="X61" i="16"/>
  <c r="W21" i="20"/>
  <c r="AI120" i="17"/>
  <c r="X18" i="16" l="1"/>
  <c r="N44" i="52"/>
  <c r="N45" i="52" s="1"/>
  <c r="W64" i="16"/>
  <c r="AI122" i="17"/>
  <c r="AI121" i="17"/>
  <c r="W5" i="18" l="1"/>
  <c r="W65" i="16" s="1"/>
  <c r="AJ89" i="17"/>
  <c r="W89" i="18" s="1"/>
  <c r="AJ110" i="17"/>
  <c r="BD41" i="17" l="1"/>
  <c r="W83" i="18"/>
  <c r="W85" i="18"/>
  <c r="W26" i="20"/>
  <c r="W110" i="18"/>
  <c r="AJ111" i="17"/>
  <c r="W15" i="18"/>
  <c r="AA41" i="18" l="1"/>
  <c r="BE41" i="17"/>
  <c r="W84" i="18"/>
  <c r="W86" i="18" s="1"/>
  <c r="W28" i="20"/>
  <c r="W111" i="18"/>
  <c r="AJ112" i="17"/>
  <c r="AJ116" i="17"/>
  <c r="AJ114" i="17"/>
  <c r="W114" i="18" s="1"/>
  <c r="W27" i="18"/>
  <c r="W65" i="18" s="1"/>
  <c r="W29" i="20"/>
  <c r="BF41" i="17" l="1"/>
  <c r="W116" i="18"/>
  <c r="AJ118" i="17"/>
  <c r="W112" i="18"/>
  <c r="AJ124" i="17"/>
  <c r="W124" i="18" s="1"/>
  <c r="W37" i="20"/>
  <c r="BG41" i="17" l="1"/>
  <c r="W118" i="18"/>
  <c r="AJ119" i="17"/>
  <c r="BH41" i="17" l="1"/>
  <c r="W119" i="18"/>
  <c r="AJ120" i="17"/>
  <c r="BI41" i="17" l="1"/>
  <c r="AB41" i="18" s="1"/>
  <c r="AC41" i="18" s="1"/>
  <c r="AD41" i="18" s="1"/>
  <c r="AE41" i="18" s="1"/>
  <c r="AF41" i="18" s="1"/>
  <c r="W120" i="18"/>
  <c r="AJ122" i="17"/>
  <c r="W122" i="18" s="1"/>
  <c r="AJ121" i="17"/>
  <c r="W121" i="18" s="1"/>
  <c r="W39" i="20" l="1"/>
  <c r="W40" i="20"/>
  <c r="AN14" i="13" l="1"/>
  <c r="AN20" i="13" l="1"/>
  <c r="AN34" i="13" l="1"/>
  <c r="X14" i="10"/>
  <c r="X15" i="10"/>
  <c r="X44" i="15"/>
  <c r="AN174" i="13" l="1"/>
  <c r="AN35" i="13"/>
  <c r="AN118" i="13"/>
  <c r="AN121" i="13" s="1"/>
  <c r="AN123" i="13" s="1"/>
  <c r="AN40" i="13"/>
  <c r="X11" i="20"/>
  <c r="X10" i="10"/>
  <c r="X11" i="10"/>
  <c r="AS41" i="13" l="1"/>
  <c r="AN41" i="13"/>
  <c r="AN46" i="13"/>
  <c r="AN50" i="13" s="1"/>
  <c r="AN44" i="13"/>
  <c r="AN56" i="13" l="1"/>
  <c r="AS57" i="13" s="1"/>
  <c r="AS51" i="13"/>
  <c r="AN63" i="13"/>
  <c r="AN73" i="13"/>
  <c r="AN70" i="13"/>
  <c r="AN51" i="13"/>
  <c r="AN60" i="13" l="1"/>
  <c r="AN71" i="13"/>
  <c r="AN57" i="13"/>
  <c r="AN74" i="13"/>
  <c r="AS64" i="13"/>
  <c r="AN69" i="13"/>
  <c r="AN64" i="13"/>
  <c r="M62" i="52"/>
  <c r="X77" i="18" l="1"/>
  <c r="X33" i="18"/>
  <c r="N61" i="52" s="1"/>
  <c r="N62" i="52" l="1"/>
  <c r="X37" i="18"/>
  <c r="X48" i="18" l="1"/>
  <c r="X17" i="16" l="1"/>
  <c r="X28" i="16" l="1"/>
  <c r="X55" i="16" l="1"/>
  <c r="X81" i="16"/>
  <c r="X22" i="20" s="1"/>
  <c r="X52" i="16" l="1"/>
  <c r="AK65" i="14" l="1"/>
  <c r="AL65" i="14" l="1"/>
  <c r="AM65" i="14" l="1"/>
  <c r="AR31" i="5" l="1"/>
  <c r="AR32" i="5" s="1"/>
  <c r="AQ31" i="5"/>
  <c r="AQ32" i="5" s="1"/>
  <c r="AP3" i="13"/>
  <c r="AP31" i="5"/>
  <c r="AP32" i="5" s="1"/>
  <c r="AP13" i="13"/>
  <c r="AP10" i="13" l="1"/>
  <c r="AP79" i="17" l="1"/>
  <c r="AP75" i="17"/>
  <c r="AP69" i="17"/>
  <c r="AP78" i="17"/>
  <c r="AP74" i="17"/>
  <c r="AP68" i="17"/>
  <c r="AP74" i="14"/>
  <c r="AP77" i="17"/>
  <c r="AP76" i="17"/>
  <c r="AP105" i="13"/>
  <c r="AP11" i="13"/>
  <c r="AQ45" i="1"/>
  <c r="AP106" i="13" l="1"/>
  <c r="AQ46" i="1"/>
  <c r="AP14" i="13" l="1"/>
  <c r="AP20" i="13" l="1"/>
  <c r="AR174" i="13" l="1"/>
  <c r="AQ174" i="13"/>
  <c r="AQ118" i="13"/>
  <c r="AQ121" i="13" s="1"/>
  <c r="AQ123" i="13" s="1"/>
  <c r="AQ43" i="2"/>
  <c r="AQ44" i="2" s="1"/>
  <c r="AP34" i="13"/>
  <c r="AS96" i="13" l="1"/>
  <c r="AP97" i="13"/>
  <c r="AP40" i="13"/>
  <c r="AP118" i="13"/>
  <c r="AP121" i="13" s="1"/>
  <c r="AP123" i="13" s="1"/>
  <c r="AP35" i="13"/>
  <c r="AP174" i="13"/>
  <c r="Y5" i="16" l="1"/>
  <c r="AT96" i="13"/>
  <c r="AT97" i="13" s="1"/>
  <c r="AP98" i="13"/>
  <c r="AP46" i="13"/>
  <c r="AP41" i="13"/>
  <c r="Y14" i="10"/>
  <c r="Y15" i="10"/>
  <c r="O162" i="48" l="1"/>
  <c r="CQ28" i="48"/>
  <c r="CQ47" i="48" s="1"/>
  <c r="Y96" i="15"/>
  <c r="AT98" i="13"/>
  <c r="AS97" i="13"/>
  <c r="AP56" i="13"/>
  <c r="AP4" i="14"/>
  <c r="AP50" i="13"/>
  <c r="Y11" i="10"/>
  <c r="Y10" i="10"/>
  <c r="AP29" i="14" l="1"/>
  <c r="AS4" i="14"/>
  <c r="AS29" i="14" s="1"/>
  <c r="AS98" i="13"/>
  <c r="AP74" i="13"/>
  <c r="AP71" i="13"/>
  <c r="AP57" i="13"/>
  <c r="AP60" i="13"/>
  <c r="AP63" i="13"/>
  <c r="AP70" i="13"/>
  <c r="AP51" i="13"/>
  <c r="AP73" i="13"/>
  <c r="AP59" i="14" l="1"/>
  <c r="AP62" i="14" s="1"/>
  <c r="AQ61" i="14" s="1"/>
  <c r="AQ62" i="14" s="1"/>
  <c r="AP77" i="14"/>
  <c r="AS77" i="14"/>
  <c r="AS59" i="14"/>
  <c r="AP69" i="13"/>
  <c r="AP64" i="13"/>
  <c r="AP64" i="14" l="1"/>
  <c r="AP5" i="17" s="1"/>
  <c r="AP79" i="14"/>
  <c r="AP82" i="14"/>
  <c r="AP78" i="14"/>
  <c r="AS82" i="14"/>
  <c r="AS79" i="14"/>
  <c r="AS78" i="14"/>
  <c r="AQ64" i="14"/>
  <c r="AQ5" i="17" s="1"/>
  <c r="AR61" i="14"/>
  <c r="AR62" i="14" s="1"/>
  <c r="BX125" i="48"/>
  <c r="AP15" i="17" l="1"/>
  <c r="AP27" i="17" s="1"/>
  <c r="AP65" i="17" s="1"/>
  <c r="AP83" i="17"/>
  <c r="AR64" i="14"/>
  <c r="AR5" i="17" s="1"/>
  <c r="AS61" i="14"/>
  <c r="AS62" i="14" s="1"/>
  <c r="AS64" i="14" s="1"/>
  <c r="AQ83" i="17"/>
  <c r="AQ15" i="17"/>
  <c r="AQ27" i="17" s="1"/>
  <c r="AQ66" i="17" s="1"/>
  <c r="AQ70" i="31"/>
  <c r="AR71" i="31"/>
  <c r="AP72" i="31"/>
  <c r="AP66" i="17" l="1"/>
  <c r="AP84" i="17"/>
  <c r="AR83" i="17"/>
  <c r="AR15" i="17"/>
  <c r="AR27" i="17" s="1"/>
  <c r="AR65" i="17" s="1"/>
  <c r="AS5" i="17"/>
  <c r="Y67" i="32"/>
  <c r="AQ84" i="17"/>
  <c r="AQ65" i="17"/>
  <c r="AR72" i="31"/>
  <c r="AQ72" i="31"/>
  <c r="Y34" i="18"/>
  <c r="AR84" i="17" l="1"/>
  <c r="AR66" i="17"/>
  <c r="AS15" i="17"/>
  <c r="AS27" i="17" s="1"/>
  <c r="AS66" i="17" s="1"/>
  <c r="AS83" i="17"/>
  <c r="AS65" i="14"/>
  <c r="Y44" i="18"/>
  <c r="Y65" i="32"/>
  <c r="Y70" i="32"/>
  <c r="Y46" i="18"/>
  <c r="AS84" i="17" l="1"/>
  <c r="AS65" i="17"/>
  <c r="Y82" i="18"/>
  <c r="Y27" i="20" s="1"/>
  <c r="Y45" i="16"/>
  <c r="Y71" i="32"/>
  <c r="Y72" i="32" s="1"/>
  <c r="Y66" i="32"/>
  <c r="Y68" i="32" s="1"/>
  <c r="Y44" i="16"/>
  <c r="Y55" i="16" l="1"/>
  <c r="AB6" i="40" l="1"/>
  <c r="AB12" i="40"/>
  <c r="AB13" i="40"/>
  <c r="AB16" i="40"/>
  <c r="AC34" i="47"/>
  <c r="AD34" i="47" s="1"/>
  <c r="AE34" i="47" s="1"/>
  <c r="AF34" i="47" s="1"/>
  <c r="AC35" i="47"/>
  <c r="AB41" i="47"/>
  <c r="AB43" i="47" s="1"/>
  <c r="AB47" i="47" s="1"/>
  <c r="BI3" i="2" s="1"/>
  <c r="BG3" i="2" l="1"/>
  <c r="BF3" i="2"/>
  <c r="BE3" i="2"/>
  <c r="BI4" i="13"/>
  <c r="AB3" i="10"/>
  <c r="AC41" i="47"/>
  <c r="AC43" i="47" s="1"/>
  <c r="AC50" i="47" s="1"/>
  <c r="AD35" i="47"/>
  <c r="AB27" i="40"/>
  <c r="AB62" i="47"/>
  <c r="AB65" i="47" s="1"/>
  <c r="AB67" i="47" s="1"/>
  <c r="AB59" i="47"/>
  <c r="BI10" i="13" l="1"/>
  <c r="AB4" i="15"/>
  <c r="AB10" i="15" s="1"/>
  <c r="BI19" i="2"/>
  <c r="AD41" i="47"/>
  <c r="AD43" i="47" s="1"/>
  <c r="AD62" i="47" s="1"/>
  <c r="AD65" i="47" s="1"/>
  <c r="AD67" i="47" s="1"/>
  <c r="AE35" i="47"/>
  <c r="AC62" i="47"/>
  <c r="AC65" i="47" s="1"/>
  <c r="AC67" i="47" s="1"/>
  <c r="AC47" i="47"/>
  <c r="AC59" i="47" s="1"/>
  <c r="AB68" i="47"/>
  <c r="AB51" i="20"/>
  <c r="AB19" i="10" l="1"/>
  <c r="AE41" i="47"/>
  <c r="AE43" i="47" s="1"/>
  <c r="AF35" i="47"/>
  <c r="AF41" i="47" s="1"/>
  <c r="AF43" i="47" s="1"/>
  <c r="BI14" i="17"/>
  <c r="BI79" i="17"/>
  <c r="AB79" i="18" s="1"/>
  <c r="BI8" i="17"/>
  <c r="BI9" i="17"/>
  <c r="BI105" i="13"/>
  <c r="BI76" i="17"/>
  <c r="AB76" i="18" s="1"/>
  <c r="BI33" i="14"/>
  <c r="AB33" i="16" s="1"/>
  <c r="AB22" i="10"/>
  <c r="AB13" i="10"/>
  <c r="BI22" i="2"/>
  <c r="BI14" i="13"/>
  <c r="AD50" i="47"/>
  <c r="AD47" i="47"/>
  <c r="AD3" i="10" s="1"/>
  <c r="AE50" i="47"/>
  <c r="AE62" i="47"/>
  <c r="AE65" i="47" s="1"/>
  <c r="AE67" i="47" s="1"/>
  <c r="AE47" i="47"/>
  <c r="AC68" i="47"/>
  <c r="AC19" i="10"/>
  <c r="AC3" i="10"/>
  <c r="AC48" i="47"/>
  <c r="AD19" i="10"/>
  <c r="AB53" i="20"/>
  <c r="AF50" i="47" l="1"/>
  <c r="AF62" i="47"/>
  <c r="AF65" i="47" s="1"/>
  <c r="AF67" i="47" s="1"/>
  <c r="AF47" i="47"/>
  <c r="AF59" i="47" s="1"/>
  <c r="BH8" i="17"/>
  <c r="AB8" i="18"/>
  <c r="BH14" i="17"/>
  <c r="AB14" i="18"/>
  <c r="BI20" i="13"/>
  <c r="AB14" i="15"/>
  <c r="AB20" i="15" s="1"/>
  <c r="BH9" i="17"/>
  <c r="AB9" i="18"/>
  <c r="AB184" i="15"/>
  <c r="AD59" i="47"/>
  <c r="AD68" i="47"/>
  <c r="AE48" i="47"/>
  <c r="AD48" i="47"/>
  <c r="AE3" i="10"/>
  <c r="AE59" i="47"/>
  <c r="AE19" i="10"/>
  <c r="AE68" i="47"/>
  <c r="AC13" i="10"/>
  <c r="AC15" i="10" s="1"/>
  <c r="AD20" i="10"/>
  <c r="AC4" i="10"/>
  <c r="AC20" i="10"/>
  <c r="AC4" i="15"/>
  <c r="AC22" i="10"/>
  <c r="AC23" i="10" s="1"/>
  <c r="AC14" i="15"/>
  <c r="AD4" i="15"/>
  <c r="AD4" i="10"/>
  <c r="AD14" i="15"/>
  <c r="AD22" i="10"/>
  <c r="AD13" i="10"/>
  <c r="AB54" i="20"/>
  <c r="AB4" i="20"/>
  <c r="R161" i="48"/>
  <c r="AE20" i="10" l="1"/>
  <c r="AE4" i="10"/>
  <c r="AF3" i="10"/>
  <c r="AF48" i="47"/>
  <c r="AF68" i="47"/>
  <c r="AF19" i="10"/>
  <c r="CT22" i="48"/>
  <c r="CW42" i="48" s="1"/>
  <c r="AE14" i="15"/>
  <c r="AE22" i="10"/>
  <c r="AE23" i="10" s="1"/>
  <c r="AE13" i="10"/>
  <c r="AE15" i="10" s="1"/>
  <c r="AE4" i="15"/>
  <c r="AC20" i="15"/>
  <c r="AC34" i="15" s="1"/>
  <c r="AD15" i="10"/>
  <c r="AC10" i="10"/>
  <c r="AC14" i="10"/>
  <c r="AC10" i="15"/>
  <c r="AD23" i="10"/>
  <c r="AD14" i="10"/>
  <c r="AD20" i="15"/>
  <c r="AD10" i="15"/>
  <c r="AD10" i="10"/>
  <c r="AJ83" i="18"/>
  <c r="AB19" i="20"/>
  <c r="CT35" i="48"/>
  <c r="CX50" i="48" s="1"/>
  <c r="AF4" i="10" l="1"/>
  <c r="AF4" i="15"/>
  <c r="AF14" i="15"/>
  <c r="AF13" i="10"/>
  <c r="AF10" i="10" s="1"/>
  <c r="AF22" i="10"/>
  <c r="AF23" i="10" s="1"/>
  <c r="AF20" i="10"/>
  <c r="AC184" i="15"/>
  <c r="AE14" i="10"/>
  <c r="AE10" i="10"/>
  <c r="AE11" i="10" s="1"/>
  <c r="AE10" i="15"/>
  <c r="AE20" i="15"/>
  <c r="AD184" i="15"/>
  <c r="AC9" i="18"/>
  <c r="AC16" i="16" s="1"/>
  <c r="AK69" i="18" s="1"/>
  <c r="AD11" i="10"/>
  <c r="AC8" i="18"/>
  <c r="AC15" i="16" s="1"/>
  <c r="AK68" i="18" s="1"/>
  <c r="AC33" i="16"/>
  <c r="AC79" i="18"/>
  <c r="AC105" i="15"/>
  <c r="AC11" i="15"/>
  <c r="AC14" i="18"/>
  <c r="AC19" i="16" s="1"/>
  <c r="AK72" i="18" s="1"/>
  <c r="AC76" i="18"/>
  <c r="S161" i="48"/>
  <c r="AD34" i="15"/>
  <c r="T161" i="48"/>
  <c r="AD14" i="18"/>
  <c r="AD105" i="15"/>
  <c r="AD8" i="18"/>
  <c r="AD11" i="15"/>
  <c r="AD33" i="16"/>
  <c r="AL83" i="18" s="1"/>
  <c r="AD9" i="18"/>
  <c r="AD76" i="18"/>
  <c r="AD79" i="18"/>
  <c r="AC118" i="15"/>
  <c r="AC121" i="15" s="1"/>
  <c r="AC123" i="15" s="1"/>
  <c r="AC35" i="15"/>
  <c r="AC172" i="15"/>
  <c r="AF10" i="15" l="1"/>
  <c r="AF11" i="10"/>
  <c r="AF15" i="10"/>
  <c r="AF14" i="10"/>
  <c r="AF20" i="15"/>
  <c r="AD100" i="15"/>
  <c r="AE11" i="15"/>
  <c r="AC41" i="16"/>
  <c r="AE184" i="15"/>
  <c r="AE14" i="18"/>
  <c r="AE105" i="15"/>
  <c r="AE100" i="15" s="1"/>
  <c r="AE9" i="18"/>
  <c r="U161" i="48"/>
  <c r="U163" i="48" s="1"/>
  <c r="AE33" i="16"/>
  <c r="AM83" i="18" s="1"/>
  <c r="AE76" i="18"/>
  <c r="AE8" i="18"/>
  <c r="AE79" i="18"/>
  <c r="AE34" i="15"/>
  <c r="AD16" i="16"/>
  <c r="AL69" i="18" s="1"/>
  <c r="AC100" i="15"/>
  <c r="AC102" i="15" s="1"/>
  <c r="AD15" i="16"/>
  <c r="AL68" i="18" s="1"/>
  <c r="AK83" i="18"/>
  <c r="AD19" i="16"/>
  <c r="AL72" i="18" s="1"/>
  <c r="AD41" i="16"/>
  <c r="AD172" i="15"/>
  <c r="AD35" i="15"/>
  <c r="AD118" i="15"/>
  <c r="AD121" i="15" s="1"/>
  <c r="AD123" i="15" s="1"/>
  <c r="AF105" i="15" l="1"/>
  <c r="AF100" i="15" s="1"/>
  <c r="AF33" i="16"/>
  <c r="V161" i="48"/>
  <c r="V163" i="48" s="1"/>
  <c r="AF14" i="18"/>
  <c r="AF19" i="16" s="1"/>
  <c r="AF9" i="18"/>
  <c r="AF16" i="16" s="1"/>
  <c r="AF8" i="18"/>
  <c r="AF15" i="16" s="1"/>
  <c r="AF76" i="18"/>
  <c r="AF79" i="18"/>
  <c r="AD31" i="18"/>
  <c r="AD102" i="15"/>
  <c r="AF34" i="15"/>
  <c r="AF11" i="15"/>
  <c r="AE19" i="16"/>
  <c r="AM72" i="18" s="1"/>
  <c r="AE15" i="16"/>
  <c r="AM68" i="18" s="1"/>
  <c r="AE16" i="16"/>
  <c r="AM69" i="18" s="1"/>
  <c r="AE31" i="18"/>
  <c r="AE102" i="15"/>
  <c r="AE41" i="16"/>
  <c r="AE35" i="15"/>
  <c r="AE172" i="15"/>
  <c r="AE118" i="15"/>
  <c r="AE121" i="15" s="1"/>
  <c r="AE123" i="15" s="1"/>
  <c r="U46" i="48"/>
  <c r="U95" i="48"/>
  <c r="U96" i="48" s="1"/>
  <c r="U100" i="48" s="1"/>
  <c r="U10" i="48"/>
  <c r="U109" i="48"/>
  <c r="U81" i="48"/>
  <c r="AC31" i="18"/>
  <c r="AD103" i="15" l="1"/>
  <c r="AF31" i="18"/>
  <c r="AF20" i="16" s="1"/>
  <c r="AF102" i="15"/>
  <c r="V109" i="48"/>
  <c r="V95" i="48"/>
  <c r="V96" i="48" s="1"/>
  <c r="V100" i="48" s="1"/>
  <c r="V46" i="48"/>
  <c r="V47" i="48" s="1"/>
  <c r="V51" i="48" s="1"/>
  <c r="V81" i="48"/>
  <c r="V10" i="48"/>
  <c r="AF35" i="15"/>
  <c r="AF172" i="15"/>
  <c r="AF118" i="15"/>
  <c r="AF121" i="15" s="1"/>
  <c r="AF123" i="15" s="1"/>
  <c r="AF40" i="15"/>
  <c r="AF41" i="16"/>
  <c r="AE20" i="16"/>
  <c r="AM73" i="18" s="1"/>
  <c r="U47" i="48"/>
  <c r="U51" i="48" s="1"/>
  <c r="AD20" i="16"/>
  <c r="AL73" i="18" s="1"/>
  <c r="AE103" i="15"/>
  <c r="AF103" i="15" l="1"/>
  <c r="AF43" i="15"/>
  <c r="X43" i="15"/>
  <c r="AF46" i="15" l="1"/>
  <c r="X4" i="16"/>
  <c r="X46" i="15"/>
  <c r="X56" i="15" s="1"/>
  <c r="X57" i="15"/>
  <c r="X29" i="16"/>
  <c r="X51" i="15"/>
  <c r="AF56" i="15" l="1"/>
  <c r="AF50" i="15"/>
  <c r="X50" i="15"/>
  <c r="X63" i="15" s="1"/>
  <c r="X18" i="20"/>
  <c r="X12" i="20"/>
  <c r="X71" i="15"/>
  <c r="X60" i="15"/>
  <c r="X74" i="15"/>
  <c r="X64" i="15"/>
  <c r="X79" i="16"/>
  <c r="X77" i="16"/>
  <c r="X78" i="16"/>
  <c r="X21" i="20" s="1"/>
  <c r="X82" i="16"/>
  <c r="X23" i="20" s="1"/>
  <c r="X59" i="16"/>
  <c r="X55" i="18"/>
  <c r="AN65" i="14"/>
  <c r="AF63" i="15" l="1"/>
  <c r="AF4" i="16"/>
  <c r="AF60" i="15"/>
  <c r="X73" i="15"/>
  <c r="X70" i="15"/>
  <c r="X185" i="15" s="1"/>
  <c r="X62" i="16"/>
  <c r="X58" i="18"/>
  <c r="X20" i="20"/>
  <c r="X69" i="15"/>
  <c r="X13" i="20" l="1"/>
  <c r="AO65" i="14"/>
  <c r="X64" i="16"/>
  <c r="X62" i="18"/>
  <c r="Y61" i="16"/>
  <c r="X64" i="18" l="1"/>
  <c r="X5" i="18"/>
  <c r="X89" i="18"/>
  <c r="X83" i="18" l="1"/>
  <c r="X85" i="18"/>
  <c r="X110" i="18"/>
  <c r="X15" i="18"/>
  <c r="X26" i="20"/>
  <c r="X65" i="16"/>
  <c r="X111" i="18" l="1"/>
  <c r="X37" i="20" s="1"/>
  <c r="X114" i="18"/>
  <c r="X29" i="20"/>
  <c r="X27" i="18"/>
  <c r="X65" i="18" s="1"/>
  <c r="X84" i="18"/>
  <c r="X86" i="18" s="1"/>
  <c r="X28" i="20"/>
  <c r="X112" i="18" l="1"/>
  <c r="X124" i="18"/>
  <c r="X116" i="18"/>
  <c r="X118" i="18" l="1"/>
  <c r="X119" i="18" l="1"/>
  <c r="X120" i="18" l="1"/>
  <c r="X122" i="18"/>
  <c r="X40" i="20" s="1"/>
  <c r="X121" i="18"/>
  <c r="X39" i="20" s="1"/>
  <c r="AM27" i="1" l="1"/>
  <c r="AO27" i="1" s="1"/>
  <c r="X17" i="8"/>
  <c r="X4" i="46"/>
  <c r="X3" i="46" s="1"/>
  <c r="X51" i="46" l="1"/>
  <c r="X66" i="46" s="1"/>
  <c r="N42" i="48"/>
  <c r="N71" i="48" s="1"/>
  <c r="X21" i="8"/>
  <c r="X5" i="46"/>
  <c r="X6" i="46"/>
  <c r="X7" i="46"/>
  <c r="X8" i="46"/>
  <c r="X9" i="46"/>
  <c r="X10" i="46"/>
  <c r="X11" i="46"/>
  <c r="X12" i="46"/>
  <c r="X59" i="46" s="1"/>
  <c r="N6" i="48" l="1"/>
  <c r="N36" i="48" s="1"/>
  <c r="N37" i="48" s="1"/>
  <c r="X55" i="46"/>
  <c r="X70" i="46" s="1"/>
  <c r="X77" i="46" s="1"/>
  <c r="X33" i="46"/>
  <c r="N105" i="48"/>
  <c r="N106" i="48" s="1"/>
  <c r="N114" i="48" s="1"/>
  <c r="X57" i="46"/>
  <c r="N91" i="48"/>
  <c r="N92" i="48" s="1"/>
  <c r="N100" i="48" s="1"/>
  <c r="X56" i="46"/>
  <c r="N77" i="48"/>
  <c r="N76" i="48" s="1"/>
  <c r="N78" i="48" s="1"/>
  <c r="N86" i="48" s="1"/>
  <c r="X58" i="46"/>
  <c r="X52" i="46"/>
  <c r="X67" i="46" s="1"/>
  <c r="X83" i="46" s="1"/>
  <c r="N43" i="48"/>
  <c r="X54" i="46"/>
  <c r="X69" i="46" s="1"/>
  <c r="X85" i="46" s="1"/>
  <c r="X53" i="46"/>
  <c r="X68" i="46" s="1"/>
  <c r="X30" i="46"/>
  <c r="X13" i="46"/>
  <c r="X82" i="46"/>
  <c r="X73" i="46"/>
  <c r="N7" i="48" l="1"/>
  <c r="N15" i="48" s="1"/>
  <c r="CI6" i="48"/>
  <c r="N51" i="48"/>
  <c r="N122" i="48" s="1"/>
  <c r="N118" i="48" s="1"/>
  <c r="N72" i="48"/>
  <c r="X93" i="46"/>
  <c r="AO30" i="5"/>
  <c r="AN30" i="5" s="1"/>
  <c r="AN31" i="5" s="1"/>
  <c r="AN32" i="5" s="1"/>
  <c r="X31" i="46"/>
  <c r="AO31" i="5" s="1"/>
  <c r="X76" i="46"/>
  <c r="X74" i="46"/>
  <c r="N35" i="52"/>
  <c r="X60" i="46"/>
  <c r="X62" i="46" s="1"/>
  <c r="X44" i="46"/>
  <c r="X45" i="7" s="1"/>
  <c r="X44" i="7" s="1"/>
  <c r="X47" i="7" s="1"/>
  <c r="AO32" i="5"/>
  <c r="X14" i="8"/>
  <c r="X84" i="46"/>
  <c r="X75" i="46"/>
  <c r="CI7" i="48" l="1"/>
  <c r="X63" i="46"/>
  <c r="AP65" i="14"/>
  <c r="Q17" i="48" l="1"/>
  <c r="CI22" i="48"/>
  <c r="Q18" i="48"/>
  <c r="CI19" i="48"/>
  <c r="CI21" i="48"/>
  <c r="X90" i="18"/>
  <c r="X91" i="18"/>
  <c r="X32" i="20" s="1"/>
  <c r="X93" i="18"/>
  <c r="X94" i="18"/>
  <c r="X98" i="18"/>
  <c r="X99" i="18"/>
  <c r="X101" i="18"/>
  <c r="X102" i="18"/>
  <c r="X103" i="18"/>
  <c r="X105" i="18"/>
  <c r="X106" i="18"/>
  <c r="X34" i="20" s="1"/>
  <c r="X107" i="18"/>
  <c r="X35" i="20" s="1"/>
  <c r="CJ25" i="48" l="1"/>
  <c r="CJ23" i="48"/>
  <c r="Q23" i="48"/>
  <c r="CS20" i="48" s="1"/>
  <c r="CU40" i="48" s="1"/>
  <c r="CI30" i="48"/>
  <c r="Q30" i="48"/>
  <c r="S17" i="48"/>
  <c r="S21" i="48" s="1"/>
  <c r="S30" i="48" s="1"/>
  <c r="CI31" i="48"/>
  <c r="Q31" i="48"/>
  <c r="CI25" i="48"/>
  <c r="Q25" i="48" s="1"/>
  <c r="CI23" i="48"/>
  <c r="AQ65" i="14"/>
  <c r="CJ32" i="48" l="1"/>
  <c r="CJ36" i="48"/>
  <c r="CJ26" i="48" s="1"/>
  <c r="Q32" i="48"/>
  <c r="AA86" i="46" s="1"/>
  <c r="T17" i="48"/>
  <c r="T21" i="48" s="1"/>
  <c r="T30" i="48" s="1"/>
  <c r="S18" i="48"/>
  <c r="CI36" i="48"/>
  <c r="CI26" i="48" s="1"/>
  <c r="CI32" i="48"/>
  <c r="AQ110" i="17"/>
  <c r="AQ111" i="17" s="1"/>
  <c r="AQ116" i="17" s="1"/>
  <c r="AQ118" i="17" s="1"/>
  <c r="AQ119" i="17" s="1"/>
  <c r="AQ89" i="17"/>
  <c r="CI28" i="48" l="1"/>
  <c r="Q26" i="48"/>
  <c r="Q28" i="48" s="1"/>
  <c r="T18" i="48"/>
  <c r="T22" i="48" s="1"/>
  <c r="T31" i="48" s="1"/>
  <c r="R23" i="48"/>
  <c r="R25" i="48"/>
  <c r="S19" i="48"/>
  <c r="S22" i="48"/>
  <c r="S31" i="48" s="1"/>
  <c r="U17" i="48"/>
  <c r="AQ114" i="17"/>
  <c r="AQ112" i="17"/>
  <c r="AQ124" i="17" s="1"/>
  <c r="AQ120" i="17" s="1"/>
  <c r="AQ121" i="17" s="1"/>
  <c r="U21" i="48" l="1"/>
  <c r="U30" i="48" s="1"/>
  <c r="V17" i="48"/>
  <c r="V21" i="48" s="1"/>
  <c r="V30" i="48" s="1"/>
  <c r="T19" i="48"/>
  <c r="T23" i="48" s="1"/>
  <c r="CT20" i="48"/>
  <c r="CW40" i="48" s="1"/>
  <c r="R32" i="48"/>
  <c r="AB86" i="46" s="1"/>
  <c r="AB93" i="46" s="1"/>
  <c r="R36" i="48"/>
  <c r="S23" i="48"/>
  <c r="S25" i="48"/>
  <c r="U18" i="48"/>
  <c r="AQ122" i="17"/>
  <c r="AK68" i="14"/>
  <c r="AK71" i="14" s="1"/>
  <c r="AL68" i="14"/>
  <c r="AM68" i="14"/>
  <c r="AN68" i="14"/>
  <c r="U19" i="48" l="1"/>
  <c r="V18" i="48"/>
  <c r="V22" i="48" s="1"/>
  <c r="V31" i="48" s="1"/>
  <c r="V19" i="48"/>
  <c r="T25" i="48"/>
  <c r="U25" i="48"/>
  <c r="U23" i="48"/>
  <c r="R26" i="48"/>
  <c r="R37" i="48"/>
  <c r="U22" i="48"/>
  <c r="U31" i="48" s="1"/>
  <c r="S36" i="48"/>
  <c r="S32" i="48"/>
  <c r="T32" i="48"/>
  <c r="T36" i="48"/>
  <c r="AL71" i="14"/>
  <c r="AM71" i="14" s="1"/>
  <c r="AO68" i="14"/>
  <c r="V25" i="48" l="1"/>
  <c r="V23" i="48"/>
  <c r="S37" i="48"/>
  <c r="S26" i="48"/>
  <c r="S28" i="48" s="1"/>
  <c r="U36" i="48"/>
  <c r="U32" i="48"/>
  <c r="T26" i="48"/>
  <c r="T28" i="48" s="1"/>
  <c r="T37" i="48"/>
  <c r="X68" i="16"/>
  <c r="AO69" i="14"/>
  <c r="X69" i="16" s="1"/>
  <c r="AN71" i="14"/>
  <c r="V36" i="48" l="1"/>
  <c r="V32" i="48"/>
  <c r="U37" i="48"/>
  <c r="U26" i="48"/>
  <c r="U28" i="48" s="1"/>
  <c r="AR65" i="14"/>
  <c r="V37" i="48" l="1"/>
  <c r="V26" i="48"/>
  <c r="V28" i="48" s="1"/>
  <c r="AR89" i="17"/>
  <c r="AR110" i="17"/>
  <c r="AR111" i="17" s="1"/>
  <c r="AR112" i="17" s="1"/>
  <c r="AR124" i="17" s="1"/>
  <c r="AR116" i="17" l="1"/>
  <c r="AR118" i="17" s="1"/>
  <c r="AR119" i="17" s="1"/>
  <c r="AR120" i="17" s="1"/>
  <c r="AR114" i="17"/>
  <c r="AR121" i="17" l="1"/>
  <c r="AR122" i="17"/>
  <c r="BZ125" i="48"/>
  <c r="AW4" i="13" l="1"/>
  <c r="AW10" i="13" l="1"/>
  <c r="AW43" i="2"/>
  <c r="AW44" i="2" s="1"/>
  <c r="AW14" i="13"/>
  <c r="AW79" i="17" l="1"/>
  <c r="AW74" i="17"/>
  <c r="AW68" i="17"/>
  <c r="AW76" i="17"/>
  <c r="AW69" i="17"/>
  <c r="AW78" i="17"/>
  <c r="AW77" i="17"/>
  <c r="AW74" i="14"/>
  <c r="AW75" i="17"/>
  <c r="AW105" i="13"/>
  <c r="AW11" i="13"/>
  <c r="AV43" i="2"/>
  <c r="AV44" i="2" s="1"/>
  <c r="AW106" i="13" l="1"/>
  <c r="AW45" i="1"/>
  <c r="AV45" i="1" l="1"/>
  <c r="AW46" i="1"/>
  <c r="AU45" i="1"/>
  <c r="AU46" i="1" l="1"/>
  <c r="AV46" i="1"/>
  <c r="AW27" i="4" l="1"/>
  <c r="AW15" i="13"/>
  <c r="AW20" i="13" l="1"/>
  <c r="AW34" i="13" l="1"/>
  <c r="AX19" i="4"/>
  <c r="AX15" i="13" s="1"/>
  <c r="AU27" i="4"/>
  <c r="AV27" i="4"/>
  <c r="AV15" i="13"/>
  <c r="AW174" i="13" l="1"/>
  <c r="AX13" i="4"/>
  <c r="AW118" i="13"/>
  <c r="AW121" i="13" s="1"/>
  <c r="AW123" i="13" s="1"/>
  <c r="AW97" i="13"/>
  <c r="AW35" i="13"/>
  <c r="AW40" i="13"/>
  <c r="AV20" i="13"/>
  <c r="AX22" i="4"/>
  <c r="AX27" i="4"/>
  <c r="AY27" i="4" s="1"/>
  <c r="AX20" i="4"/>
  <c r="AX14" i="4" l="1"/>
  <c r="AX10" i="4"/>
  <c r="AX11" i="4" s="1"/>
  <c r="AX15" i="4"/>
  <c r="AW98" i="13"/>
  <c r="Z15" i="11"/>
  <c r="AA14" i="11"/>
  <c r="AX23" i="4"/>
  <c r="AW46" i="13"/>
  <c r="AW50" i="13" s="1"/>
  <c r="AW44" i="13"/>
  <c r="AW41" i="13"/>
  <c r="AV34" i="13"/>
  <c r="Z14" i="11"/>
  <c r="Z11" i="11" l="1"/>
  <c r="AA11" i="11"/>
  <c r="AW56" i="13"/>
  <c r="AV97" i="13"/>
  <c r="AV40" i="13"/>
  <c r="AV118" i="13"/>
  <c r="AV121" i="13" s="1"/>
  <c r="AV123" i="13" s="1"/>
  <c r="AV35" i="13"/>
  <c r="AV174" i="13"/>
  <c r="Z10" i="11"/>
  <c r="AV98" i="13" l="1"/>
  <c r="AW74" i="13"/>
  <c r="AW60" i="13"/>
  <c r="AW71" i="13"/>
  <c r="AW57" i="13"/>
  <c r="AW63" i="13"/>
  <c r="AW51" i="13"/>
  <c r="AW73" i="13"/>
  <c r="AW70" i="13"/>
  <c r="AV44" i="13"/>
  <c r="AV41" i="13"/>
  <c r="AV46" i="13"/>
  <c r="AV50" i="13" s="1"/>
  <c r="Z52" i="16" l="1"/>
  <c r="AW69" i="13"/>
  <c r="AW64" i="13"/>
  <c r="AV56" i="13"/>
  <c r="AV71" i="13" l="1"/>
  <c r="AV60" i="13"/>
  <c r="AV57" i="13"/>
  <c r="AV74" i="13"/>
  <c r="AV70" i="13"/>
  <c r="AV63" i="13"/>
  <c r="AV51" i="13"/>
  <c r="AV73" i="13"/>
  <c r="Z83" i="15"/>
  <c r="Z82" i="15"/>
  <c r="Z81" i="16"/>
  <c r="Z22" i="20" l="1"/>
  <c r="Z77" i="15"/>
  <c r="Z76" i="15"/>
  <c r="AV69" i="13"/>
  <c r="AV64" i="13"/>
  <c r="Z85" i="15"/>
  <c r="Z79" i="15" l="1"/>
  <c r="Z86" i="15"/>
  <c r="Z80" i="15"/>
  <c r="Z14" i="20" l="1"/>
  <c r="Z76" i="46"/>
  <c r="Z77" i="46"/>
  <c r="Z75" i="46"/>
  <c r="Z73" i="46"/>
  <c r="AA22" i="20"/>
  <c r="AB22" i="20" l="1"/>
  <c r="AC81" i="16" l="1"/>
  <c r="Y17" i="8" l="1"/>
  <c r="Y4" i="46"/>
  <c r="Y3" i="46" l="1"/>
  <c r="O42" i="48"/>
  <c r="Y51" i="46"/>
  <c r="Y66" i="46" s="1"/>
  <c r="CI42" i="48" l="1"/>
  <c r="CI43" i="48" s="1"/>
  <c r="Y73" i="46"/>
  <c r="Y82" i="46"/>
  <c r="O43" i="48"/>
  <c r="O71" i="48"/>
  <c r="Y6" i="8"/>
  <c r="Y5" i="46" s="1"/>
  <c r="CA77" i="48"/>
  <c r="CA76" i="48" s="1"/>
  <c r="CA78" i="48" s="1"/>
  <c r="CA86" i="48" s="1"/>
  <c r="O77" i="48" l="1"/>
  <c r="O76" i="48" s="1"/>
  <c r="O78" i="48" s="1"/>
  <c r="Y52" i="46"/>
  <c r="Y67" i="46" s="1"/>
  <c r="Y83" i="46" l="1"/>
  <c r="Y74" i="46"/>
  <c r="AR49" i="1" l="1"/>
  <c r="AR48" i="1" s="1"/>
  <c r="AR51" i="1" s="1"/>
  <c r="AQ49" i="1" l="1"/>
  <c r="AP49" i="1" s="1"/>
  <c r="AP48" i="1" s="1"/>
  <c r="AP51" i="1" s="1"/>
  <c r="Y3" i="7"/>
  <c r="Y4" i="7"/>
  <c r="Y45" i="20" s="1"/>
  <c r="Y8" i="7"/>
  <c r="Y10" i="7"/>
  <c r="O48" i="52" s="1"/>
  <c r="Y11" i="7"/>
  <c r="Y14" i="7"/>
  <c r="Y15" i="7"/>
  <c r="Y19" i="7"/>
  <c r="Y13" i="7" s="1"/>
  <c r="Y41" i="7" s="1"/>
  <c r="Y20" i="7"/>
  <c r="Y23" i="7"/>
  <c r="AP26" i="1"/>
  <c r="AQ26" i="1"/>
  <c r="AR26" i="1"/>
  <c r="AS26" i="1"/>
  <c r="AP27" i="1"/>
  <c r="AQ27" i="1"/>
  <c r="AR27" i="1"/>
  <c r="AS27" i="1"/>
  <c r="AS45" i="1"/>
  <c r="AS46" i="1" s="1"/>
  <c r="AT45" i="1"/>
  <c r="AT46" i="1" s="1"/>
  <c r="AS48" i="1"/>
  <c r="O32" i="52" l="1"/>
  <c r="M39" i="52" s="1"/>
  <c r="Y32" i="46"/>
  <c r="AQ48" i="1"/>
  <c r="AQ51" i="1" s="1"/>
  <c r="AT27" i="1"/>
  <c r="Y44" i="20"/>
  <c r="AT26" i="1"/>
  <c r="Y42" i="7"/>
  <c r="O49" i="52"/>
  <c r="Y46" i="20"/>
  <c r="O52" i="52"/>
  <c r="O53" i="52" s="1"/>
  <c r="Y22" i="7"/>
  <c r="Y47" i="20" s="1"/>
  <c r="AS174" i="13"/>
  <c r="Y35" i="15"/>
  <c r="AT174" i="13"/>
  <c r="Y78" i="18"/>
  <c r="Y79" i="18"/>
  <c r="Y76" i="18"/>
  <c r="Y11" i="15"/>
  <c r="Y5" i="20" s="1"/>
  <c r="Y13" i="15"/>
  <c r="Y3" i="15"/>
  <c r="AS51" i="1"/>
  <c r="O33" i="52" l="1"/>
  <c r="AT51" i="1"/>
  <c r="M38" i="52"/>
  <c r="M37" i="52" s="1"/>
  <c r="O19" i="52"/>
  <c r="O28" i="52" s="1"/>
  <c r="O35" i="52"/>
  <c r="AT48" i="1"/>
  <c r="O54" i="52"/>
  <c r="Y20" i="15"/>
  <c r="Y118" i="15"/>
  <c r="Y123" i="15" s="1"/>
  <c r="Y9" i="20"/>
  <c r="Y33" i="16"/>
  <c r="Y75" i="16"/>
  <c r="Y9" i="18"/>
  <c r="Y8" i="18"/>
  <c r="Y14" i="18"/>
  <c r="Y10" i="15"/>
  <c r="Y41" i="15"/>
  <c r="Y44" i="15"/>
  <c r="N40" i="52" l="1"/>
  <c r="N41" i="52"/>
  <c r="Y19" i="16"/>
  <c r="Y121" i="15"/>
  <c r="Y41" i="16"/>
  <c r="Y34" i="15"/>
  <c r="Y11" i="20"/>
  <c r="Y184" i="15"/>
  <c r="Y4" i="20"/>
  <c r="O161" i="48"/>
  <c r="O163" i="48" s="1"/>
  <c r="Y19" i="20"/>
  <c r="CQ35" i="48"/>
  <c r="CR50" i="48" s="1"/>
  <c r="Y16" i="16"/>
  <c r="Y100" i="15" l="1"/>
  <c r="Y40" i="15"/>
  <c r="Y8" i="20"/>
  <c r="Y97" i="15"/>
  <c r="Y172" i="15"/>
  <c r="Y57" i="15"/>
  <c r="Y51" i="15"/>
  <c r="O81" i="48"/>
  <c r="O82" i="48" s="1"/>
  <c r="O86" i="48" s="1"/>
  <c r="O10" i="48"/>
  <c r="O46" i="48"/>
  <c r="BX163" i="48"/>
  <c r="O95" i="48"/>
  <c r="BY163" i="48"/>
  <c r="BZ163" i="48"/>
  <c r="O109" i="48"/>
  <c r="CA163" i="48"/>
  <c r="Y4" i="16"/>
  <c r="BX109" i="48" l="1"/>
  <c r="O110" i="48"/>
  <c r="O114" i="48" s="1"/>
  <c r="BX46" i="48"/>
  <c r="O47" i="48"/>
  <c r="O72" i="48" s="1"/>
  <c r="Y15" i="16"/>
  <c r="Y33" i="18"/>
  <c r="O61" i="52" s="1"/>
  <c r="Y77" i="18"/>
  <c r="Y10" i="20"/>
  <c r="Y46" i="15"/>
  <c r="Y103" i="15"/>
  <c r="BX10" i="48"/>
  <c r="O11" i="48"/>
  <c r="O15" i="48" s="1"/>
  <c r="Y64" i="15"/>
  <c r="Y102" i="15"/>
  <c r="Y105" i="15"/>
  <c r="BX95" i="48"/>
  <c r="O96" i="48"/>
  <c r="O100" i="48" s="1"/>
  <c r="Y31" i="18"/>
  <c r="Y98" i="15"/>
  <c r="Y7" i="20" s="1"/>
  <c r="Y6" i="20"/>
  <c r="Y186" i="15"/>
  <c r="Y19" i="18"/>
  <c r="Y25" i="18" l="1"/>
  <c r="BY95" i="48"/>
  <c r="BX96" i="48"/>
  <c r="BX100" i="48" s="1"/>
  <c r="Y37" i="18"/>
  <c r="Y48" i="18"/>
  <c r="Y56" i="15"/>
  <c r="Y50" i="15"/>
  <c r="Y20" i="16"/>
  <c r="BY109" i="48"/>
  <c r="BX110" i="48"/>
  <c r="BX114" i="48" s="1"/>
  <c r="Y106" i="15"/>
  <c r="BY10" i="48"/>
  <c r="CQ19" i="48"/>
  <c r="O51" i="48"/>
  <c r="O122" i="48" s="1"/>
  <c r="Y55" i="18"/>
  <c r="BY46" i="48"/>
  <c r="BX47" i="48"/>
  <c r="BX51" i="48" s="1"/>
  <c r="BX122" i="48" l="1"/>
  <c r="Y58" i="18"/>
  <c r="BY110" i="48"/>
  <c r="BY114" i="48" s="1"/>
  <c r="BZ109" i="48"/>
  <c r="CQ39" i="48"/>
  <c r="CQ21" i="48"/>
  <c r="CR41" i="48" s="1"/>
  <c r="Y63" i="15"/>
  <c r="Y70" i="15"/>
  <c r="Y73" i="15"/>
  <c r="BZ10" i="48"/>
  <c r="Y60" i="15"/>
  <c r="Y74" i="15"/>
  <c r="Y12" i="20"/>
  <c r="Y71" i="15"/>
  <c r="BY47" i="48"/>
  <c r="BY51" i="48" s="1"/>
  <c r="BZ46" i="48"/>
  <c r="BX118" i="48"/>
  <c r="BZ95" i="48"/>
  <c r="BY96" i="48"/>
  <c r="BY100" i="48" s="1"/>
  <c r="CA46" i="48" l="1"/>
  <c r="BZ47" i="48"/>
  <c r="BZ51" i="48" s="1"/>
  <c r="Y185" i="15"/>
  <c r="Y13" i="20"/>
  <c r="CA109" i="48"/>
  <c r="BZ110" i="48"/>
  <c r="BZ114" i="48" s="1"/>
  <c r="BY122" i="48"/>
  <c r="CA10" i="48"/>
  <c r="Y69" i="15"/>
  <c r="BY118" i="48"/>
  <c r="CA95" i="48"/>
  <c r="BZ96" i="48"/>
  <c r="BZ100" i="48" s="1"/>
  <c r="Y17" i="16"/>
  <c r="CQ26" i="48"/>
  <c r="CQ46" i="48" s="1"/>
  <c r="Y62" i="18"/>
  <c r="CB10" i="48" l="1"/>
  <c r="CQ33" i="48"/>
  <c r="BZ118" i="48"/>
  <c r="Y64" i="18"/>
  <c r="CB109" i="48"/>
  <c r="CA110" i="48"/>
  <c r="CA114" i="48" s="1"/>
  <c r="BZ122" i="48"/>
  <c r="CA96" i="48"/>
  <c r="CA100" i="48" s="1"/>
  <c r="CB95" i="48"/>
  <c r="CB46" i="48"/>
  <c r="CA47" i="48"/>
  <c r="CA51" i="48" s="1"/>
  <c r="CA122" i="48" l="1"/>
  <c r="CC109" i="48"/>
  <c r="CB110" i="48"/>
  <c r="CB114" i="48" s="1"/>
  <c r="CC46" i="48"/>
  <c r="CB47" i="48"/>
  <c r="CC95" i="48"/>
  <c r="CB96" i="48"/>
  <c r="CB100" i="48" s="1"/>
  <c r="CC10" i="48"/>
  <c r="CB50" i="48" l="1"/>
  <c r="CD95" i="48"/>
  <c r="CC96" i="48"/>
  <c r="CC100" i="48" s="1"/>
  <c r="CC110" i="48"/>
  <c r="CC114" i="48" s="1"/>
  <c r="CD109" i="48"/>
  <c r="CD10" i="48"/>
  <c r="CC47" i="48"/>
  <c r="CD46" i="48"/>
  <c r="O124" i="48"/>
  <c r="O125" i="48" s="1"/>
  <c r="CA125" i="48"/>
  <c r="CC50" i="48" l="1"/>
  <c r="CB51" i="48"/>
  <c r="O118" i="48"/>
  <c r="CE109" i="48"/>
  <c r="CD110" i="48"/>
  <c r="CD114" i="48" s="1"/>
  <c r="CE10" i="48"/>
  <c r="CE46" i="48"/>
  <c r="CD47" i="48"/>
  <c r="CE95" i="48"/>
  <c r="CF95" i="48" s="1"/>
  <c r="CF96" i="48" s="1"/>
  <c r="CF100" i="48" s="1"/>
  <c r="CD96" i="48"/>
  <c r="CD100" i="48" s="1"/>
  <c r="CE47" i="48" l="1"/>
  <c r="CE51" i="48" s="1"/>
  <c r="CE110" i="48"/>
  <c r="CE114" i="48" s="1"/>
  <c r="CE96" i="48"/>
  <c r="CE100" i="48" s="1"/>
  <c r="CC51" i="48"/>
  <c r="CD50" i="48"/>
  <c r="Y12" i="18"/>
  <c r="O44" i="52" s="1"/>
  <c r="O45" i="52" s="1"/>
  <c r="Y71" i="18"/>
  <c r="Y74" i="18"/>
  <c r="P50" i="48" l="1"/>
  <c r="P53" i="48" s="1"/>
  <c r="CD51" i="48"/>
  <c r="Y18" i="16"/>
  <c r="CG95" i="48" l="1"/>
  <c r="P54" i="48"/>
  <c r="P55" i="48" s="1"/>
  <c r="CC125" i="48"/>
  <c r="P57" i="48"/>
  <c r="P65" i="48" s="1"/>
  <c r="Q53" i="48"/>
  <c r="Y28" i="16"/>
  <c r="CH95" i="48" l="1"/>
  <c r="CG96" i="48"/>
  <c r="CG100" i="48" s="1"/>
  <c r="Q54" i="48"/>
  <c r="Q58" i="48" s="1"/>
  <c r="Q66" i="48" s="1"/>
  <c r="P58" i="48"/>
  <c r="P66" i="48" s="1"/>
  <c r="P59" i="48"/>
  <c r="P61" i="48"/>
  <c r="P63" i="48" s="1"/>
  <c r="CD125" i="48"/>
  <c r="Q57" i="48"/>
  <c r="Q65" i="48" s="1"/>
  <c r="Y29" i="16"/>
  <c r="CQ29" i="48"/>
  <c r="AS89" i="17"/>
  <c r="AS110" i="17"/>
  <c r="AS111" i="17" s="1"/>
  <c r="CI95" i="48" l="1"/>
  <c r="CH96" i="48"/>
  <c r="CH100" i="48" s="1"/>
  <c r="Q55" i="48"/>
  <c r="Q59" i="48" s="1"/>
  <c r="P67" i="48"/>
  <c r="P71" i="48"/>
  <c r="CQ48" i="48"/>
  <c r="CQ31" i="48"/>
  <c r="CQ32" i="48" s="1"/>
  <c r="Y77" i="16"/>
  <c r="Y78" i="16"/>
  <c r="Y21" i="20" s="1"/>
  <c r="Y82" i="16"/>
  <c r="Y23" i="20" s="1"/>
  <c r="Y79" i="16"/>
  <c r="Y59" i="16"/>
  <c r="AS114" i="17"/>
  <c r="AS112" i="17"/>
  <c r="AS124" i="17" s="1"/>
  <c r="AS116" i="17"/>
  <c r="AS118" i="17" s="1"/>
  <c r="AS119" i="17" s="1"/>
  <c r="Y18" i="20"/>
  <c r="CI96" i="48" l="1"/>
  <c r="CI100" i="48" s="1"/>
  <c r="Q61" i="48"/>
  <c r="Q63" i="48" s="1"/>
  <c r="Q67" i="48"/>
  <c r="AS120" i="17"/>
  <c r="AS122" i="17" s="1"/>
  <c r="Y62" i="16"/>
  <c r="Y20" i="20"/>
  <c r="Z61" i="16" l="1"/>
  <c r="AT84" i="17"/>
  <c r="AT15" i="17"/>
  <c r="AT27" i="17" s="1"/>
  <c r="AS121" i="17"/>
  <c r="Y64" i="16"/>
  <c r="AT65" i="17" l="1"/>
  <c r="AT66" i="17"/>
  <c r="Y65" i="16"/>
  <c r="AT110" i="17"/>
  <c r="AT89" i="17"/>
  <c r="Y89" i="18" s="1"/>
  <c r="Y110" i="18" l="1"/>
  <c r="AT111" i="17"/>
  <c r="Y15" i="18"/>
  <c r="Y83" i="18"/>
  <c r="Y85" i="18"/>
  <c r="Y26" i="20"/>
  <c r="Y27" i="18" l="1"/>
  <c r="Y65" i="18" s="1"/>
  <c r="Y29" i="20"/>
  <c r="Y84" i="18"/>
  <c r="Y86" i="18" s="1"/>
  <c r="Y28" i="20"/>
  <c r="Y111" i="18"/>
  <c r="Y37" i="20" s="1"/>
  <c r="AT116" i="17"/>
  <c r="AT114" i="17"/>
  <c r="Y114" i="18" s="1"/>
  <c r="AT112" i="17"/>
  <c r="Y116" i="18" l="1"/>
  <c r="AT118" i="17"/>
  <c r="Y112" i="18"/>
  <c r="AT124" i="17"/>
  <c r="Y124" i="18" s="1"/>
  <c r="Y118" i="18" l="1"/>
  <c r="AT119" i="17"/>
  <c r="Y119" i="18" l="1"/>
  <c r="AT120" i="17"/>
  <c r="Y120" i="18" l="1"/>
  <c r="AT121" i="17"/>
  <c r="Y121" i="18" s="1"/>
  <c r="Y39" i="20" s="1"/>
  <c r="AT122" i="17"/>
  <c r="Y122" i="18" s="1"/>
  <c r="Y40" i="20" s="1"/>
  <c r="BX11" i="48" l="1"/>
  <c r="BX15" i="48" s="1"/>
  <c r="BY11" i="48"/>
  <c r="BY15" i="48" s="1"/>
  <c r="BZ11" i="48"/>
  <c r="BZ15" i="48" s="1"/>
  <c r="CA11" i="48"/>
  <c r="CA15" i="48" s="1"/>
  <c r="CB11" i="48"/>
  <c r="CB15" i="48" s="1"/>
  <c r="CC11" i="48"/>
  <c r="CC15" i="48" s="1"/>
  <c r="CD11" i="48"/>
  <c r="CD15" i="48" s="1"/>
  <c r="CE11" i="48"/>
  <c r="CE15" i="48" s="1"/>
  <c r="Z88" i="16"/>
  <c r="AT32" i="5" l="1"/>
  <c r="AU43" i="2"/>
  <c r="AU44" i="2" s="1"/>
  <c r="AU4" i="13"/>
  <c r="AU14" i="13"/>
  <c r="AU20" i="13" l="1"/>
  <c r="AU34" i="13" l="1"/>
  <c r="AU118" i="13" s="1"/>
  <c r="AU121" i="13" s="1"/>
  <c r="AU123" i="13" s="1"/>
  <c r="AU40" i="13" l="1"/>
  <c r="AU97" i="13"/>
  <c r="AU44" i="13"/>
  <c r="AZ41" i="13" l="1"/>
  <c r="AU46" i="13"/>
  <c r="AU56" i="13" s="1"/>
  <c r="AZ57" i="13" s="1"/>
  <c r="AU41" i="13"/>
  <c r="AU50" i="13" l="1"/>
  <c r="AU51" i="13" s="1"/>
  <c r="AU4" i="14"/>
  <c r="AU29" i="14" s="1"/>
  <c r="AU59" i="14" s="1"/>
  <c r="AU62" i="14" s="1"/>
  <c r="AV61" i="14" s="1"/>
  <c r="AU57" i="13"/>
  <c r="AU60" i="13"/>
  <c r="AU71" i="13"/>
  <c r="AU74" i="13"/>
  <c r="AU73" i="13" l="1"/>
  <c r="AU63" i="13"/>
  <c r="AU70" i="13"/>
  <c r="AZ51" i="13"/>
  <c r="AU77" i="14"/>
  <c r="AZ64" i="13"/>
  <c r="AU64" i="14"/>
  <c r="AU5" i="17" s="1"/>
  <c r="AU64" i="13"/>
  <c r="AU69" i="13"/>
  <c r="AU79" i="14" l="1"/>
  <c r="AU82" i="14"/>
  <c r="AU78" i="14"/>
  <c r="AU65" i="14" l="1"/>
  <c r="AU15" i="17" l="1"/>
  <c r="AU27" i="17" s="1"/>
  <c r="AU83" i="17"/>
  <c r="AU84" i="17" l="1"/>
  <c r="AU65" i="17"/>
  <c r="AU66" i="17"/>
  <c r="AV4" i="14" l="1"/>
  <c r="AV202" i="31"/>
  <c r="AV201" i="31" s="1"/>
  <c r="AY201" i="31" s="1"/>
  <c r="AY202" i="31" s="1"/>
  <c r="AV29" i="14" l="1"/>
  <c r="AV77" i="14" l="1"/>
  <c r="AV79" i="14" s="1"/>
  <c r="AV59" i="14"/>
  <c r="AV62" i="14" s="1"/>
  <c r="AV64" i="14" s="1"/>
  <c r="AV5" i="17" s="1"/>
  <c r="AV82" i="14"/>
  <c r="AV78" i="14" l="1"/>
  <c r="AW61" i="14"/>
  <c r="AV65" i="14"/>
  <c r="Z201" i="32" l="1"/>
  <c r="Z202" i="32"/>
  <c r="Z37" i="15" l="1"/>
  <c r="AW4" i="14"/>
  <c r="AW29" i="14" l="1"/>
  <c r="AX4" i="14"/>
  <c r="AX29" i="14" s="1"/>
  <c r="CR24" i="48"/>
  <c r="CT44" i="48" s="1"/>
  <c r="CS24" i="48"/>
  <c r="AW77" i="14" l="1"/>
  <c r="AW59" i="14"/>
  <c r="AW62" i="14" s="1"/>
  <c r="AX77" i="14"/>
  <c r="AX59" i="14"/>
  <c r="CT24" i="48"/>
  <c r="CV44" i="48"/>
  <c r="AD201" i="32"/>
  <c r="AC202" i="32"/>
  <c r="AC37" i="15" s="1"/>
  <c r="AW78" i="14" l="1"/>
  <c r="AW79" i="14"/>
  <c r="AW82" i="14"/>
  <c r="AX79" i="14"/>
  <c r="AX78" i="14"/>
  <c r="AX82" i="14"/>
  <c r="AW64" i="14"/>
  <c r="AX61" i="14"/>
  <c r="AX62" i="14" s="1"/>
  <c r="AX64" i="14" s="1"/>
  <c r="AX5" i="17" s="1"/>
  <c r="AD202" i="32"/>
  <c r="AD37" i="15" s="1"/>
  <c r="AE202" i="32"/>
  <c r="AE37" i="15" s="1"/>
  <c r="CX44" i="48"/>
  <c r="AC40" i="15"/>
  <c r="AX83" i="17" l="1"/>
  <c r="AX15" i="17"/>
  <c r="AX27" i="17" s="1"/>
  <c r="AE40" i="15"/>
  <c r="AD40" i="15"/>
  <c r="AC43" i="15"/>
  <c r="AE43" i="15" l="1"/>
  <c r="AE46" i="15" s="1"/>
  <c r="AF41" i="15"/>
  <c r="AD43" i="15"/>
  <c r="AD41" i="15"/>
  <c r="AE41" i="15"/>
  <c r="AX66" i="17"/>
  <c r="AX65" i="17"/>
  <c r="AC46" i="15"/>
  <c r="AC50" i="15" s="1"/>
  <c r="AD46" i="15" l="1"/>
  <c r="AD50" i="15" s="1"/>
  <c r="AE56" i="15"/>
  <c r="AF57" i="15" s="1"/>
  <c r="AE50" i="15"/>
  <c r="AC56" i="15"/>
  <c r="AC4" i="16" s="1"/>
  <c r="AF51" i="15" l="1"/>
  <c r="AE51" i="15"/>
  <c r="AD56" i="15"/>
  <c r="AD4" i="16" s="1"/>
  <c r="AE63" i="15"/>
  <c r="AE60" i="15"/>
  <c r="AE4" i="16"/>
  <c r="AC60" i="15"/>
  <c r="AC63" i="15"/>
  <c r="AD51" i="15"/>
  <c r="AD63" i="15"/>
  <c r="AF64" i="15" l="1"/>
  <c r="AD60" i="15"/>
  <c r="AD57" i="15"/>
  <c r="AE57" i="15"/>
  <c r="AE64" i="15"/>
  <c r="AD64" i="15"/>
  <c r="AV66" i="31" l="1"/>
  <c r="AV65" i="31" s="1"/>
  <c r="AV67" i="31"/>
  <c r="AV68" i="31" l="1"/>
  <c r="AV70" i="31"/>
  <c r="AV71" i="31"/>
  <c r="AV72" i="31" l="1"/>
  <c r="AV15" i="17" l="1"/>
  <c r="AV27" i="17" s="1"/>
  <c r="AV83" i="17"/>
  <c r="AV84" i="17" l="1"/>
  <c r="AV66" i="17"/>
  <c r="AV65" i="17"/>
  <c r="AW5" i="17"/>
  <c r="AW88" i="14"/>
  <c r="AW65" i="14" l="1"/>
  <c r="AW15" i="17"/>
  <c r="AW27" i="17" s="1"/>
  <c r="AW110" i="17"/>
  <c r="AW89" i="17"/>
  <c r="AW65" i="17" l="1"/>
  <c r="AW66" i="17"/>
  <c r="Z42" i="18" l="1"/>
  <c r="Z25" i="16" l="1"/>
  <c r="BB88" i="14" l="1"/>
  <c r="BC88" i="14" l="1"/>
  <c r="BD42" i="17" l="1"/>
  <c r="AW82" i="17"/>
  <c r="AW66" i="31"/>
  <c r="AW67" i="31"/>
  <c r="AA42" i="18" l="1"/>
  <c r="BE42" i="17"/>
  <c r="AW83" i="17"/>
  <c r="AW68" i="31"/>
  <c r="AW111" i="17"/>
  <c r="AW116" i="17" s="1"/>
  <c r="AW118" i="17" s="1"/>
  <c r="AW119" i="17" s="1"/>
  <c r="AW65" i="31"/>
  <c r="AW70" i="31" s="1"/>
  <c r="AW71" i="31" l="1"/>
  <c r="AW72" i="31" s="1"/>
  <c r="BF42" i="17"/>
  <c r="BE25" i="14"/>
  <c r="AW84" i="17"/>
  <c r="Z67" i="32"/>
  <c r="AW112" i="17"/>
  <c r="AW124" i="17" s="1"/>
  <c r="AW120" i="17" s="1"/>
  <c r="AW114" i="17"/>
  <c r="AX70" i="31"/>
  <c r="AX71" i="31"/>
  <c r="Z34" i="18"/>
  <c r="BG42" i="17" l="1"/>
  <c r="BF25" i="14"/>
  <c r="AZ71" i="31"/>
  <c r="AZ70" i="31"/>
  <c r="AW121" i="17"/>
  <c r="AW122" i="17"/>
  <c r="AY70" i="31"/>
  <c r="Z70" i="32" s="1"/>
  <c r="Z65" i="32"/>
  <c r="AY71" i="31"/>
  <c r="AX72" i="31"/>
  <c r="Z45" i="16"/>
  <c r="BH42" i="17" l="1"/>
  <c r="BG25" i="14"/>
  <c r="AZ72" i="31"/>
  <c r="Z44" i="18"/>
  <c r="Z44" i="16"/>
  <c r="Z71" i="32"/>
  <c r="Z72" i="32" s="1"/>
  <c r="AY72" i="31"/>
  <c r="Z66" i="32"/>
  <c r="Z68" i="32" s="1"/>
  <c r="BI42" i="17" l="1"/>
  <c r="BH25" i="14"/>
  <c r="BI25" i="14" s="1"/>
  <c r="AB25" i="16" s="1"/>
  <c r="AJ78" i="18" s="1"/>
  <c r="Z82" i="18"/>
  <c r="Z27" i="20" s="1"/>
  <c r="Z55" i="16"/>
  <c r="Z46" i="18"/>
  <c r="BI78" i="17" l="1"/>
  <c r="AB78" i="18" s="1"/>
  <c r="AB42" i="18"/>
  <c r="AC42" i="18" s="1"/>
  <c r="AZ9" i="5"/>
  <c r="BC9" i="5" s="1"/>
  <c r="AZ10" i="5"/>
  <c r="BC10" i="5" s="1"/>
  <c r="AZ11" i="5"/>
  <c r="BC11" i="5" s="1"/>
  <c r="AZ12" i="5"/>
  <c r="BC12" i="5" s="1"/>
  <c r="AD42" i="18" l="1"/>
  <c r="AC78" i="18"/>
  <c r="AC25" i="16"/>
  <c r="AK78" i="18" s="1"/>
  <c r="BB13" i="5"/>
  <c r="BB30" i="5"/>
  <c r="BA13" i="5"/>
  <c r="AZ13" i="5"/>
  <c r="BC13" i="5" s="1"/>
  <c r="BA30" i="5"/>
  <c r="AZ30" i="5"/>
  <c r="AD78" i="18" l="1"/>
  <c r="AE42" i="18"/>
  <c r="AD25" i="16"/>
  <c r="AL78" i="18" s="1"/>
  <c r="BB31" i="5"/>
  <c r="BB32" i="5" s="1"/>
  <c r="BB27" i="1"/>
  <c r="BB3" i="13"/>
  <c r="BA31" i="5"/>
  <c r="BA32" i="5" s="1"/>
  <c r="BC30" i="5"/>
  <c r="BA27" i="1"/>
  <c r="BA3" i="13"/>
  <c r="AF42" i="18" l="1"/>
  <c r="AE25" i="16"/>
  <c r="AM78" i="18" s="1"/>
  <c r="AE78" i="18"/>
  <c r="BB13" i="13"/>
  <c r="BA13" i="13"/>
  <c r="AZ27" i="1"/>
  <c r="AZ31" i="5"/>
  <c r="AZ32" i="5" s="1"/>
  <c r="AF78" i="18" l="1"/>
  <c r="AF25" i="16"/>
  <c r="BB45" i="1"/>
  <c r="BB46" i="1" s="1"/>
  <c r="BA45" i="1"/>
  <c r="BC19" i="1"/>
  <c r="BC27" i="1" l="1"/>
  <c r="BH20" i="1"/>
  <c r="AZ45" i="1"/>
  <c r="BA46" i="1"/>
  <c r="BD27" i="1"/>
  <c r="BC13" i="1"/>
  <c r="BH14" i="1" s="1"/>
  <c r="BC13" i="13"/>
  <c r="BC45" i="1" l="1"/>
  <c r="AZ46" i="1"/>
  <c r="BI14" i="1"/>
  <c r="AB14" i="7" s="1"/>
  <c r="BD45" i="1" l="1"/>
  <c r="BD86" i="13" l="1"/>
  <c r="BC85" i="13" l="1"/>
  <c r="BC86" i="13" l="1"/>
  <c r="BH86" i="13"/>
  <c r="BD82" i="13" l="1"/>
  <c r="BE82" i="13" s="1"/>
  <c r="BC83" i="13"/>
  <c r="BF82" i="13" l="1"/>
  <c r="BE83" i="13"/>
  <c r="AA76" i="15"/>
  <c r="BE76" i="13"/>
  <c r="BD83" i="13"/>
  <c r="AA83" i="15" s="1"/>
  <c r="AA82" i="15"/>
  <c r="BD77" i="13"/>
  <c r="AA77" i="15" s="1"/>
  <c r="BC77" i="13"/>
  <c r="BE77" i="13" l="1"/>
  <c r="BF76" i="13"/>
  <c r="AA79" i="15"/>
  <c r="AA14" i="20" s="1"/>
  <c r="BG82" i="13"/>
  <c r="BF83" i="13"/>
  <c r="AA85" i="15"/>
  <c r="BC80" i="13"/>
  <c r="AG79" i="15" l="1"/>
  <c r="BG76" i="13"/>
  <c r="BF77" i="13"/>
  <c r="BG83" i="13"/>
  <c r="BH82" i="13"/>
  <c r="BE80" i="13"/>
  <c r="BF79" i="13"/>
  <c r="AA86" i="15"/>
  <c r="AC76" i="46"/>
  <c r="AC75" i="46"/>
  <c r="AC77" i="46"/>
  <c r="AC73" i="46"/>
  <c r="AC74" i="46"/>
  <c r="BD80" i="13"/>
  <c r="AA80" i="15" s="1"/>
  <c r="BF80" i="13" l="1"/>
  <c r="BG79" i="13"/>
  <c r="BI82" i="13"/>
  <c r="BH83" i="13"/>
  <c r="BG77" i="13"/>
  <c r="BH76" i="13"/>
  <c r="BH77" i="13" s="1"/>
  <c r="BA6" i="17"/>
  <c r="BA14" i="17" s="1"/>
  <c r="BI76" i="13" l="1"/>
  <c r="AB76" i="15" s="1"/>
  <c r="BI83" i="13"/>
  <c r="AB83" i="15" s="1"/>
  <c r="AB82" i="15"/>
  <c r="BG80" i="13"/>
  <c r="BH79" i="13"/>
  <c r="BI77" i="13"/>
  <c r="AB77" i="15" s="1"/>
  <c r="BB6" i="17"/>
  <c r="BB14" i="17" s="1"/>
  <c r="AB85" i="15" l="1"/>
  <c r="AC82" i="15"/>
  <c r="BH80" i="13"/>
  <c r="BI79" i="13"/>
  <c r="AB79" i="15" s="1"/>
  <c r="Z20" i="47"/>
  <c r="Z41" i="47"/>
  <c r="Z43" i="47" s="1"/>
  <c r="AB75" i="46" l="1"/>
  <c r="AB76" i="46"/>
  <c r="AB74" i="46"/>
  <c r="AB14" i="20"/>
  <c r="AB73" i="46"/>
  <c r="AB77" i="46"/>
  <c r="AD82" i="15"/>
  <c r="AC83" i="15"/>
  <c r="AC76" i="15"/>
  <c r="AC79" i="15"/>
  <c r="AC86" i="15"/>
  <c r="AB86" i="15"/>
  <c r="BI80" i="13"/>
  <c r="AB80" i="15" s="1"/>
  <c r="Z62" i="47"/>
  <c r="Z65" i="47" s="1"/>
  <c r="Z67" i="47" s="1"/>
  <c r="Z50" i="47"/>
  <c r="AD76" i="15" l="1"/>
  <c r="AD52" i="16"/>
  <c r="AE82" i="15"/>
  <c r="AD79" i="15"/>
  <c r="AD83" i="15"/>
  <c r="AC71" i="15"/>
  <c r="AC80" i="15"/>
  <c r="AC70" i="15"/>
  <c r="AC69" i="15"/>
  <c r="AC74" i="15"/>
  <c r="AC77" i="15"/>
  <c r="AC73" i="15"/>
  <c r="AC185" i="15" l="1"/>
  <c r="AD80" i="15"/>
  <c r="AD71" i="15"/>
  <c r="AD70" i="15"/>
  <c r="AD69" i="15"/>
  <c r="AF82" i="15"/>
  <c r="AE79" i="15"/>
  <c r="AE76" i="15"/>
  <c r="AE83" i="15"/>
  <c r="AE52" i="16"/>
  <c r="AD81" i="16"/>
  <c r="AD73" i="15"/>
  <c r="AD77" i="15"/>
  <c r="AD74" i="15"/>
  <c r="AX19" i="2"/>
  <c r="AX14" i="13" s="1"/>
  <c r="Z19" i="10"/>
  <c r="AV27" i="2"/>
  <c r="AW27" i="2"/>
  <c r="AU27" i="2"/>
  <c r="AE71" i="15" l="1"/>
  <c r="AE69" i="15"/>
  <c r="AE80" i="15"/>
  <c r="AE70" i="15"/>
  <c r="AF83" i="15"/>
  <c r="AF52" i="16"/>
  <c r="AF79" i="15"/>
  <c r="AF76" i="15"/>
  <c r="AE81" i="16"/>
  <c r="AE77" i="15"/>
  <c r="AE74" i="15"/>
  <c r="AE73" i="15"/>
  <c r="AD185" i="15"/>
  <c r="Z13" i="10"/>
  <c r="Z20" i="10"/>
  <c r="Z53" i="20"/>
  <c r="Z14" i="15"/>
  <c r="AX13" i="2"/>
  <c r="AX27" i="2"/>
  <c r="AY27" i="2" s="1"/>
  <c r="AX20" i="2"/>
  <c r="AE185" i="15" l="1"/>
  <c r="AF80" i="15"/>
  <c r="AF70" i="15"/>
  <c r="AF71" i="15"/>
  <c r="AF69" i="15"/>
  <c r="AF77" i="15"/>
  <c r="AF73" i="15"/>
  <c r="AF74" i="15"/>
  <c r="AF81" i="16"/>
  <c r="CR22" i="48"/>
  <c r="CS42" i="48" s="1"/>
  <c r="AX14" i="2"/>
  <c r="AX43" i="2"/>
  <c r="Z14" i="10" l="1"/>
  <c r="AY43" i="2"/>
  <c r="AA20" i="47" l="1"/>
  <c r="AA41" i="47"/>
  <c r="AA43" i="47" s="1"/>
  <c r="AA50" i="47" l="1"/>
  <c r="AA62" i="47"/>
  <c r="AA65" i="47" s="1"/>
  <c r="AA67" i="47" s="1"/>
  <c r="AB50" i="47"/>
  <c r="BI20" i="2" l="1"/>
  <c r="AA19" i="10"/>
  <c r="BD14" i="13"/>
  <c r="AA13" i="10" l="1"/>
  <c r="AB20" i="10"/>
  <c r="AA53" i="20"/>
  <c r="AA20" i="10"/>
  <c r="BD20" i="13"/>
  <c r="BD34" i="13" s="1"/>
  <c r="AA14" i="15"/>
  <c r="AA20" i="15" s="1"/>
  <c r="AA34" i="15" s="1"/>
  <c r="AA40" i="15" s="1"/>
  <c r="BD40" i="13" l="1"/>
  <c r="BD118" i="13"/>
  <c r="BD46" i="13" l="1"/>
  <c r="AA43" i="15"/>
  <c r="AA46" i="15" s="1"/>
  <c r="BD121" i="13"/>
  <c r="AA118" i="15"/>
  <c r="AA123" i="15" s="1"/>
  <c r="AA8" i="20"/>
  <c r="BD50" i="13" l="1"/>
  <c r="AA56" i="15"/>
  <c r="AA50" i="15"/>
  <c r="BD123" i="13"/>
  <c r="AA121" i="15"/>
  <c r="AA10" i="20"/>
  <c r="BD4" i="14" l="1"/>
  <c r="BD73" i="13"/>
  <c r="BD70" i="13"/>
  <c r="AA70" i="15" s="1"/>
  <c r="AA73" i="15"/>
  <c r="AA74" i="15"/>
  <c r="AA60" i="15"/>
  <c r="AA71" i="15"/>
  <c r="CS25" i="48"/>
  <c r="CV45" i="48" s="1"/>
  <c r="AA4" i="16" l="1"/>
  <c r="BD74" i="13"/>
  <c r="BD71" i="13"/>
  <c r="BD60" i="13"/>
  <c r="AA12" i="20" l="1"/>
  <c r="AA13" i="20" l="1"/>
  <c r="AA185" i="15"/>
  <c r="AB48" i="47" l="1"/>
  <c r="AA59" i="47"/>
  <c r="AA68" i="47"/>
  <c r="BI4" i="2" l="1"/>
  <c r="AB4" i="10" s="1"/>
  <c r="BD4" i="13"/>
  <c r="AA4" i="15" s="1"/>
  <c r="BI23" i="2"/>
  <c r="AB23" i="10" s="1"/>
  <c r="AA3" i="10"/>
  <c r="BA4" i="13" l="1"/>
  <c r="AA22" i="10"/>
  <c r="AB52" i="20"/>
  <c r="AA51" i="20"/>
  <c r="BA10" i="13" l="1"/>
  <c r="BA14" i="13"/>
  <c r="AA54" i="20"/>
  <c r="BA43" i="2"/>
  <c r="BA44" i="2" s="1"/>
  <c r="BA78" i="17" l="1"/>
  <c r="BA74" i="17"/>
  <c r="BA77" i="17"/>
  <c r="BA68" i="17"/>
  <c r="BA76" i="17"/>
  <c r="BA69" i="17"/>
  <c r="BA79" i="17"/>
  <c r="BA75" i="17"/>
  <c r="BA74" i="14"/>
  <c r="BA11" i="13"/>
  <c r="BA105" i="13"/>
  <c r="BA20" i="13"/>
  <c r="BA34" i="13" l="1"/>
  <c r="BA40" i="13" s="1"/>
  <c r="BA106" i="13"/>
  <c r="AZ174" i="13"/>
  <c r="BA97" i="13" l="1"/>
  <c r="BA174" i="13"/>
  <c r="BA35" i="13"/>
  <c r="BA44" i="13"/>
  <c r="BA41" i="13"/>
  <c r="BA46" i="13"/>
  <c r="BA98" i="13" l="1"/>
  <c r="BA118" i="13"/>
  <c r="BA121" i="13" s="1"/>
  <c r="BA123" i="13" s="1"/>
  <c r="BA50" i="13"/>
  <c r="BA74" i="13" l="1"/>
  <c r="BA71" i="13"/>
  <c r="BA60" i="13"/>
  <c r="BA57" i="13"/>
  <c r="BA4" i="14"/>
  <c r="BA51" i="13"/>
  <c r="BA70" i="13"/>
  <c r="BA73" i="13"/>
  <c r="BA63" i="13"/>
  <c r="BA29" i="14" l="1"/>
  <c r="BA77" i="14"/>
  <c r="BA59" i="14"/>
  <c r="BA62" i="14" s="1"/>
  <c r="BA69" i="13"/>
  <c r="BA64" i="13"/>
  <c r="BA64" i="14" l="1"/>
  <c r="BB61" i="14"/>
  <c r="BA79" i="14"/>
  <c r="BA78" i="14"/>
  <c r="BA82" i="14"/>
  <c r="AI75" i="18"/>
  <c r="AU3" i="13" l="1"/>
  <c r="CC77" i="48"/>
  <c r="CC76" i="48" s="1"/>
  <c r="CC78" i="48" s="1"/>
  <c r="CC86" i="48" s="1"/>
  <c r="CC122" i="48" s="1"/>
  <c r="AU10" i="13" l="1"/>
  <c r="AU5" i="5"/>
  <c r="CB77" i="48" s="1"/>
  <c r="CB76" i="48" s="1"/>
  <c r="CB78" i="48" s="1"/>
  <c r="CB86" i="48" s="1"/>
  <c r="CB122" i="48" s="1"/>
  <c r="Z6" i="8"/>
  <c r="Z5" i="46" s="1"/>
  <c r="AY13" i="5"/>
  <c r="Z52" i="46" l="1"/>
  <c r="Z60" i="46" s="1"/>
  <c r="P77" i="48"/>
  <c r="P76" i="48" s="1"/>
  <c r="P78" i="48" s="1"/>
  <c r="Z30" i="46"/>
  <c r="Z44" i="46" s="1"/>
  <c r="Z45" i="7" s="1"/>
  <c r="AZ11" i="13"/>
  <c r="Z13" i="46"/>
  <c r="AU74" i="14"/>
  <c r="AU79" i="17"/>
  <c r="AU74" i="17"/>
  <c r="AU68" i="17"/>
  <c r="AU174" i="13"/>
  <c r="AU78" i="17"/>
  <c r="AU76" i="17"/>
  <c r="AU11" i="13"/>
  <c r="AU75" i="17"/>
  <c r="AU35" i="13"/>
  <c r="AU69" i="17"/>
  <c r="AU77" i="17"/>
  <c r="AU105" i="13"/>
  <c r="AU98" i="13"/>
  <c r="AU30" i="5"/>
  <c r="AU13" i="5"/>
  <c r="Z14" i="8"/>
  <c r="AW5" i="5"/>
  <c r="Z67" i="46" l="1"/>
  <c r="Z83" i="46" s="1"/>
  <c r="AY49" i="1"/>
  <c r="AX49" i="1" s="1"/>
  <c r="AW49" i="1" s="1"/>
  <c r="AY30" i="5"/>
  <c r="AU106" i="13"/>
  <c r="AW30" i="5"/>
  <c r="AW13" i="5"/>
  <c r="AX13" i="5" s="1"/>
  <c r="CD77" i="48"/>
  <c r="CD76" i="48" s="1"/>
  <c r="CD78" i="48" s="1"/>
  <c r="CD86" i="48" s="1"/>
  <c r="CD122" i="48" s="1"/>
  <c r="AU31" i="5"/>
  <c r="AU32" i="5" s="1"/>
  <c r="AX5" i="5"/>
  <c r="AX19" i="1"/>
  <c r="AX13" i="13" s="1"/>
  <c r="AA20" i="7"/>
  <c r="AU27" i="1"/>
  <c r="Z19" i="7"/>
  <c r="AV27" i="1"/>
  <c r="Z20" i="7"/>
  <c r="AW27" i="1"/>
  <c r="Z74" i="46" l="1"/>
  <c r="AX20" i="13"/>
  <c r="Z13" i="15"/>
  <c r="AX13" i="1"/>
  <c r="BC20" i="1"/>
  <c r="AX27" i="1"/>
  <c r="AY27" i="1" s="1"/>
  <c r="AX20" i="1"/>
  <c r="AW48" i="1"/>
  <c r="AW51" i="1" s="1"/>
  <c r="AV49" i="1"/>
  <c r="Z13" i="7"/>
  <c r="Z46" i="20"/>
  <c r="AX30" i="5"/>
  <c r="CE77" i="48"/>
  <c r="CE76" i="48" s="1"/>
  <c r="CE78" i="48" s="1"/>
  <c r="CE86" i="48" s="1"/>
  <c r="AW31" i="5"/>
  <c r="AW32" i="5" s="1"/>
  <c r="AX34" i="13" l="1"/>
  <c r="BC14" i="1"/>
  <c r="AX14" i="1"/>
  <c r="CE122" i="48"/>
  <c r="AV48" i="1"/>
  <c r="AV51" i="1" s="1"/>
  <c r="AU49" i="1"/>
  <c r="AU48" i="1" s="1"/>
  <c r="Z20" i="15"/>
  <c r="AX118" i="13" l="1"/>
  <c r="AX121" i="13" s="1"/>
  <c r="AX123" i="13" s="1"/>
  <c r="AX40" i="13"/>
  <c r="Z34" i="15"/>
  <c r="P124" i="48"/>
  <c r="CE125" i="48"/>
  <c r="AU51" i="1"/>
  <c r="Z41" i="15"/>
  <c r="BD41" i="13"/>
  <c r="AA41" i="15" s="1"/>
  <c r="Z118" i="15"/>
  <c r="Z123" i="15" s="1"/>
  <c r="AA14" i="7"/>
  <c r="Z14" i="7"/>
  <c r="AX44" i="13" l="1"/>
  <c r="AX41" i="13"/>
  <c r="AX46" i="13"/>
  <c r="Z121" i="15"/>
  <c r="Z43" i="15"/>
  <c r="P125" i="48"/>
  <c r="Z8" i="20"/>
  <c r="Z40" i="15"/>
  <c r="AX56" i="13" l="1"/>
  <c r="AX50" i="13"/>
  <c r="Z46" i="15"/>
  <c r="CR25" i="48"/>
  <c r="CT45" i="48" s="1"/>
  <c r="Z10" i="20"/>
  <c r="Z12" i="18"/>
  <c r="P44" i="52" s="1"/>
  <c r="P45" i="52" s="1"/>
  <c r="Z51" i="15"/>
  <c r="BD51" i="13"/>
  <c r="AA51" i="15" s="1"/>
  <c r="Z4" i="16"/>
  <c r="BD57" i="13"/>
  <c r="AA57" i="15" s="1"/>
  <c r="Z57" i="15"/>
  <c r="AX70" i="13" l="1"/>
  <c r="AX63" i="13"/>
  <c r="AX51" i="13"/>
  <c r="AX73" i="13"/>
  <c r="AX74" i="13"/>
  <c r="AX71" i="13"/>
  <c r="AX60" i="13"/>
  <c r="AX57" i="13"/>
  <c r="Z18" i="16"/>
  <c r="Z64" i="15"/>
  <c r="Z56" i="15"/>
  <c r="Z50" i="15"/>
  <c r="AX69" i="13" l="1"/>
  <c r="AX64" i="13"/>
  <c r="Z63" i="15"/>
  <c r="Z70" i="15"/>
  <c r="Z73" i="15"/>
  <c r="Z71" i="15"/>
  <c r="Z12" i="20"/>
  <c r="Z74" i="15"/>
  <c r="Z60" i="15"/>
  <c r="Z69" i="15" l="1"/>
  <c r="Z13" i="20"/>
  <c r="Z185" i="15"/>
  <c r="Z55" i="18" l="1"/>
  <c r="AH56" i="18" s="1"/>
  <c r="Z58" i="18" l="1"/>
  <c r="Z62" i="18" l="1"/>
  <c r="Z3" i="10" l="1"/>
  <c r="Z51" i="20" s="1"/>
  <c r="Z4" i="10"/>
  <c r="Z52" i="20" s="1"/>
  <c r="Z8" i="10"/>
  <c r="Z10" i="10"/>
  <c r="Z11" i="10"/>
  <c r="Z15" i="10"/>
  <c r="Z23" i="10"/>
  <c r="AX3" i="2"/>
  <c r="AA4" i="10"/>
  <c r="AA52" i="20" s="1"/>
  <c r="AA23" i="10"/>
  <c r="AU26" i="2"/>
  <c r="AV26" i="2"/>
  <c r="AW26" i="2"/>
  <c r="AY44" i="2"/>
  <c r="Z4" i="15"/>
  <c r="AX44" i="2" l="1"/>
  <c r="AX15" i="2"/>
  <c r="AX22" i="2"/>
  <c r="AX23" i="2" s="1"/>
  <c r="Z22" i="10"/>
  <c r="Z54" i="20" s="1"/>
  <c r="AX4" i="2"/>
  <c r="AX4" i="13"/>
  <c r="AX26" i="2"/>
  <c r="AY26" i="2" s="1"/>
  <c r="Z47" i="47"/>
  <c r="AX10" i="2"/>
  <c r="AX11" i="2" l="1"/>
  <c r="Z59" i="47"/>
  <c r="Z68" i="47"/>
  <c r="Z48" i="47"/>
  <c r="AA48" i="47"/>
  <c r="Z3" i="7"/>
  <c r="Z22" i="7" s="1"/>
  <c r="Z47" i="20" s="1"/>
  <c r="Z4" i="7"/>
  <c r="Z45" i="20" s="1"/>
  <c r="Z8" i="7"/>
  <c r="Z10" i="7"/>
  <c r="P48" i="52" s="1"/>
  <c r="P49" i="52" s="1"/>
  <c r="Z11" i="7"/>
  <c r="Z15" i="7"/>
  <c r="Z23" i="7"/>
  <c r="AX3" i="1"/>
  <c r="AX31" i="5" s="1"/>
  <c r="AX32" i="5" s="1"/>
  <c r="AU26" i="1"/>
  <c r="AV26" i="1"/>
  <c r="AW26" i="1"/>
  <c r="Z3" i="15"/>
  <c r="P32" i="52" l="1"/>
  <c r="AX15" i="1"/>
  <c r="AX26" i="1"/>
  <c r="AY26" i="1" s="1"/>
  <c r="AX48" i="1"/>
  <c r="AY48" i="1" s="1"/>
  <c r="AX10" i="1"/>
  <c r="AX11" i="1" s="1"/>
  <c r="Z44" i="20"/>
  <c r="P52" i="52"/>
  <c r="P53" i="52" s="1"/>
  <c r="P54" i="52" s="1"/>
  <c r="AX4" i="1"/>
  <c r="AX3" i="13"/>
  <c r="AX22" i="1"/>
  <c r="Z10" i="15"/>
  <c r="P33" i="52"/>
  <c r="Z44" i="7"/>
  <c r="Z32" i="46"/>
  <c r="P19" i="52"/>
  <c r="P28" i="52" s="1"/>
  <c r="P35" i="52"/>
  <c r="AX23" i="1" l="1"/>
  <c r="AX10" i="13"/>
  <c r="O40" i="52"/>
  <c r="N38" i="52"/>
  <c r="O41" i="52"/>
  <c r="N39" i="52"/>
  <c r="Z78" i="18"/>
  <c r="Z74" i="18"/>
  <c r="Z76" i="18"/>
  <c r="Z79" i="18"/>
  <c r="Z11" i="15"/>
  <c r="Z5" i="20" s="1"/>
  <c r="Z35" i="15"/>
  <c r="AY174" i="13"/>
  <c r="Z172" i="15"/>
  <c r="Z184" i="15"/>
  <c r="P161" i="48"/>
  <c r="Z4" i="20"/>
  <c r="AY32" i="5"/>
  <c r="Z31" i="46"/>
  <c r="N37" i="52" l="1"/>
  <c r="AX78" i="17"/>
  <c r="AX79" i="17"/>
  <c r="AX77" i="17"/>
  <c r="AX76" i="17"/>
  <c r="AX69" i="17"/>
  <c r="AX74" i="17"/>
  <c r="AX68" i="17"/>
  <c r="AX75" i="17"/>
  <c r="AX105" i="13"/>
  <c r="AX11" i="13"/>
  <c r="AX74" i="14"/>
  <c r="AX35" i="13"/>
  <c r="AX174" i="13"/>
  <c r="Z9" i="20"/>
  <c r="AY31" i="5"/>
  <c r="Z9" i="18"/>
  <c r="Z14" i="18"/>
  <c r="Z33" i="16"/>
  <c r="Z75" i="16"/>
  <c r="Z8" i="18"/>
  <c r="AX106" i="13" l="1"/>
  <c r="Z41" i="16"/>
  <c r="O62" i="52"/>
  <c r="Z19" i="20"/>
  <c r="CR35" i="48"/>
  <c r="CT50" i="48" s="1"/>
  <c r="Z19" i="16"/>
  <c r="Z16" i="16"/>
  <c r="Z71" i="18" l="1"/>
  <c r="Z100" i="15"/>
  <c r="Z103" i="15" l="1"/>
  <c r="Z15" i="16"/>
  <c r="Z77" i="18"/>
  <c r="Z33" i="18"/>
  <c r="P61" i="52" s="1"/>
  <c r="Z31" i="18"/>
  <c r="Z102" i="15"/>
  <c r="Z105" i="15"/>
  <c r="P62" i="52" l="1"/>
  <c r="Z106" i="15"/>
  <c r="Z20" i="16"/>
  <c r="Z37" i="18"/>
  <c r="Z48" i="18" l="1"/>
  <c r="Z64" i="18" l="1"/>
  <c r="Z17" i="16"/>
  <c r="Z28" i="16"/>
  <c r="CR29" i="48" l="1"/>
  <c r="CS48" i="48" s="1"/>
  <c r="AY35" i="1" l="1"/>
  <c r="AY36" i="1" s="1"/>
  <c r="AY44" i="1" s="1"/>
  <c r="AY45" i="1" s="1"/>
  <c r="AY46" i="1" s="1"/>
  <c r="AX36" i="1"/>
  <c r="AX44" i="1" s="1"/>
  <c r="AX45" i="1" s="1"/>
  <c r="AX51" i="1" l="1"/>
  <c r="AY51" i="1" s="1"/>
  <c r="AX46" i="1"/>
  <c r="Z61" i="46"/>
  <c r="Z62" i="46" s="1"/>
  <c r="Z63" i="46" s="1"/>
  <c r="Z31" i="7"/>
  <c r="Z32" i="7" s="1"/>
  <c r="Z40" i="7" s="1"/>
  <c r="Z41" i="7" s="1"/>
  <c r="Z42" i="7" l="1"/>
  <c r="Z47" i="7"/>
  <c r="AX65" i="14"/>
  <c r="AY89" i="17"/>
  <c r="Z89" i="18" s="1"/>
  <c r="Z5" i="16"/>
  <c r="Z29" i="16"/>
  <c r="Z59" i="16"/>
  <c r="Z62" i="16"/>
  <c r="Z64" i="16"/>
  <c r="Z77" i="16"/>
  <c r="Z78" i="16"/>
  <c r="Z21" i="20" s="1"/>
  <c r="Z79" i="16"/>
  <c r="Z82" i="16"/>
  <c r="Z23" i="20" s="1"/>
  <c r="BD61" i="14"/>
  <c r="AA61" i="16" s="1"/>
  <c r="AX96" i="13"/>
  <c r="AY96" i="13"/>
  <c r="AY97" i="13" s="1"/>
  <c r="AY98" i="13" s="1"/>
  <c r="P162" i="48" l="1"/>
  <c r="P163" i="48" s="1"/>
  <c r="Z96" i="15"/>
  <c r="Z97" i="15" s="1"/>
  <c r="CR28" i="48"/>
  <c r="CS47" i="48" s="1"/>
  <c r="AX97" i="13"/>
  <c r="AY84" i="17"/>
  <c r="Z20" i="20"/>
  <c r="Z18" i="20"/>
  <c r="AX110" i="17"/>
  <c r="Z19" i="18"/>
  <c r="BD68" i="14"/>
  <c r="AA68" i="16" s="1"/>
  <c r="AX89" i="17"/>
  <c r="AY110" i="17"/>
  <c r="Z110" i="18" s="1"/>
  <c r="Z83" i="18"/>
  <c r="Z15" i="18"/>
  <c r="AY65" i="14"/>
  <c r="Z5" i="18"/>
  <c r="AX98" i="13" l="1"/>
  <c r="CM163" i="48"/>
  <c r="CK163" i="48"/>
  <c r="CJ163" i="48"/>
  <c r="CL163" i="48"/>
  <c r="CI163" i="48"/>
  <c r="CG163" i="48"/>
  <c r="P109" i="48"/>
  <c r="P110" i="48" s="1"/>
  <c r="P114" i="48" s="1"/>
  <c r="P10" i="48"/>
  <c r="P11" i="48" s="1"/>
  <c r="P15" i="48" s="1"/>
  <c r="CB163" i="48"/>
  <c r="P81" i="48"/>
  <c r="P82" i="48" s="1"/>
  <c r="P86" i="48" s="1"/>
  <c r="CC163" i="48"/>
  <c r="CH163" i="48"/>
  <c r="P95" i="48"/>
  <c r="P96" i="48" s="1"/>
  <c r="P100" i="48" s="1"/>
  <c r="AX111" i="17"/>
  <c r="AX112" i="17" s="1"/>
  <c r="AX124" i="17" s="1"/>
  <c r="CE163" i="48"/>
  <c r="Z6" i="20"/>
  <c r="P46" i="48"/>
  <c r="P47" i="48" s="1"/>
  <c r="P72" i="48" s="1"/>
  <c r="CD163" i="48"/>
  <c r="CF163" i="48"/>
  <c r="Z98" i="15"/>
  <c r="Z7" i="20" s="1"/>
  <c r="Z186" i="15"/>
  <c r="AX84" i="17"/>
  <c r="Z85" i="18"/>
  <c r="AY111" i="17"/>
  <c r="AY112" i="17" s="1"/>
  <c r="Z84" i="18"/>
  <c r="Z86" i="18" s="1"/>
  <c r="Z28" i="20"/>
  <c r="Z65" i="16"/>
  <c r="Z26" i="20"/>
  <c r="Z25" i="18"/>
  <c r="CR19" i="48" l="1"/>
  <c r="CS39" i="48" s="1"/>
  <c r="AX116" i="17"/>
  <c r="AX118" i="17" s="1"/>
  <c r="AX119" i="17" s="1"/>
  <c r="AX120" i="17" s="1"/>
  <c r="AX114" i="17"/>
  <c r="P51" i="48"/>
  <c r="P122" i="48" s="1"/>
  <c r="P118" i="48" s="1"/>
  <c r="AY116" i="17"/>
  <c r="AY118" i="17" s="1"/>
  <c r="Z29" i="20"/>
  <c r="AY114" i="17"/>
  <c r="Z114" i="18" s="1"/>
  <c r="Z111" i="18"/>
  <c r="Z37" i="20" s="1"/>
  <c r="Z27" i="18"/>
  <c r="Z112" i="18"/>
  <c r="AY124" i="17"/>
  <c r="Z124" i="18" s="1"/>
  <c r="CR21" i="48" l="1"/>
  <c r="Z116" i="18"/>
  <c r="Z118" i="18"/>
  <c r="AY119" i="17"/>
  <c r="CR26" i="48"/>
  <c r="CS41" i="48"/>
  <c r="AX122" i="17"/>
  <c r="AX121" i="17"/>
  <c r="Z65" i="18"/>
  <c r="Z66" i="18"/>
  <c r="CS46" i="48" l="1"/>
  <c r="CR33" i="48"/>
  <c r="CR31" i="48"/>
  <c r="CR32" i="48" s="1"/>
  <c r="Z119" i="18"/>
  <c r="AY120" i="17"/>
  <c r="AY121" i="17" l="1"/>
  <c r="Z121" i="18" s="1"/>
  <c r="Z39" i="20" s="1"/>
  <c r="Z120" i="18"/>
  <c r="AY122" i="17"/>
  <c r="Z122" i="18" s="1"/>
  <c r="Z40" i="20" s="1"/>
  <c r="CF125" i="48" l="1"/>
  <c r="AX7" i="1" l="1"/>
  <c r="AX8" i="1"/>
  <c r="AX109" i="13"/>
  <c r="BC109" i="13"/>
  <c r="BD109" i="13" l="1"/>
  <c r="BH6" i="1"/>
  <c r="AA6" i="7" l="1"/>
  <c r="AA7" i="7"/>
  <c r="BH109" i="13"/>
  <c r="BI6" i="1"/>
  <c r="AB6" i="7" s="1"/>
  <c r="AC6" i="7" s="1"/>
  <c r="BH8" i="1"/>
  <c r="AA109" i="15"/>
  <c r="BI8" i="1" l="1"/>
  <c r="AB8" i="7" s="1"/>
  <c r="BI109" i="13"/>
  <c r="AB109" i="15" s="1"/>
  <c r="BI7" i="1"/>
  <c r="AB7" i="7" s="1"/>
  <c r="AC109" i="15"/>
  <c r="AD6" i="7"/>
  <c r="AC8" i="7"/>
  <c r="AD8" i="7" l="1"/>
  <c r="AD109" i="15"/>
  <c r="AE6" i="7"/>
  <c r="AF6" i="7" s="1"/>
  <c r="AF109" i="15" l="1"/>
  <c r="AF8" i="7"/>
  <c r="AE8" i="7"/>
  <c r="AE109" i="15"/>
  <c r="AX7" i="2"/>
  <c r="AX8" i="2"/>
  <c r="AX110" i="13"/>
  <c r="AX115" i="13" s="1"/>
  <c r="BH6" i="2" l="1"/>
  <c r="BC110" i="13"/>
  <c r="BC115" i="13" s="1"/>
  <c r="AA6" i="10"/>
  <c r="AA8" i="10"/>
  <c r="BD110" i="13"/>
  <c r="AA7" i="10"/>
  <c r="BH110" i="13" l="1"/>
  <c r="BH115" i="13" s="1"/>
  <c r="BI6" i="2"/>
  <c r="AB6" i="10" s="1"/>
  <c r="AC6" i="10" s="1"/>
  <c r="BD115" i="13"/>
  <c r="AA110" i="15"/>
  <c r="AA115" i="15" s="1"/>
  <c r="BI8" i="2" l="1"/>
  <c r="AB8" i="10" s="1"/>
  <c r="BI7" i="2"/>
  <c r="AB7" i="10" s="1"/>
  <c r="BI110" i="13"/>
  <c r="AB110" i="15" s="1"/>
  <c r="AD6" i="10"/>
  <c r="AC110" i="15"/>
  <c r="AC8" i="10"/>
  <c r="AE6" i="10" l="1"/>
  <c r="AF6" i="10" s="1"/>
  <c r="AD110" i="15"/>
  <c r="AD8" i="10"/>
  <c r="AF8" i="10" l="1"/>
  <c r="AF110" i="15"/>
  <c r="AE110" i="15"/>
  <c r="AE8" i="10"/>
  <c r="AZ65" i="14" l="1"/>
  <c r="AZ110" i="17" l="1"/>
  <c r="AZ111" i="17" s="1"/>
  <c r="AZ112" i="17" s="1"/>
  <c r="AZ124" i="17" s="1"/>
  <c r="AZ89" i="17"/>
  <c r="AZ116" i="17" l="1"/>
  <c r="AZ118" i="17" s="1"/>
  <c r="AZ119" i="17" s="1"/>
  <c r="AZ120" i="17" s="1"/>
  <c r="AZ114" i="17"/>
  <c r="AZ122" i="17" l="1"/>
  <c r="AZ121" i="17"/>
  <c r="BA5" i="17" l="1"/>
  <c r="BA65" i="14" l="1"/>
  <c r="BA89" i="17"/>
  <c r="BA110" i="17"/>
  <c r="BA111" i="17" s="1"/>
  <c r="BA112" i="17" s="1"/>
  <c r="BA124" i="17" s="1"/>
  <c r="BA83" i="17"/>
  <c r="BA15" i="17"/>
  <c r="BA27" i="17" s="1"/>
  <c r="BA66" i="31"/>
  <c r="BA65" i="31" s="1"/>
  <c r="BA67" i="31"/>
  <c r="BA66" i="17" l="1"/>
  <c r="BA65" i="17"/>
  <c r="BA84" i="17"/>
  <c r="BA68" i="31"/>
  <c r="BA114" i="17"/>
  <c r="BA116" i="17"/>
  <c r="BA118" i="17" s="1"/>
  <c r="BA119" i="17" s="1"/>
  <c r="BA120" i="17" s="1"/>
  <c r="BA70" i="31"/>
  <c r="BA71" i="31"/>
  <c r="BA121" i="17" l="1"/>
  <c r="BA122" i="17"/>
  <c r="BA72" i="31"/>
  <c r="BB4" i="13" l="1"/>
  <c r="BB14" i="13"/>
  <c r="BC43" i="2" l="1"/>
  <c r="BC44" i="2" s="1"/>
  <c r="BC4" i="13"/>
  <c r="BB10" i="13"/>
  <c r="BC14" i="13"/>
  <c r="BB20" i="13"/>
  <c r="BB43" i="2"/>
  <c r="BB44" i="2" s="1"/>
  <c r="BB34" i="13" l="1"/>
  <c r="BC20" i="13"/>
  <c r="BC34" i="13" s="1"/>
  <c r="BC118" i="13" s="1"/>
  <c r="BC121" i="13" s="1"/>
  <c r="BC123" i="13" s="1"/>
  <c r="BB11" i="13"/>
  <c r="BB74" i="14"/>
  <c r="BB75" i="17"/>
  <c r="BB105" i="13"/>
  <c r="BB78" i="17"/>
  <c r="BB77" i="17"/>
  <c r="BB74" i="17"/>
  <c r="BB76" i="17"/>
  <c r="BB69" i="17"/>
  <c r="BB68" i="17"/>
  <c r="BB35" i="13"/>
  <c r="BB40" i="13"/>
  <c r="BB118" i="13"/>
  <c r="BB121" i="13" s="1"/>
  <c r="BB123" i="13" s="1"/>
  <c r="BB174" i="13"/>
  <c r="AA14" i="10"/>
  <c r="BD43" i="2"/>
  <c r="BD44" i="2" s="1"/>
  <c r="AA15" i="10"/>
  <c r="BB97" i="13" l="1"/>
  <c r="BC40" i="13"/>
  <c r="BB41" i="13"/>
  <c r="BB44" i="13"/>
  <c r="BB106" i="13"/>
  <c r="BB46" i="13"/>
  <c r="BB50" i="13" s="1"/>
  <c r="AA10" i="10"/>
  <c r="AA11" i="10"/>
  <c r="BB98" i="13" l="1"/>
  <c r="BC44" i="13"/>
  <c r="BC41" i="13"/>
  <c r="BB63" i="13"/>
  <c r="BB51" i="13"/>
  <c r="BB73" i="13"/>
  <c r="BB70" i="13"/>
  <c r="BC46" i="13"/>
  <c r="BB57" i="13" l="1"/>
  <c r="BB60" i="13"/>
  <c r="BB71" i="13"/>
  <c r="BB74" i="13"/>
  <c r="BB69" i="13"/>
  <c r="BB64" i="13"/>
  <c r="BC50" i="13"/>
  <c r="BB4" i="14"/>
  <c r="BC57" i="13"/>
  <c r="BC71" i="13"/>
  <c r="BC74" i="13"/>
  <c r="BC60" i="13"/>
  <c r="BB29" i="14" l="1"/>
  <c r="BC4" i="14"/>
  <c r="BC73" i="13"/>
  <c r="BB77" i="14"/>
  <c r="BB59" i="14"/>
  <c r="BB62" i="14" s="1"/>
  <c r="BB64" i="14" s="1"/>
  <c r="BC70" i="13"/>
  <c r="BC51" i="13"/>
  <c r="BB79" i="14" l="1"/>
  <c r="BB78" i="14"/>
  <c r="BB82" i="14"/>
  <c r="BC58" i="17" l="1"/>
  <c r="BC62" i="17" s="1"/>
  <c r="BD55" i="17"/>
  <c r="BD58" i="17" l="1"/>
  <c r="AA55" i="18"/>
  <c r="BD62" i="17" l="1"/>
  <c r="AA58" i="18"/>
  <c r="AA62" i="18" l="1"/>
  <c r="BB5" i="17" l="1"/>
  <c r="BC61" i="14"/>
  <c r="BB65" i="14" l="1"/>
  <c r="BB15" i="17"/>
  <c r="BB27" i="17" s="1"/>
  <c r="BB89" i="17"/>
  <c r="BB110" i="17"/>
  <c r="BB82" i="17"/>
  <c r="BB83" i="17" s="1"/>
  <c r="BB66" i="31"/>
  <c r="BB65" i="31" s="1"/>
  <c r="BB67" i="31"/>
  <c r="BB84" i="17" l="1"/>
  <c r="BB65" i="17"/>
  <c r="BB66" i="17"/>
  <c r="BB111" i="17"/>
  <c r="BB112" i="17" s="1"/>
  <c r="BB124" i="17" s="1"/>
  <c r="BC70" i="31"/>
  <c r="BB70" i="31"/>
  <c r="BB71" i="31"/>
  <c r="BD65" i="31"/>
  <c r="BE65" i="31" s="1"/>
  <c r="BC68" i="31"/>
  <c r="BC71" i="31"/>
  <c r="BD67" i="31"/>
  <c r="BB68" i="31"/>
  <c r="BB72" i="31" l="1"/>
  <c r="AA67" i="32"/>
  <c r="BF65" i="31"/>
  <c r="BE66" i="31"/>
  <c r="BE68" i="31" s="1"/>
  <c r="BE44" i="17" s="1"/>
  <c r="BE71" i="31"/>
  <c r="BE70" i="31"/>
  <c r="BE44" i="14" s="1"/>
  <c r="BB114" i="17"/>
  <c r="BB116" i="17"/>
  <c r="BB118" i="17" s="1"/>
  <c r="BB119" i="17" s="1"/>
  <c r="BB120" i="17" s="1"/>
  <c r="BB122" i="17" s="1"/>
  <c r="AA45" i="16"/>
  <c r="BC72" i="31"/>
  <c r="BD44" i="17"/>
  <c r="BC82" i="17"/>
  <c r="AA65" i="32"/>
  <c r="BD70" i="31"/>
  <c r="AA70" i="32" s="1"/>
  <c r="BD66" i="31"/>
  <c r="BD71" i="31"/>
  <c r="BG65" i="31" l="1"/>
  <c r="BF71" i="31"/>
  <c r="BF66" i="31"/>
  <c r="BF70" i="31"/>
  <c r="BF44" i="14" s="1"/>
  <c r="BE34" i="17"/>
  <c r="BE82" i="17" s="1"/>
  <c r="BE72" i="31"/>
  <c r="BE45" i="14"/>
  <c r="BE55" i="14" s="1"/>
  <c r="BB121" i="17"/>
  <c r="AA44" i="16"/>
  <c r="BD55" i="14"/>
  <c r="AA71" i="32"/>
  <c r="AA72" i="32" s="1"/>
  <c r="BD72" i="31"/>
  <c r="AA44" i="18"/>
  <c r="AA66" i="32"/>
  <c r="AA68" i="32" s="1"/>
  <c r="BD68" i="31"/>
  <c r="AA34" i="18"/>
  <c r="BF68" i="31" l="1"/>
  <c r="BF44" i="17" s="1"/>
  <c r="BF45" i="14"/>
  <c r="BF55" i="14" s="1"/>
  <c r="BF72" i="31"/>
  <c r="BF34" i="17"/>
  <c r="BF82" i="17" s="1"/>
  <c r="BH65" i="31"/>
  <c r="BG70" i="31"/>
  <c r="BG44" i="14" s="1"/>
  <c r="BG66" i="31"/>
  <c r="BG68" i="31" s="1"/>
  <c r="BG44" i="17" s="1"/>
  <c r="BG71" i="31"/>
  <c r="AA82" i="18"/>
  <c r="AA27" i="20" s="1"/>
  <c r="AA55" i="16"/>
  <c r="BI65" i="31" l="1"/>
  <c r="AB65" i="32" s="1"/>
  <c r="AC65" i="32" s="1"/>
  <c r="BH66" i="31"/>
  <c r="BH71" i="31"/>
  <c r="BH70" i="31"/>
  <c r="BH44" i="14" s="1"/>
  <c r="BG45" i="14"/>
  <c r="BG55" i="14" s="1"/>
  <c r="BG72" i="31"/>
  <c r="BG34" i="17"/>
  <c r="BG82" i="17" s="1"/>
  <c r="AC71" i="32" l="1"/>
  <c r="AD65" i="32"/>
  <c r="AC70" i="32"/>
  <c r="AC44" i="16" s="1"/>
  <c r="AC66" i="32"/>
  <c r="AC68" i="32" s="1"/>
  <c r="AC44" i="18" s="1"/>
  <c r="BH72" i="31"/>
  <c r="BH45" i="14"/>
  <c r="BI45" i="14" s="1"/>
  <c r="AB45" i="16" s="1"/>
  <c r="BH68" i="31"/>
  <c r="BH44" i="17" s="1"/>
  <c r="BI67" i="31"/>
  <c r="AB67" i="32" s="1"/>
  <c r="BH34" i="17"/>
  <c r="BI70" i="31"/>
  <c r="AB70" i="32" s="1"/>
  <c r="BI66" i="31"/>
  <c r="AB66" i="32" s="1"/>
  <c r="BI71" i="31"/>
  <c r="BI44" i="14"/>
  <c r="AB44" i="16" s="1"/>
  <c r="AB68" i="32" l="1"/>
  <c r="AC82" i="18"/>
  <c r="BH55" i="14"/>
  <c r="AE65" i="32"/>
  <c r="AD66" i="32"/>
  <c r="AD68" i="32" s="1"/>
  <c r="AD44" i="18" s="1"/>
  <c r="AD70" i="32"/>
  <c r="AD44" i="16" s="1"/>
  <c r="AD71" i="32"/>
  <c r="BI72" i="31"/>
  <c r="AB71" i="32"/>
  <c r="AB72" i="32" s="1"/>
  <c r="AC45" i="16"/>
  <c r="AC55" i="16" s="1"/>
  <c r="AC72" i="32"/>
  <c r="BI68" i="31"/>
  <c r="BI44" i="17"/>
  <c r="BI55" i="14"/>
  <c r="AB55" i="16" s="1"/>
  <c r="BI34" i="17"/>
  <c r="AB34" i="18" s="1"/>
  <c r="BH82" i="17"/>
  <c r="AD82" i="18" l="1"/>
  <c r="AB44" i="18"/>
  <c r="AD45" i="16"/>
  <c r="AD55" i="16" s="1"/>
  <c r="AD72" i="32"/>
  <c r="AF65" i="32"/>
  <c r="AE71" i="32"/>
  <c r="AE70" i="32"/>
  <c r="AE44" i="16" s="1"/>
  <c r="AE66" i="32"/>
  <c r="AE68" i="32" s="1"/>
  <c r="AE44" i="18" s="1"/>
  <c r="BI82" i="17"/>
  <c r="AB82" i="18" s="1"/>
  <c r="AB27" i="20" s="1"/>
  <c r="AZ26" i="1"/>
  <c r="BB26" i="1"/>
  <c r="AE45" i="16" l="1"/>
  <c r="AE55" i="16" s="1"/>
  <c r="AE72" i="32"/>
  <c r="AF71" i="32"/>
  <c r="AF70" i="32"/>
  <c r="AF44" i="16" s="1"/>
  <c r="AF66" i="32"/>
  <c r="AF68" i="32" s="1"/>
  <c r="AF44" i="18" s="1"/>
  <c r="AE82" i="18"/>
  <c r="BC3" i="1"/>
  <c r="BH4" i="1" s="1"/>
  <c r="BI4" i="1"/>
  <c r="AB4" i="7" s="1"/>
  <c r="BD3" i="13"/>
  <c r="AA3" i="15" s="1"/>
  <c r="AA15" i="7"/>
  <c r="BD46" i="1"/>
  <c r="AA11" i="7"/>
  <c r="AA8" i="7"/>
  <c r="BA26" i="1"/>
  <c r="AA3" i="7"/>
  <c r="AA4" i="7"/>
  <c r="AA45" i="20" s="1"/>
  <c r="BD32" i="5"/>
  <c r="BC3" i="13" l="1"/>
  <c r="BC26" i="1"/>
  <c r="BC22" i="1"/>
  <c r="BC23" i="1" s="1"/>
  <c r="AA34" i="46"/>
  <c r="AF55" i="16"/>
  <c r="BC46" i="1"/>
  <c r="AF82" i="18"/>
  <c r="BC15" i="1"/>
  <c r="BC4" i="1"/>
  <c r="AF72" i="32"/>
  <c r="AF45" i="16"/>
  <c r="BC10" i="1"/>
  <c r="BH11" i="1" s="1"/>
  <c r="BC31" i="5"/>
  <c r="BC32" i="5" s="1"/>
  <c r="BC10" i="13"/>
  <c r="AA10" i="15"/>
  <c r="AA184" i="15" s="1"/>
  <c r="BC11" i="1"/>
  <c r="AA23" i="7"/>
  <c r="BI23" i="1"/>
  <c r="AB23" i="7" s="1"/>
  <c r="BD10" i="13"/>
  <c r="BI11" i="13" s="1"/>
  <c r="AA10" i="7"/>
  <c r="Q48" i="52" s="1"/>
  <c r="BI11" i="1"/>
  <c r="AB11" i="7" s="1"/>
  <c r="BI26" i="1"/>
  <c r="AB45" i="20"/>
  <c r="AA42" i="7"/>
  <c r="AA22" i="7"/>
  <c r="AA44" i="20"/>
  <c r="Q32" i="52"/>
  <c r="Q52" i="52"/>
  <c r="BD26" i="1"/>
  <c r="AB11" i="15" l="1"/>
  <c r="AB5" i="20" s="1"/>
  <c r="BI30" i="13"/>
  <c r="BC78" i="17"/>
  <c r="BH23" i="1"/>
  <c r="AA4" i="20"/>
  <c r="BC35" i="13"/>
  <c r="BC11" i="13"/>
  <c r="BC174" i="13"/>
  <c r="BC76" i="17"/>
  <c r="BC79" i="17"/>
  <c r="AA172" i="15"/>
  <c r="Q161" i="48"/>
  <c r="AA14" i="18"/>
  <c r="AA78" i="18"/>
  <c r="AA79" i="18"/>
  <c r="BD174" i="13"/>
  <c r="BD35" i="13"/>
  <c r="AA35" i="15" s="1"/>
  <c r="BD11" i="13"/>
  <c r="AA11" i="15" s="1"/>
  <c r="AA5" i="20" s="1"/>
  <c r="AA76" i="18"/>
  <c r="BC105" i="13"/>
  <c r="Q53" i="52"/>
  <c r="Q54" i="52" s="1"/>
  <c r="AA47" i="20"/>
  <c r="Q19" i="52"/>
  <c r="Q28" i="52" s="1"/>
  <c r="Q33" i="52"/>
  <c r="R33" i="52"/>
  <c r="Q49" i="52"/>
  <c r="R49" i="52"/>
  <c r="AB30" i="15" l="1"/>
  <c r="AB31" i="15" s="1"/>
  <c r="AB34" i="15" s="1"/>
  <c r="BG30" i="13"/>
  <c r="BG31" i="13" s="1"/>
  <c r="BF30" i="13"/>
  <c r="BF31" i="13" s="1"/>
  <c r="BE30" i="13"/>
  <c r="BE31" i="13" s="1"/>
  <c r="BH30" i="13"/>
  <c r="BH31" i="13" s="1"/>
  <c r="BI31" i="13"/>
  <c r="BI34" i="13" s="1"/>
  <c r="BC106" i="13"/>
  <c r="BC75" i="17"/>
  <c r="AA9" i="20"/>
  <c r="BC69" i="17"/>
  <c r="AA9" i="18"/>
  <c r="BD41" i="14"/>
  <c r="AA41" i="16" s="1"/>
  <c r="BC68" i="17"/>
  <c r="BD75" i="14"/>
  <c r="AA75" i="16" s="1"/>
  <c r="AA33" i="16"/>
  <c r="AA8" i="18"/>
  <c r="BC74" i="14"/>
  <c r="BC75" i="14"/>
  <c r="BI174" i="13" l="1"/>
  <c r="BI35" i="13"/>
  <c r="AB35" i="15" s="1"/>
  <c r="BI40" i="13"/>
  <c r="BI118" i="13"/>
  <c r="AB40" i="15"/>
  <c r="AB8" i="20"/>
  <c r="AB172" i="15"/>
  <c r="BC102" i="13"/>
  <c r="BC103" i="13" s="1"/>
  <c r="BD102" i="13"/>
  <c r="BD103" i="13" s="1"/>
  <c r="AA103" i="15" s="1"/>
  <c r="AA19" i="20"/>
  <c r="AI83" i="18"/>
  <c r="CS35" i="48"/>
  <c r="CV50" i="48" s="1"/>
  <c r="AB10" i="20" l="1"/>
  <c r="AC41" i="15"/>
  <c r="AB118" i="15"/>
  <c r="AB123" i="15" s="1"/>
  <c r="BI121" i="13"/>
  <c r="BI43" i="13"/>
  <c r="AB43" i="15" s="1"/>
  <c r="BI41" i="13"/>
  <c r="AB41" i="15" s="1"/>
  <c r="AB9" i="20"/>
  <c r="AA100" i="15"/>
  <c r="AA31" i="18"/>
  <c r="AB46" i="15" l="1"/>
  <c r="CT25" i="48"/>
  <c r="CX45" i="48" s="1"/>
  <c r="BI123" i="13"/>
  <c r="AB121" i="15"/>
  <c r="BI46" i="13"/>
  <c r="AA105" i="15"/>
  <c r="AA102" i="15"/>
  <c r="AA106" i="15"/>
  <c r="BC70" i="17"/>
  <c r="BI50" i="13" l="1"/>
  <c r="BI56" i="13"/>
  <c r="BI63" i="13"/>
  <c r="BI69" i="13" s="1"/>
  <c r="BI73" i="13"/>
  <c r="BI70" i="13"/>
  <c r="BI51" i="13"/>
  <c r="AB51" i="15" s="1"/>
  <c r="AB56" i="15"/>
  <c r="AB50" i="15"/>
  <c r="AB70" i="15" l="1"/>
  <c r="AB13" i="20" s="1"/>
  <c r="AB60" i="15"/>
  <c r="AB12" i="20"/>
  <c r="AC57" i="15"/>
  <c r="AB74" i="15"/>
  <c r="AB71" i="15"/>
  <c r="BI60" i="13"/>
  <c r="BI4" i="14"/>
  <c r="AB4" i="16" s="1"/>
  <c r="BI74" i="13"/>
  <c r="BI71" i="13"/>
  <c r="BI57" i="13"/>
  <c r="AB57" i="15" s="1"/>
  <c r="AB63" i="15"/>
  <c r="AC51" i="15"/>
  <c r="AB73" i="15"/>
  <c r="BE6" i="4"/>
  <c r="BE8" i="4" s="1"/>
  <c r="BF6" i="4"/>
  <c r="BF8" i="4" s="1"/>
  <c r="BG6" i="4"/>
  <c r="BG8" i="4" s="1"/>
  <c r="BI6" i="4"/>
  <c r="BE111" i="13"/>
  <c r="BE115" i="13"/>
  <c r="BE36" i="14"/>
  <c r="BE20" i="17" s="1"/>
  <c r="BF36" i="14"/>
  <c r="BG36" i="14"/>
  <c r="BI41" i="14"/>
  <c r="AB41" i="16" s="1"/>
  <c r="AB185" i="15" l="1"/>
  <c r="AC64" i="15"/>
  <c r="AB69" i="15"/>
  <c r="BI7" i="4"/>
  <c r="AB7" i="11" s="1"/>
  <c r="AB6" i="11"/>
  <c r="AC6" i="11" s="1"/>
  <c r="BF20" i="17"/>
  <c r="BG20" i="17" s="1"/>
  <c r="BI111" i="13"/>
  <c r="BI8" i="4"/>
  <c r="AB8" i="11" s="1"/>
  <c r="BG111" i="13"/>
  <c r="BG115" i="13" s="1"/>
  <c r="BF111" i="13"/>
  <c r="BF115" i="13" s="1"/>
  <c r="BH36" i="14"/>
  <c r="BH20" i="17" s="1"/>
  <c r="BI20" i="17" s="1"/>
  <c r="AB20" i="18" s="1"/>
  <c r="AC20" i="18" s="1"/>
  <c r="AD20" i="18" s="1"/>
  <c r="AE20" i="18" s="1"/>
  <c r="AF20" i="18" s="1"/>
  <c r="BI115" i="13" l="1"/>
  <c r="AB111" i="15"/>
  <c r="AB115" i="15" s="1"/>
  <c r="AD6" i="11"/>
  <c r="AC8" i="11"/>
  <c r="AC111" i="15"/>
  <c r="AC115" i="15" s="1"/>
  <c r="AE6" i="11" l="1"/>
  <c r="AD8" i="11"/>
  <c r="AD111" i="15"/>
  <c r="AD115" i="15" s="1"/>
  <c r="AF6" i="11" l="1"/>
  <c r="AE111" i="15"/>
  <c r="AE115" i="15" s="1"/>
  <c r="AE8" i="11"/>
  <c r="AF8" i="11" l="1"/>
  <c r="AF111" i="15"/>
  <c r="AF115" i="15" s="1"/>
  <c r="CK30" i="48" l="1"/>
  <c r="CM31" i="48"/>
  <c r="R30" i="48"/>
  <c r="CJ30" i="48"/>
  <c r="CL30" i="48"/>
  <c r="CM30" i="48"/>
  <c r="R31" i="48"/>
  <c r="CJ31" i="48"/>
  <c r="CK31" i="48"/>
  <c r="CL31" i="48"/>
  <c r="R49" i="48"/>
  <c r="R50" i="48"/>
  <c r="R53" i="48" s="1"/>
  <c r="S53" i="48" s="1"/>
  <c r="S57" i="48" s="1"/>
  <c r="S65" i="48" s="1"/>
  <c r="R54" i="48" l="1"/>
  <c r="S54" i="48" s="1"/>
  <c r="S55" i="48" s="1"/>
  <c r="R55" i="48"/>
  <c r="R57" i="48"/>
  <c r="R65" i="48" s="1"/>
  <c r="R58" i="48"/>
  <c r="R66" i="48" s="1"/>
  <c r="T53" i="48"/>
  <c r="T54" i="48"/>
  <c r="T58" i="48" s="1"/>
  <c r="T66" i="48" s="1"/>
  <c r="S59" i="48" l="1"/>
  <c r="S58" i="48"/>
  <c r="S66" i="48" s="1"/>
  <c r="S61" i="48"/>
  <c r="S63" i="48" s="1"/>
  <c r="R61" i="48"/>
  <c r="R63" i="48" s="1"/>
  <c r="R59" i="48"/>
  <c r="U53" i="48"/>
  <c r="T55" i="48"/>
  <c r="U54" i="48"/>
  <c r="S67" i="48"/>
  <c r="S71" i="48"/>
  <c r="T57" i="48"/>
  <c r="T65" i="48" s="1"/>
  <c r="V54" i="48" l="1"/>
  <c r="V58" i="48" s="1"/>
  <c r="V66" i="48" s="1"/>
  <c r="V53" i="48"/>
  <c r="V57" i="48" s="1"/>
  <c r="V65" i="48" s="1"/>
  <c r="U57" i="48"/>
  <c r="U65" i="48" s="1"/>
  <c r="U58" i="48"/>
  <c r="U66" i="48" s="1"/>
  <c r="R71" i="48"/>
  <c r="R67" i="48"/>
  <c r="T61" i="48"/>
  <c r="T63" i="48" s="1"/>
  <c r="T59" i="48"/>
  <c r="U55" i="48"/>
  <c r="V55" i="48" l="1"/>
  <c r="V61" i="48" s="1"/>
  <c r="V63" i="48" s="1"/>
  <c r="U61" i="48"/>
  <c r="U63" i="48" s="1"/>
  <c r="T67" i="48"/>
  <c r="T71" i="48"/>
  <c r="U59" i="48"/>
  <c r="V59" i="48" l="1"/>
  <c r="V67" i="48" s="1"/>
  <c r="U67" i="48"/>
  <c r="U71" i="48"/>
  <c r="V71" i="48" l="1"/>
  <c r="AJ75" i="18"/>
  <c r="AA17" i="8" l="1"/>
  <c r="AA4" i="46"/>
  <c r="Q42" i="48" s="1"/>
  <c r="AA51" i="46" l="1"/>
  <c r="AA66" i="46" s="1"/>
  <c r="Q43" i="48"/>
  <c r="Q71" i="48"/>
  <c r="AA73" i="46"/>
  <c r="AA82" i="46"/>
  <c r="AA3" i="46"/>
  <c r="AA21" i="8"/>
  <c r="AA5" i="46"/>
  <c r="AA52" i="46" s="1"/>
  <c r="AA67" i="46" s="1"/>
  <c r="AA6" i="46"/>
  <c r="AA53" i="46" s="1"/>
  <c r="AA68" i="46" s="1"/>
  <c r="AA7" i="46"/>
  <c r="AA54" i="46" s="1"/>
  <c r="AA69" i="46" s="1"/>
  <c r="AA8" i="46"/>
  <c r="AA9" i="46"/>
  <c r="AA56" i="46" s="1"/>
  <c r="AA10" i="46"/>
  <c r="AA57" i="46" s="1"/>
  <c r="AA11" i="46"/>
  <c r="AA58" i="46" s="1"/>
  <c r="AA12" i="46"/>
  <c r="AA59" i="46" s="1"/>
  <c r="Q105" i="48"/>
  <c r="Q106" i="48" s="1"/>
  <c r="Q6" i="48" l="1"/>
  <c r="AA55" i="46"/>
  <c r="AA70" i="46" s="1"/>
  <c r="AA77" i="46" s="1"/>
  <c r="AA33" i="46"/>
  <c r="AA75" i="46"/>
  <c r="AA84" i="46"/>
  <c r="AA74" i="46"/>
  <c r="AA83" i="46"/>
  <c r="AA13" i="46"/>
  <c r="AA14" i="8" s="1"/>
  <c r="Q91" i="48"/>
  <c r="Q92" i="48" s="1"/>
  <c r="Q77" i="48"/>
  <c r="Q76" i="48" s="1"/>
  <c r="Q78" i="48" s="1"/>
  <c r="Q36" i="48"/>
  <c r="Q37" i="48" s="1"/>
  <c r="Q7" i="48"/>
  <c r="AA76" i="46"/>
  <c r="AA85" i="46"/>
  <c r="AA30" i="46"/>
  <c r="AA93" i="46" l="1"/>
  <c r="AA60" i="46"/>
  <c r="AA62" i="46" s="1"/>
  <c r="AA63" i="46" s="1"/>
  <c r="BD30" i="5"/>
  <c r="AA31" i="46"/>
  <c r="BD31" i="5" s="1"/>
  <c r="Q35" i="52"/>
  <c r="AA44" i="46"/>
  <c r="O38" i="52" l="1"/>
  <c r="P41" i="52"/>
  <c r="O39" i="52"/>
  <c r="Q41" i="52"/>
  <c r="Q37" i="52" s="1"/>
  <c r="Q57" i="52" s="1"/>
  <c r="P40" i="52"/>
  <c r="P39" i="52"/>
  <c r="AA45" i="7"/>
  <c r="AA44" i="7" s="1"/>
  <c r="AA47" i="7" s="1"/>
  <c r="BD49" i="1"/>
  <c r="BC49" i="1" s="1"/>
  <c r="O37" i="52" l="1"/>
  <c r="O57" i="52" s="1"/>
  <c r="BC48" i="1"/>
  <c r="BC51" i="1" s="1"/>
  <c r="BB49" i="1"/>
  <c r="R58" i="52"/>
  <c r="P37" i="52"/>
  <c r="P57" i="52" s="1"/>
  <c r="P58" i="52" s="1"/>
  <c r="BB48" i="1" l="1"/>
  <c r="BB51" i="1" s="1"/>
  <c r="BA49" i="1"/>
  <c r="Q58" i="52"/>
  <c r="Q62" i="52"/>
  <c r="R61" i="52"/>
  <c r="AA33" i="18" l="1"/>
  <c r="BD37" i="17"/>
  <c r="AA77" i="18"/>
  <c r="BI33" i="17"/>
  <c r="R62" i="52"/>
  <c r="S61" i="52"/>
  <c r="BA48" i="1"/>
  <c r="BA51" i="1" s="1"/>
  <c r="AZ49" i="1"/>
  <c r="AZ48" i="1" s="1"/>
  <c r="AZ51" i="1" l="1"/>
  <c r="BD51" i="1" s="1"/>
  <c r="BD48" i="1"/>
  <c r="AB33" i="18"/>
  <c r="BH33" i="17"/>
  <c r="BI77" i="17"/>
  <c r="AB77" i="18" s="1"/>
  <c r="AA37" i="18"/>
  <c r="AC33" i="18"/>
  <c r="T61" i="52"/>
  <c r="S62" i="52"/>
  <c r="BF17" i="14"/>
  <c r="BM70" i="17" s="1"/>
  <c r="BC77" i="17"/>
  <c r="BC37" i="17"/>
  <c r="BE17" i="14"/>
  <c r="BL70" i="17" s="1"/>
  <c r="BG17" i="14"/>
  <c r="BN70" i="17" s="1"/>
  <c r="AD33" i="18" l="1"/>
  <c r="U61" i="52"/>
  <c r="T62" i="52"/>
  <c r="BH17" i="14"/>
  <c r="BO70" i="17" s="1"/>
  <c r="AC37" i="18"/>
  <c r="AC77" i="18"/>
  <c r="AC17" i="16"/>
  <c r="AK70" i="18" l="1"/>
  <c r="AE33" i="18"/>
  <c r="U62" i="52"/>
  <c r="V61" i="52"/>
  <c r="AD37" i="18"/>
  <c r="AD77" i="18"/>
  <c r="AD17" i="16"/>
  <c r="BI17" i="14"/>
  <c r="BP70" i="17" s="1"/>
  <c r="AE77" i="18" l="1"/>
  <c r="AE37" i="18"/>
  <c r="AE17" i="16"/>
  <c r="AL70" i="18"/>
  <c r="AF33" i="18"/>
  <c r="V62" i="52"/>
  <c r="W61" i="52"/>
  <c r="W62" i="52" s="1"/>
  <c r="AB17" i="16"/>
  <c r="AJ70" i="18" s="1"/>
  <c r="AM70" i="18" l="1"/>
  <c r="AF37" i="18"/>
  <c r="AF77" i="18"/>
  <c r="AF17" i="16"/>
  <c r="BH3" i="2"/>
  <c r="BE4" i="2"/>
  <c r="BF4" i="2"/>
  <c r="BG4" i="2"/>
  <c r="BE8" i="2"/>
  <c r="BF8" i="2"/>
  <c r="BG8" i="2"/>
  <c r="BE19" i="2"/>
  <c r="BE27" i="2" s="1"/>
  <c r="BF19" i="2"/>
  <c r="BF14" i="13" s="1"/>
  <c r="BF20" i="13" s="1"/>
  <c r="BF34" i="13" s="1"/>
  <c r="BE4" i="13"/>
  <c r="BE10" i="13" s="1"/>
  <c r="BF4" i="13"/>
  <c r="BF10" i="13" s="1"/>
  <c r="BE14" i="13" l="1"/>
  <c r="BE20" i="13" s="1"/>
  <c r="BE34" i="13" s="1"/>
  <c r="BE13" i="2"/>
  <c r="BE20" i="2"/>
  <c r="BF40" i="13"/>
  <c r="BF174" i="13"/>
  <c r="BF35" i="13"/>
  <c r="BF118" i="13" s="1"/>
  <c r="BF121" i="13" s="1"/>
  <c r="BF123" i="13" s="1"/>
  <c r="BF14" i="17"/>
  <c r="BF76" i="17"/>
  <c r="BF77" i="17"/>
  <c r="BF78" i="17"/>
  <c r="BF79" i="17"/>
  <c r="BF8" i="17"/>
  <c r="BF105" i="13"/>
  <c r="BF33" i="14"/>
  <c r="BF100" i="13"/>
  <c r="BF9" i="17"/>
  <c r="BF11" i="13"/>
  <c r="BE174" i="13"/>
  <c r="BE35" i="13"/>
  <c r="BE118" i="13" s="1"/>
  <c r="BE121" i="13" s="1"/>
  <c r="BE123" i="13" s="1"/>
  <c r="BE40" i="13"/>
  <c r="BF27" i="2"/>
  <c r="BF13" i="2"/>
  <c r="BE9" i="17"/>
  <c r="BE14" i="17"/>
  <c r="BE76" i="17"/>
  <c r="BE77" i="17"/>
  <c r="BE78" i="17"/>
  <c r="BE79" i="17"/>
  <c r="BE105" i="13"/>
  <c r="BE100" i="13"/>
  <c r="BE8" i="17"/>
  <c r="BE33" i="14"/>
  <c r="BE11" i="13"/>
  <c r="BE14" i="2"/>
  <c r="BE10" i="2"/>
  <c r="BE11" i="2" s="1"/>
  <c r="BE15" i="2"/>
  <c r="BE43" i="2"/>
  <c r="BE44" i="2" s="1"/>
  <c r="BH26" i="2"/>
  <c r="BI26" i="2" s="1"/>
  <c r="BH4" i="2"/>
  <c r="BH8" i="2"/>
  <c r="BH4" i="13"/>
  <c r="BH10" i="13" s="1"/>
  <c r="BF20" i="2"/>
  <c r="BG19" i="2"/>
  <c r="BG27" i="2" s="1"/>
  <c r="BG4" i="13"/>
  <c r="BG10" i="13" s="1"/>
  <c r="BE41" i="14" l="1"/>
  <c r="BE19" i="14"/>
  <c r="BL72" i="17" s="1"/>
  <c r="BF19" i="14"/>
  <c r="BM72" i="17" s="1"/>
  <c r="BH69" i="17"/>
  <c r="BH68" i="17"/>
  <c r="BH77" i="17"/>
  <c r="BH78" i="17"/>
  <c r="BH11" i="13"/>
  <c r="BH75" i="17"/>
  <c r="BH79" i="17"/>
  <c r="BH76" i="17"/>
  <c r="BE16" i="14"/>
  <c r="BL69" i="17" s="1"/>
  <c r="BF16" i="14"/>
  <c r="BM69" i="17" s="1"/>
  <c r="BG20" i="2"/>
  <c r="BG14" i="13"/>
  <c r="BG20" i="13" s="1"/>
  <c r="BG34" i="13" s="1"/>
  <c r="BG13" i="2"/>
  <c r="BF41" i="14"/>
  <c r="BE43" i="13"/>
  <c r="BE41" i="13"/>
  <c r="BE46" i="13"/>
  <c r="BE56" i="13" s="1"/>
  <c r="BH19" i="2"/>
  <c r="BE15" i="14"/>
  <c r="BL68" i="17" s="1"/>
  <c r="BF15" i="14"/>
  <c r="BM68" i="17" s="1"/>
  <c r="BG8" i="17"/>
  <c r="BH15" i="14" s="1"/>
  <c r="BO68" i="17" s="1"/>
  <c r="BG14" i="17"/>
  <c r="BH19" i="14" s="1"/>
  <c r="BO72" i="17" s="1"/>
  <c r="BG76" i="17"/>
  <c r="BG77" i="17"/>
  <c r="BG78" i="17"/>
  <c r="BG79" i="17"/>
  <c r="BG9" i="17"/>
  <c r="BH16" i="14" s="1"/>
  <c r="BO69" i="17" s="1"/>
  <c r="BG33" i="14"/>
  <c r="BG11" i="13"/>
  <c r="BG105" i="13"/>
  <c r="BH105" i="13" s="1"/>
  <c r="BH106" i="13" s="1"/>
  <c r="BH100" i="13" s="1"/>
  <c r="BH102" i="13" s="1"/>
  <c r="BH103" i="13" s="1"/>
  <c r="BG100" i="13"/>
  <c r="BE31" i="17"/>
  <c r="BE102" i="13"/>
  <c r="BE103" i="13" s="1"/>
  <c r="BF14" i="2"/>
  <c r="BF10" i="2"/>
  <c r="BF11" i="2" s="1"/>
  <c r="BF15" i="2"/>
  <c r="BF43" i="2"/>
  <c r="BF44" i="2" s="1"/>
  <c r="BF31" i="17"/>
  <c r="BF102" i="13"/>
  <c r="BF103" i="13" s="1"/>
  <c r="BF43" i="13"/>
  <c r="BF46" i="13" s="1"/>
  <c r="BF56" i="13" s="1"/>
  <c r="BF41" i="13"/>
  <c r="BG19" i="14" l="1"/>
  <c r="BN72" i="17" s="1"/>
  <c r="BG15" i="14"/>
  <c r="BN68" i="17" s="1"/>
  <c r="BF50" i="13"/>
  <c r="BF37" i="17"/>
  <c r="BF20" i="14"/>
  <c r="BM73" i="17" s="1"/>
  <c r="BG31" i="17"/>
  <c r="BG102" i="13"/>
  <c r="BG103" i="13" s="1"/>
  <c r="BE37" i="17"/>
  <c r="BE20" i="14"/>
  <c r="BL73" i="17" s="1"/>
  <c r="BH27" i="2"/>
  <c r="BI27" i="2" s="1"/>
  <c r="BH20" i="2"/>
  <c r="BH14" i="13"/>
  <c r="BH20" i="13" s="1"/>
  <c r="BH34" i="13" s="1"/>
  <c r="BH13" i="2"/>
  <c r="BH22" i="2"/>
  <c r="BH23" i="2" s="1"/>
  <c r="BI19" i="14"/>
  <c r="BG41" i="14"/>
  <c r="BG16" i="14"/>
  <c r="BN69" i="17" s="1"/>
  <c r="BE50" i="13"/>
  <c r="BH33" i="14"/>
  <c r="BG43" i="2"/>
  <c r="BG44" i="2" s="1"/>
  <c r="BG14" i="2"/>
  <c r="BG15" i="2"/>
  <c r="BG10" i="2"/>
  <c r="BG11" i="2" s="1"/>
  <c r="BI100" i="13"/>
  <c r="BG35" i="13"/>
  <c r="BG118" i="13" s="1"/>
  <c r="BG121" i="13" s="1"/>
  <c r="BG123" i="13" s="1"/>
  <c r="BG40" i="13"/>
  <c r="BG174" i="13"/>
  <c r="BI15" i="14" l="1"/>
  <c r="BP68" i="17" s="1"/>
  <c r="AB19" i="16"/>
  <c r="AJ72" i="18" s="1"/>
  <c r="BP72" i="17"/>
  <c r="BG41" i="13"/>
  <c r="BG43" i="13"/>
  <c r="BH43" i="13" s="1"/>
  <c r="BG46" i="13"/>
  <c r="BG56" i="13" s="1"/>
  <c r="BH41" i="14"/>
  <c r="BH74" i="14"/>
  <c r="BI16" i="14"/>
  <c r="BE63" i="13"/>
  <c r="BE70" i="13"/>
  <c r="BE73" i="13"/>
  <c r="BH15" i="2"/>
  <c r="BH43" i="2"/>
  <c r="BH44" i="2" s="1"/>
  <c r="BH14" i="2"/>
  <c r="BH10" i="2"/>
  <c r="BH11" i="2" s="1"/>
  <c r="BI13" i="2"/>
  <c r="BG37" i="17"/>
  <c r="BG20" i="14"/>
  <c r="BN73" i="17" s="1"/>
  <c r="BI31" i="17"/>
  <c r="AB100" i="15"/>
  <c r="BI102" i="13"/>
  <c r="BI103" i="13" s="1"/>
  <c r="AB103" i="15" s="1"/>
  <c r="BE57" i="13"/>
  <c r="BE60" i="13"/>
  <c r="BE71" i="13"/>
  <c r="BE74" i="13"/>
  <c r="BE4" i="14"/>
  <c r="BH118" i="13"/>
  <c r="BH121" i="13" s="1"/>
  <c r="BH123" i="13" s="1"/>
  <c r="BH174" i="13"/>
  <c r="BH35" i="13"/>
  <c r="BH40" i="13"/>
  <c r="BF57" i="13"/>
  <c r="BF60" i="13"/>
  <c r="BF71" i="13"/>
  <c r="BF74" i="13"/>
  <c r="BF4" i="14"/>
  <c r="BF63" i="13"/>
  <c r="BF70" i="13"/>
  <c r="BF73" i="13"/>
  <c r="AB15" i="16" l="1"/>
  <c r="AJ68" i="18" s="1"/>
  <c r="AB16" i="16"/>
  <c r="AJ69" i="18" s="1"/>
  <c r="BP69" i="17"/>
  <c r="BH44" i="13"/>
  <c r="BG50" i="13"/>
  <c r="BE55" i="17"/>
  <c r="BH41" i="13"/>
  <c r="BH46" i="13"/>
  <c r="BH56" i="13" s="1"/>
  <c r="AB102" i="15"/>
  <c r="AB105" i="15"/>
  <c r="BI14" i="2"/>
  <c r="AB14" i="10" s="1"/>
  <c r="BI10" i="2"/>
  <c r="BI15" i="2"/>
  <c r="AB15" i="10" s="1"/>
  <c r="BI43" i="2"/>
  <c r="BI44" i="2" s="1"/>
  <c r="BE64" i="13"/>
  <c r="BE69" i="13"/>
  <c r="BF64" i="13"/>
  <c r="BF69" i="13"/>
  <c r="BH31" i="17"/>
  <c r="AB31" i="18"/>
  <c r="AC20" i="16" s="1"/>
  <c r="AK73" i="18" s="1"/>
  <c r="BI37" i="17"/>
  <c r="BH50" i="13" l="1"/>
  <c r="BH70" i="17"/>
  <c r="BH20" i="14"/>
  <c r="BH37" i="17"/>
  <c r="BF55" i="17"/>
  <c r="BE58" i="17"/>
  <c r="BE62" i="17" s="1"/>
  <c r="BG4" i="14"/>
  <c r="BG60" i="13"/>
  <c r="BG57" i="13"/>
  <c r="BG71" i="13"/>
  <c r="BG74" i="13"/>
  <c r="AB10" i="10"/>
  <c r="AC11" i="10" s="1"/>
  <c r="BI11" i="2"/>
  <c r="AB11" i="10" s="1"/>
  <c r="AB106" i="15"/>
  <c r="BG73" i="13"/>
  <c r="BG63" i="13"/>
  <c r="BG70" i="13"/>
  <c r="AB37" i="18"/>
  <c r="AC103" i="15"/>
  <c r="BI20" i="14" l="1"/>
  <c r="BO73" i="17"/>
  <c r="BG55" i="17"/>
  <c r="BF58" i="17"/>
  <c r="BF62" i="17" s="1"/>
  <c r="BG69" i="13"/>
  <c r="BG64" i="13"/>
  <c r="BH70" i="13"/>
  <c r="BH73" i="13"/>
  <c r="BH51" i="13"/>
  <c r="BH63" i="13"/>
  <c r="BH4" i="14"/>
  <c r="BH60" i="13"/>
  <c r="BH57" i="13"/>
  <c r="BH71" i="13"/>
  <c r="BH74" i="13"/>
  <c r="AB20" i="16" l="1"/>
  <c r="AJ73" i="18" s="1"/>
  <c r="BP73" i="17"/>
  <c r="BH55" i="17"/>
  <c r="BG58" i="17"/>
  <c r="BG62" i="17" s="1"/>
  <c r="BH69" i="13"/>
  <c r="BI55" i="17" l="1"/>
  <c r="BH58" i="17"/>
  <c r="BH62" i="17" s="1"/>
  <c r="AB55" i="18" l="1"/>
  <c r="AC55" i="18" s="1"/>
  <c r="BI58" i="17"/>
  <c r="AB58" i="18" l="1"/>
  <c r="BI62" i="17"/>
  <c r="AD55" i="18"/>
  <c r="AC58" i="18"/>
  <c r="AC62" i="18" s="1"/>
  <c r="AE55" i="18" l="1"/>
  <c r="AD58" i="18"/>
  <c r="AD62" i="18" s="1"/>
  <c r="AB62" i="18"/>
  <c r="AF55" i="18" l="1"/>
  <c r="AF58" i="18" s="1"/>
  <c r="AF62" i="18" s="1"/>
  <c r="AE58" i="18"/>
  <c r="AE62" i="18" s="1"/>
  <c r="AA5" i="16"/>
  <c r="AA96" i="15" s="1"/>
  <c r="AA97" i="15" s="1"/>
  <c r="BC5" i="14"/>
  <c r="BC96" i="13"/>
  <c r="BD96" i="13"/>
  <c r="BD97" i="13" s="1"/>
  <c r="BD98" i="13" s="1"/>
  <c r="BC97" i="13"/>
  <c r="BC98" i="13" s="1"/>
  <c r="CS28" i="48"/>
  <c r="CU47" i="48"/>
  <c r="Q162" i="48"/>
  <c r="Q163" i="48" s="1"/>
  <c r="Q46" i="48" l="1"/>
  <c r="Q81" i="48"/>
  <c r="Q95" i="48"/>
  <c r="Q10" i="48"/>
  <c r="Q109" i="48"/>
  <c r="AA6" i="20"/>
  <c r="AA98" i="15"/>
  <c r="AA7" i="20" s="1"/>
  <c r="AA186" i="15"/>
  <c r="CM95" i="48" l="1"/>
  <c r="CM96" i="48" s="1"/>
  <c r="CM100" i="48" s="1"/>
  <c r="CK95" i="48"/>
  <c r="CK96" i="48" s="1"/>
  <c r="CK100" i="48" s="1"/>
  <c r="Q96" i="48"/>
  <c r="Q100" i="48" s="1"/>
  <c r="CJ95" i="48"/>
  <c r="CJ96" i="48" s="1"/>
  <c r="CJ100" i="48" s="1"/>
  <c r="CL95" i="48"/>
  <c r="CL96" i="48" s="1"/>
  <c r="CL100" i="48" s="1"/>
  <c r="Q47" i="48"/>
  <c r="CF46" i="48"/>
  <c r="CM81" i="48"/>
  <c r="CM82" i="48" s="1"/>
  <c r="CM86" i="48" s="1"/>
  <c r="CJ81" i="48"/>
  <c r="CJ82" i="48" s="1"/>
  <c r="CJ86" i="48" s="1"/>
  <c r="Q82" i="48"/>
  <c r="Q86" i="48" s="1"/>
  <c r="CK81" i="48"/>
  <c r="CK82" i="48" s="1"/>
  <c r="CK86" i="48" s="1"/>
  <c r="CL81" i="48"/>
  <c r="CL82" i="48" s="1"/>
  <c r="CL86" i="48" s="1"/>
  <c r="CM109" i="48"/>
  <c r="CM110" i="48" s="1"/>
  <c r="CM114" i="48" s="1"/>
  <c r="CK109" i="48"/>
  <c r="CK110" i="48" s="1"/>
  <c r="CK114" i="48" s="1"/>
  <c r="CJ109" i="48"/>
  <c r="CJ110" i="48" s="1"/>
  <c r="CJ114" i="48" s="1"/>
  <c r="CL109" i="48"/>
  <c r="CL110" i="48" s="1"/>
  <c r="CL114" i="48" s="1"/>
  <c r="CF109" i="48"/>
  <c r="Q110" i="48"/>
  <c r="Q114" i="48" s="1"/>
  <c r="CK10" i="48"/>
  <c r="CK11" i="48" s="1"/>
  <c r="CK15" i="48" s="1"/>
  <c r="CL10" i="48"/>
  <c r="CL11" i="48" s="1"/>
  <c r="CL15" i="48" s="1"/>
  <c r="CM10" i="48"/>
  <c r="CM11" i="48" s="1"/>
  <c r="CM15" i="48" s="1"/>
  <c r="CF10" i="48"/>
  <c r="CJ10" i="48"/>
  <c r="CJ11" i="48" s="1"/>
  <c r="CJ15" i="48" s="1"/>
  <c r="Q11" i="48"/>
  <c r="Q15" i="48" s="1"/>
  <c r="CG10" i="48" l="1"/>
  <c r="CF11" i="48"/>
  <c r="CF15" i="48" s="1"/>
  <c r="CG109" i="48"/>
  <c r="CF110" i="48"/>
  <c r="CF114" i="48" s="1"/>
  <c r="CS19" i="48"/>
  <c r="Q51" i="48"/>
  <c r="Q122" i="48" s="1"/>
  <c r="Q118" i="48" s="1"/>
  <c r="Q72" i="48"/>
  <c r="CF47" i="48"/>
  <c r="CF51" i="48" s="1"/>
  <c r="CF122" i="48" s="1"/>
  <c r="CG46" i="48"/>
  <c r="CG110" i="48" l="1"/>
  <c r="CG114" i="48" s="1"/>
  <c r="CH109" i="48"/>
  <c r="CH46" i="48"/>
  <c r="CG47" i="48"/>
  <c r="CG51" i="48" s="1"/>
  <c r="CG122" i="48" s="1"/>
  <c r="CU39" i="48"/>
  <c r="CS16" i="48"/>
  <c r="CS21" i="48"/>
  <c r="CH10" i="48"/>
  <c r="CG11" i="48"/>
  <c r="CG15" i="48" s="1"/>
  <c r="CI46" i="48" l="1"/>
  <c r="CH47" i="48"/>
  <c r="CH51" i="48" s="1"/>
  <c r="CU41" i="48"/>
  <c r="CI109" i="48"/>
  <c r="CI110" i="48" s="1"/>
  <c r="CI114" i="48" s="1"/>
  <c r="CH110" i="48"/>
  <c r="CH114" i="48" s="1"/>
  <c r="CI10" i="48"/>
  <c r="CI11" i="48" s="1"/>
  <c r="CI15" i="48" s="1"/>
  <c r="CH11" i="48"/>
  <c r="CH15" i="48" s="1"/>
  <c r="CH122" i="48" l="1"/>
  <c r="CI47" i="48"/>
  <c r="CI51" i="48" s="1"/>
  <c r="CI122" i="48" l="1"/>
  <c r="CI125" i="48" l="1"/>
  <c r="Q124" i="48"/>
  <c r="Q125" i="48" l="1"/>
  <c r="BC71" i="17"/>
  <c r="BC74" i="17"/>
  <c r="AA12" i="18" l="1"/>
  <c r="Q44" i="52" s="1"/>
  <c r="Q45" i="52" s="1"/>
  <c r="AA71" i="18"/>
  <c r="AA74" i="18"/>
  <c r="AA8" i="16"/>
  <c r="BC8" i="14"/>
  <c r="AA11" i="16"/>
  <c r="CS30" i="48" s="1"/>
  <c r="CU49" i="48" s="1"/>
  <c r="BC11" i="14"/>
  <c r="AA15" i="16"/>
  <c r="AI68" i="18" s="1"/>
  <c r="BC15" i="14"/>
  <c r="AA16" i="16"/>
  <c r="AI69" i="18" s="1"/>
  <c r="BC16" i="14"/>
  <c r="AA17" i="16"/>
  <c r="AI70" i="18" s="1"/>
  <c r="BC17" i="14"/>
  <c r="AA18" i="16"/>
  <c r="AI71" i="18" s="1"/>
  <c r="BC18" i="14"/>
  <c r="AA19" i="16"/>
  <c r="AI72" i="18" s="1"/>
  <c r="BC19" i="14"/>
  <c r="AA20" i="16"/>
  <c r="AI73" i="18" s="1"/>
  <c r="BC20" i="14"/>
  <c r="AA21" i="16" l="1"/>
  <c r="AI74" i="18" s="1"/>
  <c r="BC21" i="14"/>
  <c r="CS22" i="48" l="1"/>
  <c r="AA23" i="16"/>
  <c r="AI76" i="18" s="1"/>
  <c r="BC23" i="14"/>
  <c r="AA24" i="16"/>
  <c r="AI77" i="18" s="1"/>
  <c r="BC24" i="14"/>
  <c r="AA25" i="16"/>
  <c r="AI78" i="18" s="1"/>
  <c r="BC25" i="14"/>
  <c r="CS26" i="48" l="1"/>
  <c r="CU42" i="48"/>
  <c r="AA26" i="16"/>
  <c r="AI79" i="18" s="1"/>
  <c r="BC26" i="14"/>
  <c r="AA27" i="16"/>
  <c r="AI80" i="18" s="1"/>
  <c r="BC27" i="14"/>
  <c r="BD28" i="14"/>
  <c r="AA28" i="16" s="1"/>
  <c r="AI81" i="18" s="1"/>
  <c r="CS29" i="48" l="1"/>
  <c r="CS33" i="48"/>
  <c r="CU46" i="48"/>
  <c r="BD29" i="14"/>
  <c r="BC28" i="14"/>
  <c r="BC29" i="14" s="1"/>
  <c r="BC59" i="14" s="1"/>
  <c r="CS31" i="48" l="1"/>
  <c r="CU48" i="48"/>
  <c r="AA29" i="16"/>
  <c r="BD59" i="14"/>
  <c r="BD77" i="14"/>
  <c r="BD45" i="17"/>
  <c r="BC46" i="17"/>
  <c r="BC48" i="17" s="1"/>
  <c r="BC64" i="17" s="1"/>
  <c r="BC62" i="14"/>
  <c r="BC64" i="14" s="1"/>
  <c r="BC77" i="14"/>
  <c r="BD82" i="14" l="1"/>
  <c r="AA82" i="16" s="1"/>
  <c r="AA23" i="20" s="1"/>
  <c r="BD79" i="14"/>
  <c r="AA79" i="16" s="1"/>
  <c r="BD78" i="14"/>
  <c r="AA78" i="16" s="1"/>
  <c r="AA21" i="20" s="1"/>
  <c r="AA77" i="16"/>
  <c r="AA59" i="16"/>
  <c r="BD62" i="14"/>
  <c r="BC79" i="14"/>
  <c r="BC78" i="14"/>
  <c r="BC82" i="14"/>
  <c r="BC5" i="17"/>
  <c r="BC65" i="14" s="1"/>
  <c r="BD46" i="17"/>
  <c r="AA45" i="18"/>
  <c r="BE45" i="17"/>
  <c r="AI82" i="18"/>
  <c r="AA18" i="20"/>
  <c r="CS32" i="48"/>
  <c r="BE46" i="17" l="1"/>
  <c r="BE48" i="17" s="1"/>
  <c r="BE64" i="17" s="1"/>
  <c r="BF45" i="17"/>
  <c r="BC15" i="17"/>
  <c r="BC83" i="17"/>
  <c r="BC89" i="17"/>
  <c r="BC110" i="17"/>
  <c r="BC111" i="17" s="1"/>
  <c r="AA62" i="16"/>
  <c r="BE61" i="14"/>
  <c r="BI61" i="14" s="1"/>
  <c r="AB61" i="16" s="1"/>
  <c r="BD64" i="14"/>
  <c r="BD5" i="17" s="1"/>
  <c r="AA46" i="18"/>
  <c r="BD48" i="17"/>
  <c r="AI84" i="18"/>
  <c r="AA20" i="20"/>
  <c r="BD15" i="17" l="1"/>
  <c r="BD110" i="17"/>
  <c r="BD111" i="17" s="1"/>
  <c r="BD89" i="17"/>
  <c r="BD83" i="17"/>
  <c r="BD84" i="17" s="1"/>
  <c r="BC84" i="17"/>
  <c r="BC114" i="17"/>
  <c r="BC112" i="17"/>
  <c r="BC124" i="17" s="1"/>
  <c r="BC116" i="17"/>
  <c r="BC118" i="17" s="1"/>
  <c r="BC119" i="17" s="1"/>
  <c r="AA48" i="18"/>
  <c r="BD64" i="17"/>
  <c r="BD65" i="14"/>
  <c r="AA64" i="16"/>
  <c r="BG45" i="17"/>
  <c r="BF46" i="17"/>
  <c r="BF48" i="17" s="1"/>
  <c r="BF64" i="17" s="1"/>
  <c r="BD112" i="17" l="1"/>
  <c r="BD124" i="17" s="1"/>
  <c r="BD114" i="17"/>
  <c r="BD116" i="17"/>
  <c r="BD118" i="17" s="1"/>
  <c r="BD119" i="17" s="1"/>
  <c r="BD120" i="17" s="1"/>
  <c r="BH45" i="17"/>
  <c r="BG46" i="17"/>
  <c r="BG48" i="17" s="1"/>
  <c r="BG64" i="17" s="1"/>
  <c r="AA15" i="18"/>
  <c r="AA5" i="18"/>
  <c r="AA89" i="18"/>
  <c r="AA64" i="18"/>
  <c r="BC120" i="17"/>
  <c r="BD122" i="17" l="1"/>
  <c r="BD121" i="17"/>
  <c r="AA26" i="20"/>
  <c r="AA83" i="18"/>
  <c r="AA85" i="18"/>
  <c r="BH46" i="17"/>
  <c r="BH48" i="17" s="1"/>
  <c r="BH64" i="17" s="1"/>
  <c r="BI45" i="17"/>
  <c r="AA65" i="16"/>
  <c r="AA110" i="18"/>
  <c r="BC122" i="17"/>
  <c r="BC121" i="17"/>
  <c r="AA84" i="18" l="1"/>
  <c r="AA86" i="18" s="1"/>
  <c r="AA28" i="20"/>
  <c r="AA29" i="20"/>
  <c r="BI46" i="17"/>
  <c r="AB45" i="18"/>
  <c r="AC45" i="18" s="1"/>
  <c r="AA111" i="18"/>
  <c r="AA37" i="20" s="1"/>
  <c r="AA114" i="18"/>
  <c r="AA112" i="18" l="1"/>
  <c r="AA124" i="18"/>
  <c r="AD45" i="18"/>
  <c r="AC46" i="18"/>
  <c r="AC48" i="18" s="1"/>
  <c r="AC64" i="18" s="1"/>
  <c r="BI48" i="17"/>
  <c r="AB46" i="18"/>
  <c r="AA116" i="18"/>
  <c r="AA118" i="18" l="1"/>
  <c r="AE45" i="18"/>
  <c r="AD46" i="18"/>
  <c r="AD48" i="18" s="1"/>
  <c r="AD64" i="18" s="1"/>
  <c r="AB48" i="18"/>
  <c r="BI64" i="17"/>
  <c r="AB64" i="18" l="1"/>
  <c r="AA119" i="18"/>
  <c r="AE46" i="18"/>
  <c r="AE48" i="18" s="1"/>
  <c r="AE64" i="18" s="1"/>
  <c r="AF45" i="18"/>
  <c r="AF46" i="18" s="1"/>
  <c r="AF48" i="18" s="1"/>
  <c r="AF64" i="18" s="1"/>
  <c r="AA120" i="18" l="1"/>
  <c r="AA121" i="18"/>
  <c r="AA39" i="20" s="1"/>
  <c r="AA122" i="18"/>
  <c r="AA40" i="20" s="1"/>
  <c r="AY68" i="14"/>
  <c r="AW69" i="14"/>
  <c r="AY69" i="14" l="1"/>
  <c r="Z69" i="16" s="1"/>
  <c r="Z68" i="16"/>
  <c r="BC25" i="17"/>
  <c r="BC27" i="17" s="1"/>
  <c r="AA19" i="18"/>
  <c r="BI75" i="14"/>
  <c r="AB75" i="16" s="1"/>
  <c r="BE75" i="14" l="1"/>
  <c r="BI68" i="14"/>
  <c r="AB68" i="16" s="1"/>
  <c r="BE68" i="14"/>
  <c r="BE5" i="14" s="1"/>
  <c r="BE96" i="13" s="1"/>
  <c r="BE97" i="13" s="1"/>
  <c r="BC66" i="17"/>
  <c r="BC65" i="17"/>
  <c r="BD25" i="17"/>
  <c r="BE19" i="17" l="1"/>
  <c r="BE25" i="17" s="1"/>
  <c r="BE98" i="13"/>
  <c r="AA25" i="18"/>
  <c r="BD27" i="17"/>
  <c r="BF75" i="14" l="1"/>
  <c r="BF68" i="14"/>
  <c r="BF19" i="17" s="1"/>
  <c r="BF25" i="17"/>
  <c r="BG75" i="14"/>
  <c r="BG68" i="14"/>
  <c r="BG5" i="14" s="1"/>
  <c r="BF5" i="14"/>
  <c r="AA27" i="18"/>
  <c r="BD66" i="17"/>
  <c r="BD65" i="17"/>
  <c r="BG96" i="13" l="1"/>
  <c r="BG97" i="13" s="1"/>
  <c r="AA65" i="18"/>
  <c r="AA66" i="18"/>
  <c r="BH68" i="14"/>
  <c r="BF96" i="13"/>
  <c r="BF97" i="13" s="1"/>
  <c r="BG19" i="17"/>
  <c r="BF98" i="13" l="1"/>
  <c r="BG25" i="17"/>
  <c r="BH19" i="17"/>
  <c r="BH75" i="14"/>
  <c r="BH5" i="14"/>
  <c r="BH69" i="14"/>
  <c r="BG98" i="13"/>
  <c r="BH96" i="13" l="1"/>
  <c r="BH97" i="13" s="1"/>
  <c r="BI5" i="14"/>
  <c r="BH25" i="17"/>
  <c r="BI19" i="17"/>
  <c r="AB5" i="16" l="1"/>
  <c r="BI96" i="13"/>
  <c r="BI97" i="13" s="1"/>
  <c r="BH98" i="13"/>
  <c r="AB19" i="18"/>
  <c r="BI25" i="17"/>
  <c r="AC68" i="16" l="1"/>
  <c r="AC5" i="16" s="1"/>
  <c r="AC75" i="16"/>
  <c r="BI98" i="13"/>
  <c r="AB25" i="18"/>
  <c r="AB96" i="15"/>
  <c r="AB97" i="15" s="1"/>
  <c r="R162" i="48"/>
  <c r="R163" i="48" s="1"/>
  <c r="CT28" i="48"/>
  <c r="CW47" i="48" s="1"/>
  <c r="AB6" i="20" l="1"/>
  <c r="AB186" i="15"/>
  <c r="AB98" i="15"/>
  <c r="AB7" i="20" s="1"/>
  <c r="AC96" i="15"/>
  <c r="AC97" i="15" s="1"/>
  <c r="S162" i="48"/>
  <c r="S163" i="48" s="1"/>
  <c r="R10" i="48"/>
  <c r="R11" i="48" s="1"/>
  <c r="R15" i="48" s="1"/>
  <c r="R109" i="48"/>
  <c r="R110" i="48" s="1"/>
  <c r="R114" i="48" s="1"/>
  <c r="R81" i="48"/>
  <c r="R82" i="48" s="1"/>
  <c r="R86" i="48" s="1"/>
  <c r="R46" i="48"/>
  <c r="R95" i="48"/>
  <c r="R96" i="48" s="1"/>
  <c r="R100" i="48" s="1"/>
  <c r="AC19" i="18"/>
  <c r="AC98" i="15" l="1"/>
  <c r="AC186" i="15"/>
  <c r="CM46" i="48"/>
  <c r="R47" i="48"/>
  <c r="CJ46" i="48"/>
  <c r="CJ47" i="48" s="1"/>
  <c r="CJ51" i="48" s="1"/>
  <c r="CL46" i="48"/>
  <c r="CK46" i="48"/>
  <c r="S95" i="48"/>
  <c r="S96" i="48" s="1"/>
  <c r="S100" i="48" s="1"/>
  <c r="S10" i="48"/>
  <c r="S11" i="48" s="1"/>
  <c r="S15" i="48" s="1"/>
  <c r="S109" i="48"/>
  <c r="S110" i="48" s="1"/>
  <c r="S114" i="48" s="1"/>
  <c r="S46" i="48"/>
  <c r="S47" i="48" s="1"/>
  <c r="S51" i="48" s="1"/>
  <c r="S81" i="48"/>
  <c r="S82" i="48" s="1"/>
  <c r="S86" i="48" s="1"/>
  <c r="AC25" i="18"/>
  <c r="AD75" i="16"/>
  <c r="AD68" i="16"/>
  <c r="AD5" i="16" s="1"/>
  <c r="CK47" i="48" l="1"/>
  <c r="CK51" i="48" s="1"/>
  <c r="CL47" i="48"/>
  <c r="CL51" i="48" s="1"/>
  <c r="S122" i="48"/>
  <c r="AD96" i="15"/>
  <c r="AD97" i="15" s="1"/>
  <c r="T162" i="48"/>
  <c r="T163" i="48" s="1"/>
  <c r="CT19" i="48"/>
  <c r="R51" i="48"/>
  <c r="AD19" i="18"/>
  <c r="CM47" i="48" l="1"/>
  <c r="CM51" i="48" s="1"/>
  <c r="AD25" i="18"/>
  <c r="AE68" i="16"/>
  <c r="AE5" i="16" s="1"/>
  <c r="AE75" i="16"/>
  <c r="CW39" i="48"/>
  <c r="CT16" i="48"/>
  <c r="CT21" i="48"/>
  <c r="T46" i="48"/>
  <c r="T47" i="48" s="1"/>
  <c r="T51" i="48" s="1"/>
  <c r="T81" i="48"/>
  <c r="T82" i="48" s="1"/>
  <c r="T109" i="48"/>
  <c r="T110" i="48" s="1"/>
  <c r="T95" i="48"/>
  <c r="T96" i="48" s="1"/>
  <c r="T100" i="48" s="1"/>
  <c r="T10" i="48"/>
  <c r="T11" i="48" s="1"/>
  <c r="AD186" i="15"/>
  <c r="AD98" i="15"/>
  <c r="CT26" i="48" l="1"/>
  <c r="CW46" i="48" s="1"/>
  <c r="CW41" i="48"/>
  <c r="U110" i="48"/>
  <c r="T114" i="48"/>
  <c r="AE19" i="18"/>
  <c r="U11" i="48"/>
  <c r="T15" i="48"/>
  <c r="AE96" i="15"/>
  <c r="AE97" i="15" s="1"/>
  <c r="U82" i="48"/>
  <c r="T86" i="48"/>
  <c r="CT33" i="48" l="1"/>
  <c r="T122" i="48"/>
  <c r="V11" i="48"/>
  <c r="V15" i="48" s="1"/>
  <c r="U15" i="48"/>
  <c r="AE25" i="18"/>
  <c r="AF68" i="16"/>
  <c r="AF5" i="16" s="1"/>
  <c r="AF75" i="16"/>
  <c r="AE186" i="15"/>
  <c r="AE98" i="15"/>
  <c r="V110" i="48"/>
  <c r="V114" i="48" s="1"/>
  <c r="U114" i="48"/>
  <c r="V82" i="48"/>
  <c r="V86" i="48" s="1"/>
  <c r="U86" i="48"/>
  <c r="AF19" i="18" l="1"/>
  <c r="AF25" i="18" s="1"/>
  <c r="V122" i="48"/>
  <c r="U122" i="48"/>
  <c r="AF96" i="15"/>
  <c r="AF97" i="15" s="1"/>
  <c r="AF98" i="15" l="1"/>
  <c r="BH22" i="14" l="1"/>
  <c r="AB21" i="20" l="1"/>
  <c r="AB78" i="16"/>
  <c r="BI78" i="14"/>
  <c r="AL82" i="18"/>
  <c r="Y35" i="20"/>
  <c r="Y107" i="18"/>
  <c r="AT107" i="17"/>
  <c r="AE124" i="18"/>
  <c r="AE112" i="18"/>
  <c r="AC124" i="18"/>
  <c r="AC112" i="18"/>
  <c r="BF107" i="17"/>
  <c r="BF106" i="17"/>
  <c r="BF105" i="17"/>
  <c r="AD124" i="18"/>
  <c r="AD112" i="18"/>
  <c r="T45" i="52"/>
  <c r="T44" i="52"/>
  <c r="AD66" i="18"/>
  <c r="AD15" i="18"/>
  <c r="AD27" i="18"/>
  <c r="AD65" i="18"/>
  <c r="AB37" i="20"/>
  <c r="AB111" i="18"/>
  <c r="W45" i="52"/>
  <c r="W44" i="52"/>
  <c r="AB93" i="18"/>
  <c r="BI93" i="17"/>
  <c r="AB114" i="18"/>
  <c r="BI114" i="17"/>
  <c r="W101" i="18"/>
  <c r="AJ101" i="17"/>
  <c r="BA107" i="17"/>
  <c r="BA106" i="17"/>
  <c r="BA105" i="17"/>
  <c r="AB74" i="18"/>
  <c r="BI74" i="17"/>
  <c r="BH124" i="17"/>
  <c r="BH112" i="17"/>
  <c r="BE66" i="17"/>
  <c r="BE15" i="17"/>
  <c r="BE27" i="17"/>
  <c r="BE65" i="17"/>
  <c r="AF89" i="18"/>
  <c r="AC103" i="18"/>
  <c r="BN71" i="17"/>
  <c r="AO15" i="48"/>
  <c r="S125" i="48"/>
  <c r="AF65" i="18"/>
  <c r="AF15" i="18"/>
  <c r="AF27" i="18"/>
  <c r="AF66" i="18"/>
  <c r="CK125" i="48"/>
  <c r="BH101" i="17"/>
  <c r="BH93" i="17"/>
  <c r="AF122" i="18"/>
  <c r="AF116" i="18"/>
  <c r="AF118" i="18"/>
  <c r="AF119" i="18"/>
  <c r="AF120" i="18"/>
  <c r="AF121" i="18"/>
  <c r="AB23" i="20"/>
  <c r="AB82" i="16"/>
  <c r="BI82" i="14"/>
  <c r="AB103" i="18"/>
  <c r="BI103" i="17"/>
  <c r="AB118" i="18"/>
  <c r="W34" i="20"/>
  <c r="W106" i="18"/>
  <c r="AR93" i="17"/>
  <c r="AR101" i="17"/>
  <c r="BG98" i="17"/>
  <c r="V125" i="48"/>
  <c r="CL122" i="48"/>
  <c r="CL28" i="48"/>
  <c r="CL27" i="48"/>
  <c r="AA34" i="20"/>
  <c r="AA106" i="18"/>
  <c r="BL82" i="17"/>
  <c r="BG122" i="17"/>
  <c r="BG116" i="17"/>
  <c r="BG118" i="17"/>
  <c r="BG119" i="17"/>
  <c r="BG120" i="17"/>
  <c r="BG121" i="17"/>
  <c r="AB65" i="18"/>
  <c r="AB27" i="18"/>
  <c r="AB66" i="18"/>
  <c r="W90" i="18"/>
  <c r="AE82" i="16"/>
  <c r="AE79" i="16"/>
  <c r="AE78" i="16"/>
  <c r="AE77" i="16"/>
  <c r="AM84" i="18"/>
  <c r="AE65" i="16"/>
  <c r="BZ80" i="17"/>
  <c r="BP83" i="17"/>
  <c r="BE121" i="17"/>
  <c r="BE116" i="17"/>
  <c r="BE118" i="17"/>
  <c r="BE119" i="17"/>
  <c r="BE120" i="17"/>
  <c r="BE122" i="17"/>
  <c r="U125" i="48"/>
  <c r="AX105" i="17"/>
  <c r="AX106" i="17"/>
  <c r="AX107" i="17"/>
  <c r="BB101" i="17"/>
  <c r="BB93" i="17"/>
  <c r="AM71" i="18"/>
  <c r="AF98" i="18"/>
  <c r="BF124" i="17"/>
  <c r="BF112" i="17"/>
  <c r="AZ98" i="17"/>
  <c r="AS11" i="5"/>
  <c r="R125" i="48"/>
  <c r="AC101" i="18"/>
  <c r="AC93" i="18"/>
  <c r="Y99" i="18"/>
  <c r="AB71" i="18"/>
  <c r="BI71" i="17"/>
  <c r="AD114" i="18"/>
  <c r="AE103" i="18"/>
  <c r="AT11" i="5"/>
  <c r="Y12" i="8"/>
  <c r="Y11" i="46"/>
  <c r="Y58" i="46"/>
  <c r="AW101" i="17"/>
  <c r="AW93" i="17"/>
  <c r="BF66" i="17"/>
  <c r="BF15" i="17"/>
  <c r="BF27" i="17"/>
  <c r="BF65" i="17"/>
  <c r="AB15" i="18"/>
  <c r="BF98" i="17"/>
  <c r="BE114" i="17"/>
  <c r="AD65" i="16"/>
  <c r="BG15" i="48"/>
  <c r="Y98" i="18"/>
  <c r="AT98" i="17"/>
  <c r="BP82" i="17"/>
  <c r="AS107" i="17"/>
  <c r="AS106" i="17"/>
  <c r="AS105" i="17"/>
  <c r="BO71" i="17"/>
  <c r="AE107" i="18"/>
  <c r="AE99" i="18"/>
  <c r="AE102" i="18"/>
  <c r="AE105" i="18"/>
  <c r="AE106" i="18"/>
  <c r="AB89" i="18"/>
  <c r="BI89" i="17"/>
  <c r="AL81" i="18"/>
  <c r="Z90" i="18"/>
  <c r="AB110" i="18"/>
  <c r="AS99" i="17"/>
  <c r="AS102" i="17"/>
  <c r="AS103" i="17"/>
  <c r="AB64" i="15"/>
  <c r="BI64" i="13"/>
  <c r="AH15" i="48"/>
  <c r="AA130" i="15"/>
  <c r="AA129" i="15"/>
  <c r="BH65" i="14"/>
  <c r="AJ71" i="18"/>
  <c r="AB18" i="16"/>
  <c r="BG84" i="17"/>
  <c r="BG83" i="17"/>
  <c r="AF85" i="18"/>
  <c r="AT31" i="5"/>
  <c r="Y31" i="46"/>
  <c r="Z15" i="48"/>
  <c r="AW107" i="17"/>
  <c r="AW106" i="17"/>
  <c r="AW105" i="17"/>
  <c r="BR15" i="48"/>
  <c r="AX98" i="17"/>
  <c r="AB59" i="16"/>
  <c r="AB90" i="18"/>
  <c r="AT15" i="48"/>
  <c r="AF124" i="18"/>
  <c r="AF112" i="18"/>
  <c r="BH107" i="17"/>
  <c r="BH106" i="17"/>
  <c r="BH105" i="17"/>
  <c r="BO15" i="48"/>
  <c r="AC98" i="18"/>
  <c r="R44" i="52"/>
  <c r="R45" i="52"/>
  <c r="AB99" i="18"/>
  <c r="BE110" i="17"/>
  <c r="BE111" i="17"/>
  <c r="BE112" i="17"/>
  <c r="BE124" i="17"/>
  <c r="AE15" i="48"/>
  <c r="AF101" i="18"/>
  <c r="AF93" i="18"/>
  <c r="CM125" i="48"/>
  <c r="AQ105" i="17"/>
  <c r="AQ106" i="17"/>
  <c r="AQ107" i="17"/>
  <c r="AE61" i="16"/>
  <c r="AF71" i="18"/>
  <c r="AF74" i="18"/>
  <c r="Y94" i="18"/>
  <c r="AQ15" i="48"/>
  <c r="AE114" i="18"/>
  <c r="AK81" i="18"/>
  <c r="X15" i="48"/>
  <c r="AQ98" i="17"/>
  <c r="AA69" i="15"/>
  <c r="AA63" i="15"/>
  <c r="AA62" i="15"/>
  <c r="W103" i="18"/>
  <c r="AJ103" i="17"/>
  <c r="CJ125" i="48"/>
  <c r="BG93" i="17"/>
  <c r="BG101" i="17"/>
  <c r="AC74" i="18"/>
  <c r="AC71" i="18"/>
  <c r="AZ103" i="17"/>
  <c r="BC107" i="17"/>
  <c r="BC106" i="17"/>
  <c r="BC105" i="17"/>
  <c r="AY101" i="17"/>
  <c r="Z101" i="18"/>
  <c r="AA101" i="18"/>
  <c r="BD101" i="17"/>
  <c r="Y47" i="7"/>
  <c r="Y44" i="7"/>
  <c r="Y45" i="7"/>
  <c r="Y44" i="46"/>
  <c r="BF99" i="17"/>
  <c r="BF102" i="17"/>
  <c r="BF103" i="17"/>
  <c r="AB28" i="20"/>
  <c r="AF83" i="18"/>
  <c r="AF84" i="18"/>
  <c r="AF86" i="18"/>
  <c r="AB94" i="18"/>
  <c r="AD15" i="48"/>
  <c r="BM15" i="48"/>
  <c r="AX15" i="48"/>
  <c r="BI65" i="14"/>
  <c r="BI101" i="17"/>
  <c r="AB101" i="18"/>
  <c r="CK122" i="48"/>
  <c r="CK28" i="48"/>
  <c r="CK27" i="48"/>
  <c r="BB15" i="48"/>
  <c r="BD106" i="17"/>
  <c r="BD107" i="17"/>
  <c r="AA107" i="18"/>
  <c r="AA35" i="20"/>
  <c r="CM27" i="48"/>
  <c r="CM28" i="48"/>
  <c r="CM122" i="48"/>
  <c r="CJ122" i="48"/>
  <c r="CL125" i="48"/>
  <c r="BG103" i="17"/>
  <c r="S44" i="52"/>
  <c r="S45" i="52"/>
  <c r="BI121" i="17"/>
  <c r="AB121" i="18"/>
  <c r="AB39" i="20"/>
  <c r="AF103" i="18"/>
  <c r="Z105" i="18"/>
  <c r="AR107" i="17"/>
  <c r="AR106" i="17"/>
  <c r="AR105" i="17"/>
  <c r="BF89" i="17"/>
  <c r="BF61" i="14"/>
  <c r="AB83" i="18"/>
  <c r="AB84" i="18"/>
  <c r="AB86" i="18"/>
  <c r="BI98" i="17"/>
  <c r="AB98" i="18"/>
  <c r="BE15" i="48"/>
  <c r="AB62" i="16"/>
  <c r="AC61" i="16"/>
  <c r="BM82" i="17"/>
  <c r="AB64" i="16"/>
  <c r="AB65" i="16"/>
  <c r="Y93" i="18"/>
  <c r="AT93" i="17"/>
  <c r="BN82" i="17"/>
  <c r="Z94" i="18"/>
  <c r="AD103" i="18"/>
  <c r="Z106" i="18"/>
  <c r="Z34" i="20"/>
  <c r="AD74" i="18"/>
  <c r="AD71" i="18"/>
  <c r="BA99" i="17"/>
  <c r="BA102" i="17"/>
  <c r="BA103" i="17"/>
  <c r="BQ15" i="48"/>
  <c r="AS15" i="48"/>
  <c r="AK15" i="48"/>
  <c r="AC114" i="18"/>
  <c r="BF101" i="17"/>
  <c r="BF91" i="17"/>
  <c r="BF94" i="17"/>
  <c r="BF90" i="17"/>
  <c r="BF93" i="17"/>
  <c r="AQ99" i="17"/>
  <c r="AQ102" i="17"/>
  <c r="AQ103" i="17"/>
  <c r="AC85" i="18"/>
  <c r="BH121" i="17"/>
  <c r="BH116" i="17"/>
  <c r="BH118" i="17"/>
  <c r="BH119" i="17"/>
  <c r="BH120" i="17"/>
  <c r="BH122" i="17"/>
  <c r="AE85" i="18"/>
  <c r="AD86" i="18"/>
  <c r="AD84" i="18"/>
  <c r="AY15" i="48"/>
  <c r="AB124" i="18"/>
  <c r="BI124" i="17"/>
  <c r="AC65" i="16"/>
  <c r="AZ99" i="17"/>
  <c r="AZ102" i="17"/>
  <c r="AZ105" i="17"/>
  <c r="AZ106" i="17"/>
  <c r="AZ107" i="17"/>
  <c r="BC99" i="17"/>
  <c r="BC102" i="17"/>
  <c r="BC103" i="17"/>
  <c r="BF83" i="17"/>
  <c r="BF84" i="17"/>
  <c r="BA93" i="17"/>
  <c r="BA101" i="17"/>
  <c r="BE65" i="14"/>
  <c r="AA94" i="18"/>
  <c r="Z99" i="18"/>
  <c r="BI107" i="17"/>
  <c r="AB107" i="18"/>
  <c r="AB35" i="20"/>
  <c r="AV15" i="48"/>
  <c r="AJ81" i="18"/>
  <c r="AL71" i="18"/>
  <c r="BC15" i="48"/>
  <c r="BH61" i="14"/>
  <c r="BL71" i="17"/>
  <c r="AU15" i="48"/>
  <c r="AY98" i="17"/>
  <c r="Z98" i="18"/>
  <c r="AC90" i="18"/>
  <c r="AC91" i="18"/>
  <c r="AC94" i="18"/>
  <c r="AC99" i="18"/>
  <c r="AC102" i="18"/>
  <c r="AC105" i="18"/>
  <c r="AC106" i="18"/>
  <c r="AC107" i="18"/>
  <c r="AM82" i="18"/>
  <c r="AD82" i="16"/>
  <c r="AD79" i="16"/>
  <c r="AD78" i="16"/>
  <c r="AD77" i="16"/>
  <c r="AL84" i="18"/>
  <c r="AE101" i="18"/>
  <c r="AE93" i="18"/>
  <c r="AJ93" i="17"/>
  <c r="W93" i="18"/>
  <c r="W105" i="18"/>
  <c r="BD105" i="17"/>
  <c r="AA105" i="18"/>
  <c r="AB18" i="20"/>
  <c r="AB29" i="16"/>
  <c r="AJ82" i="18"/>
  <c r="BE98" i="17"/>
  <c r="BC93" i="17"/>
  <c r="BC101" i="17"/>
  <c r="BP15" i="48"/>
  <c r="BH15" i="48"/>
  <c r="AJ15" i="48"/>
  <c r="AC121" i="18"/>
  <c r="AC110" i="18"/>
  <c r="AC111" i="18"/>
  <c r="AC116" i="18"/>
  <c r="AC118" i="18"/>
  <c r="AC119" i="18"/>
  <c r="AC120" i="18"/>
  <c r="AC122" i="18"/>
  <c r="BI66" i="17"/>
  <c r="BI15" i="17"/>
  <c r="BI27" i="17"/>
  <c r="BI65" i="17"/>
  <c r="AC83" i="18"/>
  <c r="AC84" i="18"/>
  <c r="AC86" i="18"/>
  <c r="AE83" i="18"/>
  <c r="AE84" i="18"/>
  <c r="AE86" i="18"/>
  <c r="AD83" i="18"/>
  <c r="AD85" i="18"/>
  <c r="BE89" i="17"/>
  <c r="AX101" i="17"/>
  <c r="AX93" i="17"/>
  <c r="BI112" i="17"/>
  <c r="AB112" i="18"/>
  <c r="W32" i="20"/>
  <c r="W91" i="18"/>
  <c r="BE107" i="17"/>
  <c r="BE106" i="17"/>
  <c r="BE105" i="17"/>
  <c r="BG90" i="17"/>
  <c r="BG91" i="17"/>
  <c r="BG94" i="17"/>
  <c r="BG99" i="17"/>
  <c r="BG102" i="17"/>
  <c r="BG105" i="17"/>
  <c r="BG106" i="17"/>
  <c r="BG107" i="17"/>
  <c r="AB26" i="20"/>
  <c r="AB5" i="18"/>
  <c r="AB102" i="18"/>
  <c r="AN15" i="48"/>
  <c r="AD98" i="18"/>
  <c r="Y32" i="20"/>
  <c r="Y91" i="18"/>
  <c r="AF90" i="18"/>
  <c r="AF91" i="18"/>
  <c r="AF94" i="18"/>
  <c r="AF99" i="18"/>
  <c r="AF102" i="18"/>
  <c r="AF105" i="18"/>
  <c r="AF106" i="18"/>
  <c r="AF107" i="18"/>
  <c r="AY105" i="17"/>
  <c r="AY106" i="17"/>
  <c r="AY107" i="17"/>
  <c r="Z107" i="18"/>
  <c r="Z35" i="20"/>
  <c r="AR99" i="17"/>
  <c r="AR102" i="17"/>
  <c r="AR103" i="17"/>
  <c r="AX90" i="17"/>
  <c r="AX91" i="17"/>
  <c r="AX94" i="17"/>
  <c r="AX99" i="17"/>
  <c r="AX102" i="17"/>
  <c r="AX103" i="17"/>
  <c r="Y63" i="46"/>
  <c r="Y62" i="46"/>
  <c r="Y60" i="46"/>
  <c r="Y56" i="46"/>
  <c r="AF15" i="48"/>
  <c r="BF114" i="17"/>
  <c r="BD98" i="17"/>
  <c r="AA98" i="18"/>
  <c r="AK82" i="18"/>
  <c r="AE74" i="18"/>
  <c r="AE71" i="18"/>
  <c r="AI101" i="17"/>
  <c r="AI93" i="17"/>
  <c r="AK71" i="18"/>
  <c r="AC79" i="16"/>
  <c r="AC78" i="16"/>
  <c r="AC82" i="16"/>
  <c r="AC77" i="16"/>
  <c r="AK84" i="18"/>
  <c r="BH98" i="17"/>
  <c r="BN15" i="48"/>
  <c r="CX48" i="48"/>
  <c r="AF61" i="16"/>
  <c r="Z102" i="18"/>
  <c r="BD15" i="48"/>
  <c r="L58" i="52"/>
  <c r="L57" i="52"/>
  <c r="L28" i="52"/>
  <c r="L19" i="52"/>
  <c r="L20" i="52"/>
  <c r="AJ105" i="17"/>
  <c r="AJ106" i="17"/>
  <c r="AJ107" i="17"/>
  <c r="W107" i="18"/>
  <c r="W35" i="20"/>
  <c r="AB79" i="16"/>
  <c r="BI79" i="14"/>
  <c r="AD99" i="18"/>
  <c r="AD102" i="18"/>
  <c r="AD105" i="18"/>
  <c r="AD106" i="18"/>
  <c r="AD107" i="18"/>
  <c r="AA64" i="15"/>
  <c r="BD64" i="13"/>
  <c r="AA15" i="48"/>
  <c r="AD101" i="18"/>
  <c r="AD91" i="18"/>
  <c r="AD94" i="18"/>
  <c r="AD90" i="18"/>
  <c r="AD93" i="18"/>
  <c r="AR90" i="17"/>
  <c r="AR91" i="17"/>
  <c r="AR94" i="17"/>
  <c r="AR98" i="17"/>
  <c r="AB119" i="18"/>
  <c r="AE66" i="18"/>
  <c r="AE15" i="18"/>
  <c r="AE27" i="18"/>
  <c r="AE65" i="18"/>
  <c r="BB103" i="17"/>
  <c r="AE122" i="18"/>
  <c r="AE110" i="18"/>
  <c r="AE111" i="18"/>
  <c r="AE116" i="18"/>
  <c r="AE118" i="18"/>
  <c r="AE119" i="18"/>
  <c r="AE120" i="18"/>
  <c r="AE121" i="18"/>
  <c r="AD89" i="18"/>
  <c r="BH66" i="17"/>
  <c r="BH15" i="17"/>
  <c r="BH27" i="17"/>
  <c r="BH65" i="17"/>
  <c r="BE59" i="14"/>
  <c r="BE62" i="14"/>
  <c r="BE64" i="14"/>
  <c r="BE5" i="17"/>
  <c r="BE83" i="17"/>
  <c r="BE84" i="17"/>
  <c r="BG61" i="14"/>
  <c r="BL83" i="17"/>
  <c r="BE79" i="14"/>
  <c r="BE78" i="14"/>
  <c r="BE28" i="14"/>
  <c r="BE29" i="14"/>
  <c r="BE77" i="14"/>
  <c r="BE82" i="14"/>
  <c r="BH74" i="17"/>
  <c r="BH71" i="17"/>
  <c r="AB40" i="20"/>
  <c r="AB122" i="18"/>
  <c r="BI122" i="17"/>
  <c r="BS15" i="48"/>
  <c r="AC89" i="18"/>
  <c r="BT15" i="48"/>
  <c r="AW98" i="17"/>
  <c r="BC90" i="17"/>
  <c r="BC91" i="17"/>
  <c r="BC94" i="17"/>
  <c r="BC98" i="17"/>
  <c r="Y15" i="48"/>
  <c r="AL15" i="48"/>
  <c r="AF65" i="16"/>
  <c r="AS10" i="5"/>
  <c r="Y102" i="18"/>
  <c r="BD130" i="13"/>
  <c r="BD62" i="13"/>
  <c r="BD63" i="13"/>
  <c r="BD69" i="13"/>
  <c r="BF121" i="17"/>
  <c r="BF5" i="17"/>
  <c r="BF110" i="17"/>
  <c r="BF111" i="17"/>
  <c r="BF116" i="17"/>
  <c r="BF118" i="17"/>
  <c r="BF119" i="17"/>
  <c r="BF120" i="17"/>
  <c r="BF122" i="17"/>
  <c r="AI98" i="17"/>
  <c r="AI15" i="48"/>
  <c r="U44" i="52"/>
  <c r="U45" i="52"/>
  <c r="BI83" i="17"/>
  <c r="BI84" i="17"/>
  <c r="AB85" i="18"/>
  <c r="AB29" i="20"/>
  <c r="CL118" i="48"/>
  <c r="CK118" i="48"/>
  <c r="CM118" i="48"/>
  <c r="R118" i="48"/>
  <c r="CJ118" i="48"/>
  <c r="AS32" i="5"/>
  <c r="AS9" i="5"/>
  <c r="AS30" i="5"/>
  <c r="AS31" i="5"/>
  <c r="BG114" i="17"/>
  <c r="AS93" i="17"/>
  <c r="AS101" i="17"/>
  <c r="BF82" i="14"/>
  <c r="BF79" i="14"/>
  <c r="BM83" i="17"/>
  <c r="BF77" i="14"/>
  <c r="BF78" i="14"/>
  <c r="T125" i="48"/>
  <c r="AF82" i="16"/>
  <c r="AF79" i="16"/>
  <c r="AF77" i="16"/>
  <c r="AF78" i="16"/>
  <c r="AB28" i="16"/>
  <c r="CT29" i="48"/>
  <c r="CT31" i="48"/>
  <c r="CT32" i="48"/>
  <c r="BG71" i="17"/>
  <c r="BG74" i="17"/>
  <c r="AY99" i="17"/>
  <c r="AY102" i="17"/>
  <c r="AY103" i="17"/>
  <c r="Z103" i="18"/>
  <c r="AS12" i="5"/>
  <c r="BG78" i="14"/>
  <c r="BG79" i="14"/>
  <c r="BN83" i="17"/>
  <c r="BG77" i="14"/>
  <c r="BG82" i="14"/>
  <c r="BH89" i="17"/>
  <c r="W94" i="18"/>
  <c r="BG65" i="17"/>
  <c r="BG15" i="17"/>
  <c r="BG27" i="17"/>
  <c r="BG66" i="17"/>
  <c r="O58" i="52"/>
  <c r="N20" i="52"/>
  <c r="N19" i="52"/>
  <c r="N28" i="52"/>
  <c r="N57" i="52"/>
  <c r="N58" i="52"/>
  <c r="AE90" i="18"/>
  <c r="AE91" i="18"/>
  <c r="AE94" i="18"/>
  <c r="AE98" i="18"/>
  <c r="BE99" i="17"/>
  <c r="BE102" i="17"/>
  <c r="BE103" i="17"/>
  <c r="Y34" i="20"/>
  <c r="AT106" i="17"/>
  <c r="Y106" i="18"/>
  <c r="BB98" i="17"/>
  <c r="AQ101" i="17"/>
  <c r="AQ91" i="17"/>
  <c r="AQ94" i="17"/>
  <c r="AQ90" i="17"/>
  <c r="AQ93" i="17"/>
  <c r="BM71" i="17"/>
  <c r="AD61" i="16"/>
  <c r="AB32" i="20"/>
  <c r="AB91" i="18"/>
  <c r="W99" i="18"/>
  <c r="Y14" i="8"/>
  <c r="AT13" i="5"/>
  <c r="AS13" i="5"/>
  <c r="AW15" i="48"/>
  <c r="Y90" i="18"/>
  <c r="AT103" i="17"/>
  <c r="Y103" i="18"/>
  <c r="BV15" i="48"/>
  <c r="BA90" i="17"/>
  <c r="BA91" i="17"/>
  <c r="BA94" i="17"/>
  <c r="BA98" i="17"/>
  <c r="AB105" i="18"/>
  <c r="BG65" i="14"/>
  <c r="AW90" i="17"/>
  <c r="AW91" i="17"/>
  <c r="AW94" i="17"/>
  <c r="AW99" i="17"/>
  <c r="AW102" i="17"/>
  <c r="AW103" i="17"/>
  <c r="AI103" i="17"/>
  <c r="AA32" i="20"/>
  <c r="AA91" i="18"/>
  <c r="BG110" i="17"/>
  <c r="BG111" i="17"/>
  <c r="BG112" i="17"/>
  <c r="BG124" i="17"/>
  <c r="AA102" i="18"/>
  <c r="BK15" i="48"/>
  <c r="BO82" i="17"/>
  <c r="BL15" i="48"/>
  <c r="AT10" i="5"/>
  <c r="Y11" i="8"/>
  <c r="Y10" i="46"/>
  <c r="Y57" i="46"/>
  <c r="BV11" i="48"/>
  <c r="BW11" i="48"/>
  <c r="BW15" i="48"/>
  <c r="AA90" i="18"/>
  <c r="AR15" i="48"/>
  <c r="AT12" i="5"/>
  <c r="Y13" i="8"/>
  <c r="Y12" i="46"/>
  <c r="Y59" i="46"/>
  <c r="BH90" i="17"/>
  <c r="BH91" i="17"/>
  <c r="BH94" i="17"/>
  <c r="BH99" i="17"/>
  <c r="BH102" i="17"/>
  <c r="BH103" i="17"/>
  <c r="BH83" i="17"/>
  <c r="BH84" i="17"/>
  <c r="AJ98" i="17"/>
  <c r="W98" i="18"/>
  <c r="M20" i="52"/>
  <c r="M19" i="52"/>
  <c r="M28" i="52"/>
  <c r="M57" i="52"/>
  <c r="M58" i="52"/>
  <c r="AG15" i="48"/>
  <c r="AJ90" i="17"/>
  <c r="AJ91" i="17"/>
  <c r="AJ94" i="17"/>
  <c r="AJ99" i="17"/>
  <c r="AJ102" i="17"/>
  <c r="W102" i="18"/>
  <c r="AB116" i="18"/>
  <c r="AE29" i="16"/>
  <c r="AE59" i="16"/>
  <c r="AE62" i="16"/>
  <c r="AE64" i="16"/>
  <c r="AE5" i="18"/>
  <c r="AE89" i="18"/>
  <c r="AD122" i="18"/>
  <c r="AC12" i="18"/>
  <c r="AD18" i="16"/>
  <c r="AD28" i="16"/>
  <c r="AD29" i="16"/>
  <c r="AD59" i="16"/>
  <c r="AD62" i="16"/>
  <c r="AD64" i="16"/>
  <c r="AD5" i="18"/>
  <c r="AD110" i="18"/>
  <c r="AD111" i="18"/>
  <c r="AD116" i="18"/>
  <c r="AD118" i="18"/>
  <c r="AD119" i="18"/>
  <c r="AD120" i="18"/>
  <c r="AD121" i="18"/>
  <c r="BB90" i="17"/>
  <c r="BB91" i="17"/>
  <c r="BB94" i="17"/>
  <c r="BB99" i="17"/>
  <c r="BB102" i="17"/>
  <c r="BB105" i="17"/>
  <c r="BB106" i="17"/>
  <c r="BB107" i="17"/>
  <c r="BH59" i="14"/>
  <c r="BH62" i="14"/>
  <c r="BH64" i="14"/>
  <c r="BH5" i="17"/>
  <c r="BH110" i="17"/>
  <c r="BH111" i="17"/>
  <c r="BH114" i="17"/>
  <c r="BE71" i="17"/>
  <c r="BE74" i="17"/>
  <c r="AT99" i="17"/>
  <c r="AT102" i="17"/>
  <c r="AT105" i="17"/>
  <c r="Y105" i="18"/>
  <c r="AS90" i="17"/>
  <c r="AS91" i="17"/>
  <c r="AS94" i="17"/>
  <c r="AS98" i="17"/>
  <c r="AY93" i="17"/>
  <c r="Z93" i="18"/>
  <c r="V124" i="48"/>
  <c r="AF12" i="18"/>
  <c r="V44" i="52"/>
  <c r="V45" i="52"/>
  <c r="BI59" i="14"/>
  <c r="BI62" i="14"/>
  <c r="BI64" i="14"/>
  <c r="BI5" i="17"/>
  <c r="BI110" i="17"/>
  <c r="BI111" i="17"/>
  <c r="BI116" i="17"/>
  <c r="BI118" i="17"/>
  <c r="BI119" i="17"/>
  <c r="BI120" i="17"/>
  <c r="AB120" i="18"/>
  <c r="BE101" i="17"/>
  <c r="BE91" i="17"/>
  <c r="BE94" i="17"/>
  <c r="BE90" i="17"/>
  <c r="BE93" i="17"/>
  <c r="BF18" i="14"/>
  <c r="BF28" i="14"/>
  <c r="BF29" i="14"/>
  <c r="BF59" i="14"/>
  <c r="BF62" i="14"/>
  <c r="BF64" i="14"/>
  <c r="BF65" i="14"/>
  <c r="AZ15" i="48"/>
  <c r="AY94" i="17"/>
  <c r="AY90" i="17"/>
  <c r="AY91" i="17"/>
  <c r="Z91" i="18"/>
  <c r="Z32" i="20"/>
  <c r="AA99" i="18"/>
  <c r="AZ93" i="17"/>
  <c r="AZ91" i="17"/>
  <c r="AZ94" i="17"/>
  <c r="AZ90" i="17"/>
  <c r="AZ101" i="17"/>
  <c r="AD12" i="18"/>
  <c r="AE18" i="16"/>
  <c r="AE28" i="16"/>
  <c r="AM81" i="18"/>
  <c r="BI15" i="48"/>
  <c r="AP15" i="48"/>
  <c r="AT91" i="17"/>
  <c r="AT94" i="17"/>
  <c r="AT90" i="17"/>
  <c r="AT101" i="17"/>
  <c r="Y101" i="18"/>
  <c r="Y13" i="46"/>
  <c r="BP71" i="17"/>
  <c r="BK11" i="48"/>
  <c r="BL11" i="48"/>
  <c r="BM11" i="48"/>
  <c r="BN11" i="48"/>
  <c r="BO11" i="48"/>
  <c r="BP11" i="48"/>
  <c r="BQ11" i="48"/>
  <c r="BR11" i="48"/>
  <c r="BS11" i="48"/>
  <c r="BT11" i="48"/>
  <c r="BU11" i="48"/>
  <c r="BU15" i="48"/>
  <c r="BI90" i="17"/>
  <c r="BI91" i="17"/>
  <c r="BI94" i="17"/>
  <c r="BI99" i="17"/>
  <c r="BI102" i="17"/>
  <c r="BI105" i="17"/>
  <c r="BI106" i="17"/>
  <c r="AB106" i="18"/>
  <c r="AB34" i="20"/>
  <c r="AT9" i="5"/>
  <c r="Y10" i="8"/>
  <c r="Y9" i="46"/>
  <c r="Y30" i="46"/>
  <c r="AT30" i="5"/>
  <c r="BA15" i="48"/>
  <c r="AB20" i="20"/>
  <c r="AH77" i="16"/>
  <c r="BL89" i="17"/>
  <c r="BE12" i="17"/>
  <c r="BE18" i="14"/>
  <c r="BI18" i="14"/>
  <c r="BI28" i="14"/>
  <c r="BI29" i="14"/>
  <c r="BI77" i="14"/>
  <c r="AB77" i="16"/>
  <c r="AJ84" i="18"/>
  <c r="BF74" i="17"/>
  <c r="BF71" i="17"/>
  <c r="BC64" i="13"/>
  <c r="BH64" i="13"/>
  <c r="BC62" i="13"/>
  <c r="BC63" i="13"/>
  <c r="BC69" i="13"/>
  <c r="AC15" i="48"/>
  <c r="BD99" i="17"/>
  <c r="BD102" i="17"/>
  <c r="BD103" i="17"/>
  <c r="AA103" i="18"/>
  <c r="BD129" i="13"/>
  <c r="BC129" i="13"/>
  <c r="BC130" i="13"/>
  <c r="BL130" i="13"/>
  <c r="BF15" i="48"/>
  <c r="BO83" i="17"/>
  <c r="BH79" i="14"/>
  <c r="BH82" i="14"/>
  <c r="BG12" i="17"/>
  <c r="BH18" i="14"/>
  <c r="BH28" i="14"/>
  <c r="BH29" i="14"/>
  <c r="BH77" i="14"/>
  <c r="BH78" i="14"/>
  <c r="AB15" i="48"/>
  <c r="AI90" i="17"/>
  <c r="AI91" i="17"/>
  <c r="AI94" i="17"/>
  <c r="AI99" i="17"/>
  <c r="AI102" i="17"/>
  <c r="AI105" i="17"/>
  <c r="AI106" i="17"/>
  <c r="AI107" i="17"/>
  <c r="AC66" i="18"/>
  <c r="CL124" i="48"/>
  <c r="CM124" i="48"/>
  <c r="BH12" i="17"/>
  <c r="BI12" i="17"/>
  <c r="AB12" i="18"/>
  <c r="AC18" i="16"/>
  <c r="AC28" i="16"/>
  <c r="AC29" i="16"/>
  <c r="AC59" i="16"/>
  <c r="AC62" i="16"/>
  <c r="AC64" i="16"/>
  <c r="AC5" i="18"/>
  <c r="AC15" i="18"/>
  <c r="AC27" i="18"/>
  <c r="AC65" i="18"/>
  <c r="AM15" i="48"/>
  <c r="BD91" i="17"/>
  <c r="BD94" i="17"/>
  <c r="BD90" i="17"/>
  <c r="BD93" i="17"/>
  <c r="AA93" i="18"/>
  <c r="R28" i="48"/>
  <c r="R122" i="48"/>
  <c r="R124" i="48"/>
  <c r="S124" i="48"/>
  <c r="T124" i="48"/>
  <c r="U124" i="48"/>
  <c r="AE12" i="18"/>
  <c r="AF18" i="16"/>
  <c r="AF28" i="16"/>
  <c r="AF29" i="16"/>
  <c r="AF59" i="16"/>
  <c r="AF62" i="16"/>
  <c r="AF64" i="16"/>
  <c r="AF5" i="18"/>
  <c r="AF110" i="18"/>
  <c r="AF111" i="18"/>
  <c r="AF114" i="18"/>
  <c r="X11" i="48"/>
  <c r="Y11" i="48"/>
  <c r="Z11" i="48"/>
  <c r="AA11" i="48"/>
  <c r="AB11" i="48"/>
  <c r="AC11" i="48"/>
  <c r="AD11" i="48"/>
  <c r="AE11" i="48"/>
  <c r="AF11" i="48"/>
  <c r="AG11" i="48"/>
  <c r="AH11" i="48"/>
  <c r="AI11" i="48"/>
  <c r="AJ11" i="48"/>
  <c r="AK11" i="48"/>
  <c r="AL11" i="48"/>
  <c r="AM11" i="48"/>
  <c r="AN11" i="48"/>
  <c r="AO11" i="48"/>
  <c r="AP11" i="48"/>
  <c r="AQ11" i="48"/>
  <c r="AR11" i="48"/>
  <c r="AS11" i="48"/>
  <c r="AT11" i="48"/>
  <c r="AU11" i="48"/>
  <c r="AV11" i="48"/>
  <c r="AW11" i="48"/>
  <c r="AX11" i="48"/>
  <c r="AY11" i="48"/>
  <c r="AZ11" i="48"/>
  <c r="BA11" i="48"/>
  <c r="BB11" i="48"/>
  <c r="BC11" i="48"/>
  <c r="BD11" i="48"/>
  <c r="BE11" i="48"/>
  <c r="BF11" i="48"/>
  <c r="BG11" i="48"/>
  <c r="BH11" i="48"/>
  <c r="BI11" i="48"/>
  <c r="BJ11" i="48"/>
  <c r="BJ15" i="48"/>
  <c r="R27" i="48"/>
  <c r="CJ27" i="48"/>
  <c r="CJ28" i="48"/>
  <c r="CJ124" i="48"/>
  <c r="CK124" i="48"/>
  <c r="BF12" i="17"/>
  <c r="BG18" i="14"/>
  <c r="BG28" i="14"/>
  <c r="BG29" i="14"/>
  <c r="BG59" i="14"/>
  <c r="BG62" i="14"/>
  <c r="BG64" i="14"/>
  <c r="BG5" i="17"/>
  <c r="BG89"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 Hemalatha (Research)</author>
    <author>Holcomb, Jason T (Research)</author>
  </authors>
  <commentList>
    <comment ref="E9" authorId="0" shapeId="0" xr:uid="{00000000-0006-0000-0900-000001000000}">
      <text>
        <r>
          <rPr>
            <sz val="9"/>
            <color indexed="81"/>
            <rFont val="Tahoma"/>
            <family val="2"/>
          </rPr>
          <t>Includes:
$1,375mn: Accounting differences/eliminations</t>
        </r>
      </text>
    </comment>
    <comment ref="N9" authorId="0" shapeId="0" xr:uid="{00000000-0006-0000-0900-000002000000}">
      <text>
        <r>
          <rPr>
            <sz val="9"/>
            <color indexed="81"/>
            <rFont val="Tahoma"/>
            <family val="2"/>
          </rPr>
          <t>Includes:
$106mn: Other segment
$610mn: Unallocated items &amp; elimination</t>
        </r>
      </text>
    </comment>
    <comment ref="N19" authorId="0" shapeId="0" xr:uid="{00000000-0006-0000-0900-000003000000}">
      <text>
        <r>
          <rPr>
            <sz val="9"/>
            <color indexed="81"/>
            <rFont val="Tahoma"/>
            <family val="2"/>
          </rPr>
          <t xml:space="preserve">Includes:
$186mn: Other segment
</t>
        </r>
      </text>
    </comment>
    <comment ref="B30" authorId="0" shapeId="0" xr:uid="{00000000-0006-0000-0900-000004000000}">
      <text>
        <r>
          <rPr>
            <sz val="9"/>
            <color indexed="81"/>
            <rFont val="Tahoma"/>
            <family val="2"/>
          </rPr>
          <t>Includes:
$442mn: Accounting differences/eliminations
$362mn: Unallocated expense</t>
        </r>
      </text>
    </comment>
    <comment ref="C30" authorId="0" shapeId="0" xr:uid="{00000000-0006-0000-0900-000005000000}">
      <text>
        <r>
          <rPr>
            <sz val="9"/>
            <color indexed="81"/>
            <rFont val="Tahoma"/>
            <family val="2"/>
          </rPr>
          <t>Includes:
$368mn: Accounting differences/eliminations
$163mn: Unallocated expense</t>
        </r>
      </text>
    </comment>
    <comment ref="D30" authorId="0" shapeId="0" xr:uid="{00000000-0006-0000-0900-000006000000}">
      <text>
        <r>
          <rPr>
            <sz val="9"/>
            <color indexed="81"/>
            <rFont val="Tahoma"/>
            <family val="2"/>
          </rPr>
          <t>Includes:
$424mn: Accounting differences/eliminations
$193mn: Unallocated expense</t>
        </r>
      </text>
    </comment>
    <comment ref="E30" authorId="0" shapeId="0" xr:uid="{00000000-0006-0000-0900-000007000000}">
      <text>
        <r>
          <rPr>
            <sz val="9"/>
            <color indexed="81"/>
            <rFont val="Tahoma"/>
            <family val="2"/>
          </rPr>
          <t>Includes:
$128mn: Pre-modification aircraft elimination
$36mn: Other
$320mn: Unallocated expense</t>
        </r>
      </text>
    </comment>
    <comment ref="F30" authorId="0" shapeId="0" xr:uid="{00000000-0006-0000-0900-000008000000}">
      <text>
        <r>
          <rPr>
            <sz val="9"/>
            <color indexed="81"/>
            <rFont val="Tahoma"/>
            <family val="2"/>
          </rPr>
          <t>Includes:
$15mn: Pre-modification aircraft elimination
$112mn: Other
$340mn: Unallocated expense</t>
        </r>
      </text>
    </comment>
    <comment ref="H30" authorId="0" shapeId="0" xr:uid="{00000000-0006-0000-0900-000009000000}">
      <text>
        <r>
          <rPr>
            <sz val="9"/>
            <color indexed="81"/>
            <rFont val="Tahoma"/>
            <family val="2"/>
          </rPr>
          <t>Adjusted for:
$320mn: related to exit of the Connexion by Boeing business
$15mn: EDD divestiture which was completed</t>
        </r>
      </text>
    </comment>
    <comment ref="O30" authorId="0" shapeId="0" xr:uid="{00000000-0006-0000-0900-00000A000000}">
      <text>
        <r>
          <rPr>
            <sz val="9"/>
            <color indexed="81"/>
            <rFont val="Tahoma"/>
            <family val="2"/>
          </rPr>
          <t>Adjusted for $406mn, related to the settlement of the A-12 litigation</t>
        </r>
      </text>
    </comment>
    <comment ref="H32" authorId="0" shapeId="0" xr:uid="{00000000-0006-0000-0900-00000B000000}">
      <text>
        <r>
          <rPr>
            <sz val="9"/>
            <color indexed="81"/>
            <rFont val="Tahoma"/>
            <family val="2"/>
          </rPr>
          <t>Adjusted for Global settlement with U.S. Department of Justice</t>
        </r>
      </text>
    </comment>
    <comment ref="F39" authorId="0" shapeId="0" xr:uid="{00000000-0006-0000-0900-00000C000000}">
      <text>
        <r>
          <rPr>
            <sz val="9"/>
            <color indexed="81"/>
            <rFont val="Tahoma"/>
            <family val="2"/>
          </rPr>
          <t>Adjusted for interest income of $219 related to income tax audit settlements.</t>
        </r>
      </text>
    </comment>
    <comment ref="G39" authorId="0" shapeId="0" xr:uid="{00000000-0006-0000-0900-00000D000000}">
      <text>
        <r>
          <rPr>
            <sz val="9"/>
            <color indexed="81"/>
            <rFont val="Tahoma"/>
            <family val="2"/>
          </rPr>
          <t>Adjusted for interest income of $64 related to income tax audit settlements.</t>
        </r>
      </text>
    </comment>
    <comment ref="E43" authorId="0" shapeId="0" xr:uid="{00000000-0006-0000-0900-00000E000000}">
      <text>
        <r>
          <rPr>
            <sz val="9"/>
            <color indexed="81"/>
            <rFont val="Tahoma"/>
            <family val="2"/>
          </rPr>
          <t>Adjusted for tax impact on Goodwill Impairment Charges</t>
        </r>
      </text>
    </comment>
    <comment ref="F43" authorId="0" shapeId="0" xr:uid="{00000000-0006-0000-0900-00000F000000}">
      <text>
        <r>
          <rPr>
            <sz val="9"/>
            <color indexed="81"/>
            <rFont val="Tahoma"/>
            <family val="2"/>
          </rPr>
          <t>Includes:
$0.44 per share: post tax - Air Force 767 Tanker and 717 Program completion
$367mn: tax benefits from a settlement with the Internal Revenue Service (IRS)</t>
        </r>
      </text>
    </comment>
    <comment ref="G43" authorId="0" shapeId="0" xr:uid="{00000000-0006-0000-0900-000010000000}">
      <text>
        <r>
          <rPr>
            <sz val="9"/>
            <color indexed="81"/>
            <rFont val="Tahoma"/>
            <family val="2"/>
          </rPr>
          <t>Includes:
$570mn: Tax benefits due to a settlement with the Internal Revenue Service</t>
        </r>
      </text>
    </comment>
    <comment ref="H43" authorId="0" shapeId="0" xr:uid="{00000000-0006-0000-0900-000011000000}">
      <text>
        <r>
          <rPr>
            <sz val="9"/>
            <color indexed="81"/>
            <rFont val="Tahoma"/>
            <family val="2"/>
          </rPr>
          <t xml:space="preserve">Includes:
Tax impact on one times:
$0.24 per share: post tax Business Shutdown/Divestitures
$16mn: reversal of a tax benefit 
No tax benefit was recognized relating to global settlement.
</t>
        </r>
      </text>
    </comment>
    <comment ref="J43" authorId="0" shapeId="0" xr:uid="{00000000-0006-0000-0900-000012000000}">
      <text>
        <r>
          <rPr>
            <sz val="9"/>
            <color indexed="81"/>
            <rFont val="Tahoma"/>
            <family val="2"/>
          </rPr>
          <t>Adjusted for tax impact on charges</t>
        </r>
      </text>
    </comment>
    <comment ref="K43" authorId="0" shapeId="0" xr:uid="{00000000-0006-0000-0900-000013000000}">
      <text>
        <r>
          <rPr>
            <sz val="9"/>
            <color indexed="81"/>
            <rFont val="Tahoma"/>
            <family val="2"/>
          </rPr>
          <t>Adjusted for tax impact on charges</t>
        </r>
      </text>
    </comment>
    <comment ref="L43" authorId="0" shapeId="0" xr:uid="{00000000-0006-0000-0900-000014000000}">
      <text>
        <r>
          <rPr>
            <sz val="9"/>
            <color indexed="81"/>
            <rFont val="Tahoma"/>
            <family val="2"/>
          </rPr>
          <t>Adjusted for:
$0.50 per share: favorable tax settlement
$0.20 per share: tax charge resulting from health care legislation</t>
        </r>
      </text>
    </comment>
    <comment ref="M43" authorId="0" shapeId="0" xr:uid="{00000000-0006-0000-0900-000015000000}">
      <text>
        <r>
          <rPr>
            <sz val="9"/>
            <color indexed="81"/>
            <rFont val="Tahoma"/>
            <family val="2"/>
          </rPr>
          <t>Adjusted for favorable tax settlement ($0.53 per share for the year)</t>
        </r>
      </text>
    </comment>
    <comment ref="O43" authorId="0" shapeId="0" xr:uid="{00000000-0006-0000-0900-000016000000}">
      <text>
        <r>
          <rPr>
            <sz val="9"/>
            <color indexed="81"/>
            <rFont val="Tahoma"/>
            <family val="2"/>
          </rPr>
          <t>$406mn:  Litigation charges related to the A-12 settlement
$0.34 per share: post tax  Litigation charges related to the A-12 settlement</t>
        </r>
      </text>
    </comment>
    <comment ref="E53" authorId="0" shapeId="0" xr:uid="{00000000-0006-0000-0900-000017000000}">
      <text>
        <r>
          <rPr>
            <sz val="9"/>
            <color indexed="81"/>
            <rFont val="Tahoma"/>
            <family val="2"/>
          </rPr>
          <t>$1.01 per share : Goodwill Impairment Charges</t>
        </r>
      </text>
    </comment>
    <comment ref="F53" authorId="0" shapeId="0" xr:uid="{00000000-0006-0000-0900-000018000000}">
      <text>
        <r>
          <rPr>
            <sz val="9"/>
            <color indexed="81"/>
            <rFont val="Tahoma"/>
            <family val="2"/>
          </rPr>
          <t>Includes:
$0.44 per share: post tax - Air Force 767 Tanker and 717 Program completion
$0.17 per share: Interest associated with income tax benefits
$367mn: tax benefits from a settlement with the Internal Revenue Service (IRS)
$0.06 per share: Net gain on Discontinued Operations</t>
        </r>
      </text>
    </comment>
    <comment ref="G53" authorId="0" shapeId="0" xr:uid="{00000000-0006-0000-0900-000019000000}">
      <text>
        <r>
          <rPr>
            <sz val="9"/>
            <color indexed="81"/>
            <rFont val="Tahoma"/>
            <family val="2"/>
          </rPr>
          <t>Includes:
$0.05 per share: Interest associated with income tax benefits
$0.71/$570mn: Income tax adjustments</t>
        </r>
      </text>
    </comment>
    <comment ref="H53" authorId="0" shapeId="0" xr:uid="{00000000-0006-0000-0900-00001A000000}">
      <text>
        <r>
          <rPr>
            <sz val="9"/>
            <color indexed="81"/>
            <rFont val="Tahoma"/>
            <family val="2"/>
          </rPr>
          <t xml:space="preserve">Includes:
$0.24 per share: post tax Business Shutdown/Divestitures
$16mn: reversal of a tax benefit 
$571mn: Global settlement with U.S. Department of Justice
</t>
        </r>
      </text>
    </comment>
    <comment ref="J53" authorId="0" shapeId="0" xr:uid="{00000000-0006-0000-0900-00001B000000}">
      <text>
        <r>
          <rPr>
            <sz val="9"/>
            <color indexed="81"/>
            <rFont val="Tahoma"/>
            <family val="2"/>
          </rPr>
          <t>Includes $2.56 per share impact primarily due to a labor strike and charges on the 747 program.</t>
        </r>
      </text>
    </comment>
    <comment ref="K53" authorId="0" shapeId="0" xr:uid="{00000000-0006-0000-0900-00001C000000}">
      <text>
        <r>
          <rPr>
            <sz val="9"/>
            <color indexed="81"/>
            <rFont val="Tahoma"/>
            <family val="2"/>
          </rPr>
          <t>Included a combined $3.58 per share impact due to the 787 R&amp;D reclassification and 747 charges.</t>
        </r>
      </text>
    </comment>
    <comment ref="L53" authorId="0" shapeId="0" xr:uid="{00000000-0006-0000-0900-00001D000000}">
      <text>
        <r>
          <rPr>
            <sz val="9"/>
            <color indexed="81"/>
            <rFont val="Tahoma"/>
            <family val="2"/>
          </rPr>
          <t>Adjusted for:
$0.50 per share: favorable tax settlement
$0.20 per share: tax charge resulting from health care legislation</t>
        </r>
      </text>
    </comment>
    <comment ref="M53" authorId="0" shapeId="0" xr:uid="{00000000-0006-0000-0900-00001E000000}">
      <text>
        <r>
          <rPr>
            <sz val="9"/>
            <color indexed="81"/>
            <rFont val="Tahoma"/>
            <family val="2"/>
          </rPr>
          <t>Adjusted for favorable tax settlement ($0.53 per share for the year)</t>
        </r>
      </text>
    </comment>
    <comment ref="O53" authorId="0" shapeId="0" xr:uid="{00000000-0006-0000-0900-00001F000000}">
      <text>
        <r>
          <rPr>
            <sz val="9"/>
            <color indexed="81"/>
            <rFont val="Tahoma"/>
            <family val="2"/>
          </rPr>
          <t>Includes : Litigation charges related to the A-12 settlement</t>
        </r>
      </text>
    </comment>
    <comment ref="F54" authorId="0" shapeId="0" xr:uid="{00000000-0006-0000-0900-000020000000}">
      <text>
        <r>
          <rPr>
            <sz val="9"/>
            <color indexed="81"/>
            <rFont val="Tahoma"/>
            <family val="2"/>
          </rPr>
          <t>$10mn: Income (loss) from discontinued operations, net of taxes
$42mn: Net gain (loss) on disposal of discontinued operations, net of taxes</t>
        </r>
      </text>
    </comment>
    <comment ref="H67" authorId="0" shapeId="0" xr:uid="{00000000-0006-0000-0900-000021000000}">
      <text>
        <r>
          <rPr>
            <sz val="9"/>
            <color indexed="81"/>
            <rFont val="Tahoma"/>
            <family val="2"/>
          </rPr>
          <t>Expense related to diluted shares</t>
        </r>
      </text>
    </comment>
    <comment ref="AC85" authorId="1" shapeId="0" xr:uid="{0C50769F-C094-40B3-9118-12E88CAC29AF}">
      <text>
        <r>
          <rPr>
            <b/>
            <sz val="9"/>
            <color indexed="81"/>
            <rFont val="Tahoma"/>
            <family val="2"/>
          </rPr>
          <t>Preferred Conversion - The conversion rate for each share of Mandatory Convertible Preferred Stock will not be more than 6.9940 shares of Common Stock and not less than 5.8280 shares of Common Stock (respectively, the “Maximum Conversion Rate” and “Minimum Conversion Rate”), depending on the applicable market value (as defined in the Depositary Shares Preliminary Prospectus Supplement) of the Common Stock, as described below and subject to certain antidilution adjustments. 
Mandatory Conversion Date: The second business day immediately following the last trading day of the 20 consecutive trading day period beginning on, and including, the 21st scheduled trading day immediately preceding October 15, 2027.</t>
        </r>
      </text>
    </comment>
    <comment ref="G119" authorId="0" shapeId="0" xr:uid="{00000000-0006-0000-0900-000022000000}">
      <text>
        <r>
          <rPr>
            <sz val="9"/>
            <color indexed="81"/>
            <rFont val="Tahoma"/>
            <family val="2"/>
          </rPr>
          <t>$0.04 per share: net earnings per share impact including pension and other post retirement benefits on the sale of Rocketdyne, Wichita, and EDD.</t>
        </r>
      </text>
    </comment>
    <comment ref="M128" authorId="0" shapeId="0" xr:uid="{00000000-0006-0000-0900-000023000000}">
      <text>
        <r>
          <rPr>
            <sz val="9"/>
            <color indexed="81"/>
            <rFont val="Tahoma"/>
            <family val="2"/>
          </rPr>
          <t>$0.45 per share - Unallocated Pension/Postretirement Expense (net of tax)</t>
        </r>
      </text>
    </comment>
    <comment ref="N128" authorId="0" shapeId="0" xr:uid="{00000000-0006-0000-0900-000024000000}">
      <text>
        <r>
          <rPr>
            <sz val="9"/>
            <color indexed="81"/>
            <rFont val="Tahoma"/>
            <family val="2"/>
          </rPr>
          <t>$0.77 per share - Unallocated Pension/Postretirement Expense (net of tax)</t>
        </r>
      </text>
    </comment>
    <comment ref="O128" authorId="0" shapeId="0" xr:uid="{00000000-0006-0000-0900-000025000000}">
      <text>
        <r>
          <rPr>
            <sz val="9"/>
            <color indexed="81"/>
            <rFont val="Tahoma"/>
            <family val="2"/>
          </rPr>
          <t>$1.11 per share - Unallocated Pension/Postretirement Expense (net of tax)</t>
        </r>
      </text>
    </comment>
    <comment ref="P128" authorId="0" shapeId="0" xr:uid="{00000000-0006-0000-0900-000026000000}">
      <text>
        <r>
          <rPr>
            <sz val="9"/>
            <color indexed="81"/>
            <rFont val="Tahoma"/>
            <family val="2"/>
          </rPr>
          <t>$0.122 per share - Unallocated Pension/Postretirement Expense (net of tax)</t>
        </r>
      </text>
    </comment>
    <comment ref="O129" authorId="0" shapeId="0" xr:uid="{00000000-0006-0000-0900-000027000000}">
      <text>
        <r>
          <rPr>
            <sz val="9"/>
            <color indexed="81"/>
            <rFont val="Tahoma"/>
            <family val="2"/>
          </rPr>
          <t>Includes:
$0.34 per share, related to the A-12 settlement which, company is not treated it has part of core EPS. Hence excluded from core EPS calculation.</t>
        </r>
      </text>
    </comment>
    <comment ref="O144" authorId="0" shapeId="0" xr:uid="{00000000-0006-0000-0900-000028000000}">
      <text>
        <r>
          <rPr>
            <sz val="9"/>
            <color indexed="81"/>
            <rFont val="Tahoma"/>
            <family val="2"/>
          </rPr>
          <t xml:space="preserve">The accounting quantity for the 777X will be determined in the year of first airplane delivery.
</t>
        </r>
      </text>
    </comment>
    <comment ref="P144" authorId="0" shapeId="0" xr:uid="{00000000-0006-0000-0900-000029000000}">
      <text>
        <r>
          <rPr>
            <sz val="9"/>
            <color indexed="81"/>
            <rFont val="Tahoma"/>
            <family val="2"/>
          </rPr>
          <t xml:space="preserve">The accounting quantity for the 777X will be determined in the year of first airplane delivery.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 Hemalatha (Research)</author>
    <author>Murillo, Alberto (Research)</author>
  </authors>
  <commentList>
    <comment ref="G2" authorId="0" shapeId="0" xr:uid="{00000000-0006-0000-0A00-000001000000}">
      <text>
        <r>
          <rPr>
            <sz val="9"/>
            <color indexed="81"/>
            <rFont val="Tahoma"/>
            <family val="2"/>
          </rPr>
          <t>Segmental reclassified information is sourced from 3Q17, press release</t>
        </r>
      </text>
    </comment>
    <comment ref="H2" authorId="0" shapeId="0" xr:uid="{00000000-0006-0000-0A00-000002000000}">
      <text>
        <r>
          <rPr>
            <sz val="9"/>
            <color indexed="81"/>
            <rFont val="Tahoma"/>
            <family val="2"/>
          </rPr>
          <t>Segmental reclassified information is sourced from 3Q17, press release</t>
        </r>
      </text>
    </comment>
    <comment ref="I2" authorId="0" shapeId="0" xr:uid="{00000000-0006-0000-0A00-000003000000}">
      <text>
        <r>
          <rPr>
            <sz val="9"/>
            <color indexed="81"/>
            <rFont val="Tahoma"/>
            <family val="2"/>
          </rPr>
          <t>Effective July 1, 2017, company changed its reportable segments: BCA, BDS, BGS, and BCC. The new segment, BGS, brings together the Commercial Aviation Services businesses, previously included in the BCA segment, and certain BDS businesses (primarily those previously included in the Global Services &amp; Support segment).</t>
        </r>
      </text>
    </comment>
    <comment ref="E76" authorId="0" shapeId="0" xr:uid="{00000000-0006-0000-0A00-000004000000}">
      <text>
        <r>
          <rPr>
            <sz val="9"/>
            <color indexed="81"/>
            <rFont val="Tahoma"/>
            <family val="2"/>
          </rPr>
          <t>Not reported 4th qtr. Basic weighted average common shares outstanding. Hence derived.</t>
        </r>
      </text>
    </comment>
    <comment ref="J76" authorId="0" shapeId="0" xr:uid="{00000000-0006-0000-0A00-000005000000}">
      <text>
        <r>
          <rPr>
            <sz val="9"/>
            <color indexed="81"/>
            <rFont val="Tahoma"/>
            <family val="2"/>
          </rPr>
          <t>Not reported 4th qtr. Basic weighted average common shares outstanding. Hence derived.</t>
        </r>
      </text>
    </comment>
    <comment ref="O76" authorId="0" shapeId="0" xr:uid="{00000000-0006-0000-0A00-000006000000}">
      <text>
        <r>
          <rPr>
            <sz val="9"/>
            <color indexed="81"/>
            <rFont val="Tahoma"/>
            <family val="2"/>
          </rPr>
          <t>Not reported 4th qtr. Basic weighted average common shares outstanding. Hence derived.</t>
        </r>
      </text>
    </comment>
    <comment ref="T76" authorId="0" shapeId="0" xr:uid="{00000000-0006-0000-0A00-000007000000}">
      <text>
        <r>
          <rPr>
            <sz val="9"/>
            <color indexed="81"/>
            <rFont val="Tahoma"/>
            <family val="2"/>
          </rPr>
          <t>Not reported 4th qtr. Basic weighted average common shares outstanding. Hence derived.</t>
        </r>
      </text>
    </comment>
    <comment ref="Y76" authorId="0" shapeId="0" xr:uid="{00000000-0006-0000-0A00-000008000000}">
      <text>
        <r>
          <rPr>
            <sz val="9"/>
            <color indexed="81"/>
            <rFont val="Tahoma"/>
            <family val="2"/>
          </rPr>
          <t>Not reported 4th qtr. Basic weighted average common shares outstanding. Hence derived.</t>
        </r>
      </text>
    </comment>
    <comment ref="E79" authorId="0" shapeId="0" xr:uid="{00000000-0006-0000-0A00-000009000000}">
      <text>
        <r>
          <rPr>
            <sz val="9"/>
            <color indexed="81"/>
            <rFont val="Tahoma"/>
            <family val="2"/>
          </rPr>
          <t>Not reported 4th qtr. Basic weighted average common shares outstanding. Hence derived.</t>
        </r>
      </text>
    </comment>
    <comment ref="J79" authorId="0" shapeId="0" xr:uid="{00000000-0006-0000-0A00-00000A000000}">
      <text>
        <r>
          <rPr>
            <sz val="9"/>
            <color indexed="81"/>
            <rFont val="Tahoma"/>
            <family val="2"/>
          </rPr>
          <t>Not reported 4th qtr. Basic weighted average common shares outstanding. Hence derived.</t>
        </r>
      </text>
    </comment>
    <comment ref="O79" authorId="0" shapeId="0" xr:uid="{00000000-0006-0000-0A00-00000B000000}">
      <text>
        <r>
          <rPr>
            <sz val="9"/>
            <color indexed="81"/>
            <rFont val="Tahoma"/>
            <family val="2"/>
          </rPr>
          <t>Not reported 4th qtr. Basic weighted average common shares outstanding. Hence derived.</t>
        </r>
      </text>
    </comment>
    <comment ref="T79" authorId="0" shapeId="0" xr:uid="{00000000-0006-0000-0A00-00000C000000}">
      <text>
        <r>
          <rPr>
            <sz val="9"/>
            <color indexed="81"/>
            <rFont val="Tahoma"/>
            <family val="2"/>
          </rPr>
          <t>Not reported 4th qtr. Basic weighted average common shares outstanding. Hence derived.</t>
        </r>
      </text>
    </comment>
    <comment ref="Y79" authorId="0" shapeId="0" xr:uid="{00000000-0006-0000-0A00-00000D000000}">
      <text>
        <r>
          <rPr>
            <sz val="9"/>
            <color indexed="81"/>
            <rFont val="Tahoma"/>
            <family val="2"/>
          </rPr>
          <t>Not reported 4th qtr. Basic weighted average common shares outstanding. Hence derived.</t>
        </r>
      </text>
    </comment>
    <comment ref="AK88" authorId="1" shapeId="0" xr:uid="{00000000-0006-0000-0A00-00000E000000}">
      <text>
        <r>
          <rPr>
            <b/>
            <sz val="9"/>
            <color indexed="81"/>
            <rFont val="Tahoma"/>
            <family val="2"/>
          </rPr>
          <t>A total of 159,636 shares were transferred to us from employees in satisfaction of minimum tax withholding obligations associated with the
vesting of restricted stock units during the period. We repurchased 2,645 shares in swap transactions. We did not purchase any shares of
our common stock in the open market pursuant to a repurchase program. 1Q22-10Q</t>
        </r>
      </text>
    </comment>
    <comment ref="AL88" authorId="1" shapeId="0" xr:uid="{00000000-0006-0000-0A00-00000F000000}">
      <text>
        <r>
          <rPr>
            <b/>
            <sz val="9"/>
            <color indexed="81"/>
            <rFont val="Tahoma"/>
            <family val="2"/>
          </rPr>
          <t>A total of 10,550 shares were transferred to us from employees in satisfaction of minimum tax withholding obligations associated with the
vesting of restricted stock units during the period. We did not purchase any shares of our common stock in the open market pursuant to a
repurchase program</t>
        </r>
      </text>
    </comment>
    <comment ref="V100" authorId="0" shapeId="0" xr:uid="{00000000-0006-0000-0A00-000010000000}">
      <text>
        <r>
          <rPr>
            <sz val="9"/>
            <color indexed="81"/>
            <rFont val="Tahoma"/>
            <family val="2"/>
          </rPr>
          <t xml:space="preserve">Includes:
$14,713mn: Cost of Products
$2,043mn: Cost of services
</t>
        </r>
      </text>
    </comment>
    <comment ref="W100" authorId="0" shapeId="0" xr:uid="{00000000-0006-0000-0A00-000011000000}">
      <text>
        <r>
          <rPr>
            <sz val="9"/>
            <color indexed="81"/>
            <rFont val="Tahoma"/>
            <family val="2"/>
          </rPr>
          <t xml:space="preserve">Includes:
$15,672mn: Cost of Products
$2,122mn: Cost of services
</t>
        </r>
      </text>
    </comment>
    <comment ref="X100" authorId="0" shapeId="0" xr:uid="{00000000-0006-0000-0A00-000012000000}">
      <text>
        <r>
          <rPr>
            <sz val="9"/>
            <color indexed="81"/>
            <rFont val="Tahoma"/>
            <family val="2"/>
          </rPr>
          <t xml:space="preserve">Includes:
$14,674mn: Cost of Products
$2,241mn: Cost of services
</t>
        </r>
      </text>
    </comment>
    <comment ref="Z100" authorId="0" shapeId="0" xr:uid="{00000000-0006-0000-0A00-000013000000}">
      <text>
        <r>
          <rPr>
            <sz val="9"/>
            <color indexed="81"/>
            <rFont val="Tahoma"/>
            <family val="2"/>
          </rPr>
          <t xml:space="preserve">Includes:
$62,877mn: Cost of Products
$9,154mn: Cost of services
</t>
        </r>
      </text>
    </comment>
    <comment ref="AA100" authorId="0" shapeId="0" xr:uid="{00000000-0006-0000-0A00-000014000000}">
      <text>
        <r>
          <rPr>
            <sz val="9"/>
            <color indexed="81"/>
            <rFont val="Tahoma"/>
            <family val="2"/>
          </rPr>
          <t xml:space="preserve">Includes:
$14,713mn: Cost of Products
$2,043mn: Cost of services
</t>
        </r>
      </text>
    </comment>
    <comment ref="AB100" authorId="0" shapeId="0" xr:uid="{00000000-0006-0000-0A00-000015000000}">
      <text>
        <r>
          <rPr>
            <sz val="9"/>
            <color indexed="81"/>
            <rFont val="Tahoma"/>
            <family val="2"/>
          </rPr>
          <t xml:space="preserve">Includes:
$10,378mn: Cost of Products
$2,589mn: Cost of services
</t>
        </r>
      </text>
    </comment>
    <comment ref="AC100" authorId="0" shapeId="0" xr:uid="{00000000-0006-0000-0A00-000016000000}">
      <text>
        <r>
          <rPr>
            <sz val="9"/>
            <color indexed="81"/>
            <rFont val="Tahoma"/>
            <family val="2"/>
          </rPr>
          <t xml:space="preserve">Includes:
$10,910mn: Cost of Products
$2,185mn: Cost of services
</t>
        </r>
      </text>
    </comment>
    <comment ref="AF100" authorId="0" shapeId="0" xr:uid="{00000000-0006-0000-0A00-000017000000}">
      <text>
        <r>
          <rPr>
            <sz val="9"/>
            <color indexed="81"/>
            <rFont val="Tahoma"/>
            <family val="2"/>
          </rPr>
          <t xml:space="preserve">Includes:
$11,632mn: Cost of Products
$2,167mn: Cost of services
</t>
        </r>
      </text>
    </comment>
    <comment ref="AK100" authorId="0" shapeId="0" xr:uid="{00000000-0006-0000-0A00-000018000000}">
      <text>
        <r>
          <rPr>
            <sz val="9"/>
            <color indexed="81"/>
            <rFont val="Tahoma"/>
            <family val="2"/>
          </rPr>
          <t xml:space="preserve">Includes:
$11,427mn: Cost of Products
$2,564mn: Cost of services
</t>
        </r>
      </text>
    </comment>
    <comment ref="B128" authorId="0" shapeId="0" xr:uid="{00000000-0006-0000-0A00-000019000000}">
      <text>
        <r>
          <rPr>
            <sz val="9"/>
            <color indexed="81"/>
            <rFont val="Tahoma"/>
            <family val="2"/>
          </rPr>
          <t>$0.1 per share - Unallocated Pension/Postretirement Expense (net of tax)</t>
        </r>
      </text>
    </comment>
    <comment ref="G128" authorId="0" shapeId="0" xr:uid="{00000000-0006-0000-0A00-00001A000000}">
      <text>
        <r>
          <rPr>
            <sz val="9"/>
            <color indexed="81"/>
            <rFont val="Tahoma"/>
            <family val="2"/>
          </rPr>
          <t>$0.05 per share: Provision for deferred income taxes on adjustment</t>
        </r>
      </text>
    </comment>
    <comment ref="H128" authorId="0" shapeId="0" xr:uid="{00000000-0006-0000-0A00-00001B000000}">
      <text>
        <r>
          <rPr>
            <sz val="9"/>
            <color indexed="81"/>
            <rFont val="Tahoma"/>
            <family val="2"/>
          </rPr>
          <t>$0.04 per share: Provision for deferred income taxes on adjustment</t>
        </r>
      </text>
    </comment>
    <comment ref="I128" authorId="0" shapeId="0" xr:uid="{00000000-0006-0000-0A00-00001C000000}">
      <text>
        <r>
          <rPr>
            <sz val="9"/>
            <color indexed="81"/>
            <rFont val="Tahoma"/>
            <family val="2"/>
          </rPr>
          <t>$0.05 per share: Provision for deferred income taxes on adjustment</t>
        </r>
      </text>
    </comment>
    <comment ref="K128" authorId="0" shapeId="0" xr:uid="{00000000-0006-0000-0A00-00001D000000}">
      <text>
        <r>
          <rPr>
            <sz val="9"/>
            <color indexed="81"/>
            <rFont val="Tahoma"/>
            <family val="2"/>
          </rPr>
          <t>$0.05 per share: Provision for deferred income taxes on adjustment</t>
        </r>
      </text>
    </comment>
    <comment ref="B146" authorId="0" shapeId="0" xr:uid="{00000000-0006-0000-0A00-00001E000000}">
      <text>
        <r>
          <rPr>
            <sz val="9"/>
            <color indexed="81"/>
            <rFont val="Tahoma"/>
            <family val="2"/>
          </rPr>
          <t xml:space="preserve">The accounting quantity for the 777X will be determined in the year of first airplane delivery.
</t>
        </r>
      </text>
    </comment>
    <comment ref="F146" authorId="0" shapeId="0" xr:uid="{00000000-0006-0000-0A00-00001F000000}">
      <text>
        <r>
          <rPr>
            <sz val="9"/>
            <color indexed="81"/>
            <rFont val="Tahoma"/>
            <family val="2"/>
          </rPr>
          <t xml:space="preserve">The accounting quantity for the 777X will be determined in the year of first airplane delivery.
</t>
        </r>
      </text>
    </comment>
    <comment ref="G146" authorId="0" shapeId="0" xr:uid="{00000000-0006-0000-0A00-000020000000}">
      <text>
        <r>
          <rPr>
            <sz val="9"/>
            <color indexed="81"/>
            <rFont val="Tahoma"/>
            <family val="2"/>
          </rPr>
          <t xml:space="preserve">The accounting quantity for the 777X will be determined in the year of first airplane delivery.
</t>
        </r>
      </text>
    </comment>
    <comment ref="K146" authorId="0" shapeId="0" xr:uid="{00000000-0006-0000-0A00-000021000000}">
      <text>
        <r>
          <rPr>
            <sz val="9"/>
            <color indexed="81"/>
            <rFont val="Tahoma"/>
            <family val="2"/>
          </rPr>
          <t xml:space="preserve">The accounting quantity for the 777X will be determined in the year of first airplane delivery.
</t>
        </r>
      </text>
    </comment>
    <comment ref="L146" authorId="0" shapeId="0" xr:uid="{00000000-0006-0000-0A00-000022000000}">
      <text>
        <r>
          <rPr>
            <sz val="9"/>
            <color indexed="81"/>
            <rFont val="Tahoma"/>
            <family val="2"/>
          </rPr>
          <t xml:space="preserve">The accounting quantity for the 777X will be determined in the year of first airplane delivery.
</t>
        </r>
      </text>
    </comment>
    <comment ref="P146" authorId="0" shapeId="0" xr:uid="{00000000-0006-0000-0A00-000023000000}">
      <text>
        <r>
          <rPr>
            <sz val="9"/>
            <color indexed="81"/>
            <rFont val="Tahoma"/>
            <family val="2"/>
          </rPr>
          <t xml:space="preserve">The accounting quantity for the 777X will be determined in the year of first airplane delivery.
</t>
        </r>
      </text>
    </comment>
    <comment ref="Q146" authorId="0" shapeId="0" xr:uid="{00000000-0006-0000-0A00-000024000000}">
      <text>
        <r>
          <rPr>
            <sz val="9"/>
            <color indexed="81"/>
            <rFont val="Tahoma"/>
            <family val="2"/>
          </rPr>
          <t xml:space="preserve">The accounting quantity for the 777X will be determined in the year of first airplane delivery.
</t>
        </r>
      </text>
    </comment>
    <comment ref="U146" authorId="0" shapeId="0" xr:uid="{00000000-0006-0000-0A00-000025000000}">
      <text>
        <r>
          <rPr>
            <sz val="9"/>
            <color indexed="81"/>
            <rFont val="Tahoma"/>
            <family val="2"/>
          </rPr>
          <t xml:space="preserve">The accounting quantity for the 777X will be determined in the year of first airplane delivery.
</t>
        </r>
      </text>
    </comment>
    <comment ref="V146" authorId="0" shapeId="0" xr:uid="{00000000-0006-0000-0A00-000026000000}">
      <text>
        <r>
          <rPr>
            <sz val="9"/>
            <color indexed="81"/>
            <rFont val="Tahoma"/>
            <family val="2"/>
          </rPr>
          <t xml:space="preserve">The accounting quantity for the 777X will be determined in the year of first airplane delivery.
</t>
        </r>
      </text>
    </comment>
    <comment ref="Z146" authorId="0" shapeId="0" xr:uid="{00000000-0006-0000-0A00-000027000000}">
      <text>
        <r>
          <rPr>
            <sz val="9"/>
            <color indexed="81"/>
            <rFont val="Tahoma"/>
            <family val="2"/>
          </rPr>
          <t xml:space="preserve">The accounting quantity for the 777X will be determined in the year of first airplane delivery.
</t>
        </r>
      </text>
    </comment>
    <comment ref="AA146" authorId="0" shapeId="0" xr:uid="{00000000-0006-0000-0A00-000028000000}">
      <text>
        <r>
          <rPr>
            <sz val="9"/>
            <color indexed="81"/>
            <rFont val="Tahoma"/>
            <family val="2"/>
          </rPr>
          <t xml:space="preserve">The accounting quantity for the 777X will be determined in the year of first airplane delivery.
</t>
        </r>
      </text>
    </comment>
    <comment ref="AB146" authorId="0" shapeId="0" xr:uid="{00000000-0006-0000-0A00-000029000000}">
      <text>
        <r>
          <rPr>
            <sz val="9"/>
            <color indexed="81"/>
            <rFont val="Tahoma"/>
            <family val="2"/>
          </rPr>
          <t xml:space="preserve">The accounting quantity for the 777X will be determined in the year of first airplane delivery.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Poddar, Harsh (Research)</author>
    <author>Tammannavar, Sunil (Research)</author>
  </authors>
  <commentList>
    <comment ref="E14" authorId="0" shapeId="0" xr:uid="{00000000-0006-0000-0B00-000001000000}">
      <text>
        <r>
          <rPr>
            <sz val="9"/>
            <color indexed="81"/>
            <rFont val="Tahoma"/>
            <family val="2"/>
          </rPr>
          <t>Income taxes receivable</t>
        </r>
      </text>
    </comment>
    <comment ref="B21" authorId="0" shapeId="0" xr:uid="{00000000-0006-0000-0B00-000002000000}">
      <text>
        <r>
          <rPr>
            <sz val="9"/>
            <color indexed="81"/>
            <rFont val="Tahoma"/>
            <family val="2"/>
          </rPr>
          <t>Includes:
$1,415m: Acquired intangibles
$390m: Accumulated amortization</t>
        </r>
      </text>
    </comment>
    <comment ref="C21" authorId="0" shapeId="0" xr:uid="{00000000-0006-0000-0B00-000003000000}">
      <text>
        <r>
          <rPr>
            <sz val="9"/>
            <color indexed="81"/>
            <rFont val="Tahoma"/>
            <family val="2"/>
          </rPr>
          <t>Includes:
$1,449m: Acquired intangibles
$672m: Accumulated amortization</t>
        </r>
      </text>
    </comment>
    <comment ref="B24" authorId="0" shapeId="0" xr:uid="{00000000-0006-0000-0B00-000004000000}">
      <text>
        <r>
          <rPr>
            <sz val="9"/>
            <color indexed="81"/>
            <rFont val="Tahoma"/>
            <family val="2"/>
          </rPr>
          <t>Includes:
$4,845m: Prepaid pension expense</t>
        </r>
      </text>
    </comment>
    <comment ref="C24" authorId="0" shapeId="0" xr:uid="{00000000-0006-0000-0B00-000005000000}">
      <text>
        <r>
          <rPr>
            <sz val="9"/>
            <color indexed="81"/>
            <rFont val="Tahoma"/>
            <family val="2"/>
          </rPr>
          <t>Includes:
$5,838m: Prepaid pension expense</t>
        </r>
      </text>
    </comment>
    <comment ref="D24" authorId="0" shapeId="0" xr:uid="{00000000-0006-0000-0B00-000006000000}">
      <text>
        <r>
          <rPr>
            <sz val="9"/>
            <color indexed="81"/>
            <rFont val="Tahoma"/>
            <family val="2"/>
          </rPr>
          <t>Includes:
$6,671m: Prepaid pension expense</t>
        </r>
      </text>
    </comment>
    <comment ref="E24" authorId="0" shapeId="0" xr:uid="{00000000-0006-0000-0B00-000007000000}">
      <text>
        <r>
          <rPr>
            <sz val="9"/>
            <color indexed="81"/>
            <rFont val="Tahoma"/>
            <family val="2"/>
          </rPr>
          <t>Includes:
$8,542m: Prepaid pension expense</t>
        </r>
      </text>
    </comment>
    <comment ref="F24" authorId="0" shapeId="0" xr:uid="{00000000-0006-0000-0B00-000008000000}">
      <text>
        <r>
          <rPr>
            <sz val="9"/>
            <color indexed="81"/>
            <rFont val="Tahoma"/>
            <family val="2"/>
          </rPr>
          <t>Includes:
$12,588m: Prepaid pension expense</t>
        </r>
      </text>
    </comment>
    <comment ref="G24" authorId="0" shapeId="0" xr:uid="{00000000-0006-0000-0B00-000009000000}">
      <text>
        <r>
          <rPr>
            <sz val="9"/>
            <color indexed="81"/>
            <rFont val="Tahoma"/>
            <family val="2"/>
          </rPr>
          <t>Includes:
$13,251m: Prepaid pension expense</t>
        </r>
      </text>
    </comment>
    <comment ref="I24" authorId="0" shapeId="0" xr:uid="{00000000-0006-0000-0B00-00000A000000}">
      <text>
        <r>
          <rPr>
            <sz val="9"/>
            <color indexed="81"/>
            <rFont val="Tahoma"/>
            <family val="2"/>
          </rPr>
          <t>Includes:
$5,924m: Pension plan assets, net</t>
        </r>
      </text>
    </comment>
    <comment ref="J24" authorId="0" shapeId="0" xr:uid="{00000000-0006-0000-0B00-00000B000000}">
      <text>
        <r>
          <rPr>
            <sz val="9"/>
            <color indexed="81"/>
            <rFont val="Tahoma"/>
            <family val="2"/>
          </rPr>
          <t>Includes:
$16m: Pension plan assets, net</t>
        </r>
      </text>
    </comment>
    <comment ref="K24" authorId="0" shapeId="0" xr:uid="{00000000-0006-0000-0B00-00000C000000}">
      <text>
        <r>
          <rPr>
            <sz val="9"/>
            <color indexed="81"/>
            <rFont val="Tahoma"/>
            <family val="2"/>
          </rPr>
          <t>Includes:
$16m: Pension plan assets, net</t>
        </r>
      </text>
    </comment>
    <comment ref="L24" authorId="0" shapeId="0" xr:uid="{00000000-0006-0000-0B00-00000D000000}">
      <text>
        <r>
          <rPr>
            <sz val="9"/>
            <color indexed="81"/>
            <rFont val="Tahoma"/>
            <family val="2"/>
          </rPr>
          <t>Includes:
$6m: Pension plan assets, net</t>
        </r>
      </text>
    </comment>
    <comment ref="B33" authorId="0" shapeId="0" xr:uid="{00000000-0006-0000-0B00-00000E000000}">
      <text>
        <r>
          <rPr>
            <sz val="9"/>
            <color indexed="81"/>
            <rFont val="Tahoma"/>
            <family val="2"/>
          </rPr>
          <t>Advances in excess of related costs</t>
        </r>
      </text>
    </comment>
    <comment ref="C33" authorId="0" shapeId="0" xr:uid="{00000000-0006-0000-0B00-00000F000000}">
      <text>
        <r>
          <rPr>
            <sz val="9"/>
            <color indexed="81"/>
            <rFont val="Tahoma"/>
            <family val="2"/>
          </rPr>
          <t>Advances in excess of related costs</t>
        </r>
      </text>
    </comment>
    <comment ref="D33" authorId="0" shapeId="0" xr:uid="{00000000-0006-0000-0B00-000010000000}">
      <text>
        <r>
          <rPr>
            <sz val="9"/>
            <color indexed="81"/>
            <rFont val="Tahoma"/>
            <family val="2"/>
          </rPr>
          <t>Advances in excess of related costs</t>
        </r>
      </text>
    </comment>
    <comment ref="E33" authorId="0" shapeId="0" xr:uid="{00000000-0006-0000-0B00-000011000000}">
      <text>
        <r>
          <rPr>
            <sz val="9"/>
            <color indexed="81"/>
            <rFont val="Tahoma"/>
            <family val="2"/>
          </rPr>
          <t>Advances in excess of related costs</t>
        </r>
      </text>
    </comment>
    <comment ref="F33" authorId="0" shapeId="0" xr:uid="{00000000-0006-0000-0B00-000012000000}">
      <text>
        <r>
          <rPr>
            <sz val="9"/>
            <color indexed="81"/>
            <rFont val="Tahoma"/>
            <family val="2"/>
          </rPr>
          <t>Advances in excess of related costs</t>
        </r>
      </text>
    </comment>
    <comment ref="G33" authorId="0" shapeId="0" xr:uid="{00000000-0006-0000-0B00-000013000000}">
      <text>
        <r>
          <rPr>
            <sz val="9"/>
            <color indexed="81"/>
            <rFont val="Tahoma"/>
            <family val="2"/>
          </rPr>
          <t>Advances and billings in excess of related costs</t>
        </r>
      </text>
    </comment>
    <comment ref="H33" authorId="0" shapeId="0" xr:uid="{00000000-0006-0000-0B00-000014000000}">
      <text>
        <r>
          <rPr>
            <sz val="9"/>
            <color indexed="81"/>
            <rFont val="Tahoma"/>
            <family val="2"/>
          </rPr>
          <t>Advances and billings in excess of related costs</t>
        </r>
      </text>
    </comment>
    <comment ref="I33" authorId="0" shapeId="0" xr:uid="{00000000-0006-0000-0B00-000015000000}">
      <text>
        <r>
          <rPr>
            <sz val="9"/>
            <color indexed="81"/>
            <rFont val="Tahoma"/>
            <family val="2"/>
          </rPr>
          <t>Advances and billings in excess of related costs</t>
        </r>
      </text>
    </comment>
    <comment ref="J33" authorId="0" shapeId="0" xr:uid="{00000000-0006-0000-0B00-000016000000}">
      <text>
        <r>
          <rPr>
            <sz val="9"/>
            <color indexed="81"/>
            <rFont val="Tahoma"/>
            <family val="2"/>
          </rPr>
          <t>Advances and billings in excess of related costs</t>
        </r>
      </text>
    </comment>
    <comment ref="K33" authorId="0" shapeId="0" xr:uid="{00000000-0006-0000-0B00-000017000000}">
      <text>
        <r>
          <rPr>
            <sz val="9"/>
            <color indexed="81"/>
            <rFont val="Tahoma"/>
            <family val="2"/>
          </rPr>
          <t>Advances and billings in excess of related costs</t>
        </r>
      </text>
    </comment>
    <comment ref="L33" authorId="0" shapeId="0" xr:uid="{00000000-0006-0000-0B00-000018000000}">
      <text>
        <r>
          <rPr>
            <sz val="9"/>
            <color indexed="81"/>
            <rFont val="Tahoma"/>
            <family val="2"/>
          </rPr>
          <t>Advances and billings in excess of related costs</t>
        </r>
      </text>
    </comment>
    <comment ref="M33" authorId="0" shapeId="0" xr:uid="{00000000-0006-0000-0B00-000019000000}">
      <text>
        <r>
          <rPr>
            <sz val="9"/>
            <color indexed="81"/>
            <rFont val="Tahoma"/>
            <family val="2"/>
          </rPr>
          <t>Advances and billings in excess of related costs</t>
        </r>
      </text>
    </comment>
    <comment ref="N33" authorId="0" shapeId="0" xr:uid="{00000000-0006-0000-0B00-00001A000000}">
      <text>
        <r>
          <rPr>
            <sz val="9"/>
            <color indexed="81"/>
            <rFont val="Tahoma"/>
            <family val="2"/>
          </rPr>
          <t>Advances and billings in excess of related costs</t>
        </r>
      </text>
    </comment>
    <comment ref="O33" authorId="0" shapeId="0" xr:uid="{00000000-0006-0000-0B00-00001B000000}">
      <text>
        <r>
          <rPr>
            <sz val="9"/>
            <color indexed="81"/>
            <rFont val="Tahoma"/>
            <family val="2"/>
          </rPr>
          <t>Advances and billings in excess of related costs</t>
        </r>
      </text>
    </comment>
    <comment ref="P33" authorId="0" shapeId="0" xr:uid="{00000000-0006-0000-0B00-00001C000000}">
      <text>
        <r>
          <rPr>
            <sz val="9"/>
            <color indexed="81"/>
            <rFont val="Tahoma"/>
            <family val="2"/>
          </rPr>
          <t>Advances and billings in excess of related costs</t>
        </r>
      </text>
    </comment>
    <comment ref="C45" authorId="0" shapeId="0" xr:uid="{00000000-0006-0000-0B00-00001D000000}">
      <text>
        <r>
          <rPr>
            <sz val="9"/>
            <color indexed="81"/>
            <rFont val="Tahoma"/>
            <family val="2"/>
          </rPr>
          <t>Includes:
$622m: Deferred lease income</t>
        </r>
      </text>
    </comment>
    <comment ref="D45" authorId="0" shapeId="0" xr:uid="{00000000-0006-0000-0B00-00001E000000}">
      <text>
        <r>
          <rPr>
            <sz val="9"/>
            <color indexed="81"/>
            <rFont val="Tahoma"/>
            <family val="2"/>
          </rPr>
          <t>Includes:
$542m: Deferred lease income</t>
        </r>
      </text>
    </comment>
    <comment ref="E45" authorId="0" shapeId="0" xr:uid="{00000000-0006-0000-0B00-00001F000000}">
      <text>
        <r>
          <rPr>
            <sz val="9"/>
            <color indexed="81"/>
            <rFont val="Tahoma"/>
            <family val="2"/>
          </rPr>
          <t>Includes:
$775m: Deferred lease income</t>
        </r>
      </text>
    </comment>
    <comment ref="F45" authorId="0" shapeId="0" xr:uid="{00000000-0006-0000-0B00-000020000000}">
      <text>
        <r>
          <rPr>
            <sz val="9"/>
            <color indexed="81"/>
            <rFont val="Tahoma"/>
            <family val="2"/>
          </rPr>
          <t>Includes:
$745m: Deferred lease income</t>
        </r>
      </text>
    </comment>
    <comment ref="G45" authorId="0" shapeId="0" xr:uid="{00000000-0006-0000-0B00-000021000000}">
      <text>
        <r>
          <rPr>
            <sz val="9"/>
            <color indexed="81"/>
            <rFont val="Tahoma"/>
            <family val="2"/>
          </rPr>
          <t>Includes:
$269m: Deferred lease income</t>
        </r>
      </text>
    </comment>
    <comment ref="B57" authorId="1" shapeId="0" xr:uid="{00000000-0006-0000-0B00-000022000000}">
      <text>
        <r>
          <rPr>
            <sz val="9"/>
            <color indexed="81"/>
            <rFont val="Tahoma"/>
            <family val="2"/>
          </rPr>
          <t>Includes Unearned Compensation of $7m</t>
        </r>
      </text>
    </comment>
    <comment ref="C57" authorId="1" shapeId="0" xr:uid="{00000000-0006-0000-0B00-000023000000}">
      <text>
        <r>
          <rPr>
            <sz val="9"/>
            <color indexed="81"/>
            <rFont val="Tahoma"/>
            <family val="2"/>
          </rPr>
          <t>Includes Unearned Compensation of $3m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Brenes, Miguel (Research)</author>
    <author>Poddar, Harsh (Research)</author>
  </authors>
  <commentList>
    <comment ref="BA14" authorId="0" shapeId="0" xr:uid="{32481F19-F8D9-4C7E-A39D-54F10DBD179B}">
      <text>
        <r>
          <rPr>
            <sz val="9"/>
            <color indexed="81"/>
            <rFont val="Tahoma"/>
            <family val="2"/>
          </rPr>
          <t>Includes Assets held for sale</t>
        </r>
      </text>
    </comment>
    <comment ref="B33" authorId="1" shapeId="0" xr:uid="{00000000-0006-0000-0C00-000001000000}">
      <text>
        <r>
          <rPr>
            <sz val="9"/>
            <color indexed="81"/>
            <rFont val="Tahoma"/>
            <family val="2"/>
          </rPr>
          <t>Advances and billings in excess of related costs</t>
        </r>
      </text>
    </comment>
    <comment ref="C33" authorId="1" shapeId="0" xr:uid="{00000000-0006-0000-0C00-000002000000}">
      <text>
        <r>
          <rPr>
            <sz val="9"/>
            <color indexed="81"/>
            <rFont val="Tahoma"/>
            <family val="2"/>
          </rPr>
          <t>Advances and billings in excess of related costs</t>
        </r>
      </text>
    </comment>
    <comment ref="D33" authorId="1" shapeId="0" xr:uid="{00000000-0006-0000-0C00-000003000000}">
      <text>
        <r>
          <rPr>
            <sz val="9"/>
            <color indexed="81"/>
            <rFont val="Tahoma"/>
            <family val="2"/>
          </rPr>
          <t>Advances and billings in excess of related costs</t>
        </r>
      </text>
    </comment>
    <comment ref="F33" authorId="1" shapeId="0" xr:uid="{00000000-0006-0000-0C00-000004000000}">
      <text>
        <r>
          <rPr>
            <sz val="9"/>
            <color indexed="81"/>
            <rFont val="Tahoma"/>
            <family val="2"/>
          </rPr>
          <t>Advances and billings in excess of related costs</t>
        </r>
      </text>
    </comment>
    <comment ref="G33" authorId="1" shapeId="0" xr:uid="{00000000-0006-0000-0C00-000005000000}">
      <text>
        <r>
          <rPr>
            <sz val="9"/>
            <color indexed="81"/>
            <rFont val="Tahoma"/>
            <family val="2"/>
          </rPr>
          <t>Advances and billings in excess of related costs</t>
        </r>
      </text>
    </comment>
    <comment ref="H33" authorId="1" shapeId="0" xr:uid="{00000000-0006-0000-0C00-000006000000}">
      <text>
        <r>
          <rPr>
            <sz val="9"/>
            <color indexed="81"/>
            <rFont val="Tahoma"/>
            <family val="2"/>
          </rPr>
          <t>Advances and billings in excess of related costs</t>
        </r>
      </text>
    </comment>
    <comment ref="I33" authorId="1" shapeId="0" xr:uid="{00000000-0006-0000-0C00-000007000000}">
      <text>
        <r>
          <rPr>
            <sz val="9"/>
            <color indexed="81"/>
            <rFont val="Tahoma"/>
            <family val="2"/>
          </rPr>
          <t>Advances and billings in excess of related costs</t>
        </r>
      </text>
    </comment>
    <comment ref="K33" authorId="1" shapeId="0" xr:uid="{00000000-0006-0000-0C00-000008000000}">
      <text>
        <r>
          <rPr>
            <sz val="9"/>
            <color indexed="81"/>
            <rFont val="Tahoma"/>
            <family val="2"/>
          </rPr>
          <t>Advances and billings in excess of related costs</t>
        </r>
      </text>
    </comment>
    <comment ref="L33" authorId="1" shapeId="0" xr:uid="{00000000-0006-0000-0C00-000009000000}">
      <text>
        <r>
          <rPr>
            <sz val="9"/>
            <color indexed="81"/>
            <rFont val="Tahoma"/>
            <family val="2"/>
          </rPr>
          <t>Advances and billings in excess of related costs</t>
        </r>
      </text>
    </comment>
    <comment ref="M33" authorId="1" shapeId="0" xr:uid="{00000000-0006-0000-0C00-00000A000000}">
      <text>
        <r>
          <rPr>
            <sz val="9"/>
            <color indexed="81"/>
            <rFont val="Tahoma"/>
            <family val="2"/>
          </rPr>
          <t>Advances and billings in excess of related costs</t>
        </r>
      </text>
    </comment>
    <comment ref="N33" authorId="1" shapeId="0" xr:uid="{00000000-0006-0000-0C00-00000B000000}">
      <text>
        <r>
          <rPr>
            <sz val="9"/>
            <color indexed="81"/>
            <rFont val="Tahoma"/>
            <family val="2"/>
          </rPr>
          <t>Advances and billings in excess of related costs</t>
        </r>
      </text>
    </comment>
    <comment ref="P33" authorId="1" shapeId="0" xr:uid="{00000000-0006-0000-0C00-00000C000000}">
      <text>
        <r>
          <rPr>
            <sz val="9"/>
            <color indexed="81"/>
            <rFont val="Tahoma"/>
            <family val="2"/>
          </rPr>
          <t>Advances and billings in excess of related costs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Poddar, Harsh (Research)</author>
    <author>Tammannavar, Sunil (Research)</author>
    <author>Holcomb, Jason T (Research)</author>
    <author>K, Hemalatha (Research)</author>
  </authors>
  <commentList>
    <comment ref="B5" authorId="0" shapeId="0" xr:uid="{00000000-0006-0000-0D00-000001000000}">
      <text>
        <r>
          <rPr>
            <sz val="9"/>
            <color indexed="81"/>
            <rFont val="Tahoma"/>
            <family val="2"/>
          </rPr>
          <t>Includes:
$1,317m: Depreciation
$162m: Amortization of goodwill and intangibles</t>
        </r>
      </text>
    </comment>
    <comment ref="C5" authorId="0" shapeId="0" xr:uid="{00000000-0006-0000-0D00-000002000000}">
      <text>
        <r>
          <rPr>
            <sz val="9"/>
            <color indexed="81"/>
            <rFont val="Tahoma"/>
            <family val="2"/>
          </rPr>
          <t>Includes:
$1,441m: Depreciation
$302m: Amortization of acquired intangible assets</t>
        </r>
      </text>
    </comment>
    <comment ref="D5" authorId="0" shapeId="0" xr:uid="{00000000-0006-0000-0D00-000003000000}">
      <text>
        <r>
          <rPr>
            <sz val="9"/>
            <color indexed="81"/>
            <rFont val="Tahoma"/>
            <family val="2"/>
          </rPr>
          <t>Includes:
$1,409m: Depreciation
$88m: Amortization of acquired intangible assets</t>
        </r>
      </text>
    </comment>
    <comment ref="E5" authorId="0" shapeId="0" xr:uid="{00000000-0006-0000-0D00-000004000000}">
      <text>
        <r>
          <rPr>
            <sz val="9"/>
            <color indexed="81"/>
            <rFont val="Tahoma"/>
            <family val="2"/>
          </rPr>
          <t>Includes:
$1,306m: Depreciation
$94m: Amortization of acquired intangible assets</t>
        </r>
      </text>
    </comment>
    <comment ref="F5" authorId="0" shapeId="0" xr:uid="{00000000-0006-0000-0D00-000005000000}">
      <text>
        <r>
          <rPr>
            <sz val="9"/>
            <color indexed="81"/>
            <rFont val="Tahoma"/>
            <family val="2"/>
          </rPr>
          <t>Includes:
$1,412m: Depreciation
$97m: Amortization of acquired intangible assets</t>
        </r>
      </text>
    </comment>
    <comment ref="G5" authorId="0" shapeId="0" xr:uid="{00000000-0006-0000-0D00-000006000000}">
      <text>
        <r>
          <rPr>
            <sz val="9"/>
            <color indexed="81"/>
            <rFont val="Tahoma"/>
            <family val="2"/>
          </rPr>
          <t>Includes:
$1,412m: Depreciation
$91m: Amortization of acquired intangible assets</t>
        </r>
      </text>
    </comment>
    <comment ref="H5" authorId="0" shapeId="0" xr:uid="{00000000-0006-0000-0D00-000007000000}">
      <text>
        <r>
          <rPr>
            <sz val="9"/>
            <color indexed="81"/>
            <rFont val="Tahoma"/>
            <family val="2"/>
          </rPr>
          <t>Includes:
$1,445m: Depreciation
$100m: Amortization of acquired intangible assets</t>
        </r>
      </text>
    </comment>
    <comment ref="I5" authorId="0" shapeId="0" xr:uid="{00000000-0006-0000-0D00-000008000000}">
      <text>
        <r>
          <rPr>
            <sz val="9"/>
            <color indexed="81"/>
            <rFont val="Tahoma"/>
            <family val="2"/>
          </rPr>
          <t>Includes:
$1,334m: Depreciation
$152m: Amortization of acquired intangible assets</t>
        </r>
      </text>
    </comment>
    <comment ref="J5" authorId="0" shapeId="0" xr:uid="{00000000-0006-0000-0D00-000009000000}">
      <text>
        <r>
          <rPr>
            <sz val="9"/>
            <color indexed="81"/>
            <rFont val="Tahoma"/>
            <family val="2"/>
          </rPr>
          <t>Includes:
$1,325m: Depreciation
$166m: Amortization of acquired intangible assets</t>
        </r>
      </text>
    </comment>
    <comment ref="K5" authorId="0" shapeId="0" xr:uid="{00000000-0006-0000-0D00-00000A000000}">
      <text>
        <r>
          <rPr>
            <sz val="9"/>
            <color indexed="81"/>
            <rFont val="Tahoma"/>
            <family val="2"/>
          </rPr>
          <t>Includes:
$1,459m: Depreciation
$207m: Amortization of acquired intangible assets</t>
        </r>
      </text>
    </comment>
    <comment ref="L5" authorId="0" shapeId="0" xr:uid="{00000000-0006-0000-0D00-00000B000000}">
      <text>
        <r>
          <rPr>
            <sz val="9"/>
            <color indexed="81"/>
            <rFont val="Tahoma"/>
            <family val="2"/>
          </rPr>
          <t>Includes:
$1,510m: Depreciation
$217m: Amortization of acquired intangible assets</t>
        </r>
      </text>
    </comment>
    <comment ref="B13" authorId="1" shapeId="0" xr:uid="{00000000-0006-0000-0D00-00000C000000}">
      <text>
        <r>
          <rPr>
            <sz val="9"/>
            <color indexed="81"/>
            <rFont val="Tahoma"/>
            <family val="2"/>
          </rPr>
          <t>In-Process Research and Development</t>
        </r>
      </text>
    </comment>
    <comment ref="C13" authorId="0" shapeId="0" xr:uid="{00000000-0006-0000-0D00-00000D000000}">
      <text>
        <r>
          <rPr>
            <sz val="9"/>
            <color indexed="81"/>
            <rFont val="Tahoma"/>
            <family val="2"/>
          </rPr>
          <t>$1m : Cumulative effect of accounting change, net
$9m: Amortization of debt discount/premium and issuance costs</t>
        </r>
      </text>
    </comment>
    <comment ref="D13" authorId="0" shapeId="0" xr:uid="{00000000-0006-0000-0D00-00000E000000}">
      <text>
        <r>
          <rPr>
            <sz val="9"/>
            <color indexed="81"/>
            <rFont val="Tahoma"/>
            <family val="2"/>
          </rPr>
          <t>Includes:
$12m: Amortization of debt discount/premium and issuance costs
$2,410mn: Goodwill Impairment</t>
        </r>
      </text>
    </comment>
    <comment ref="E13" authorId="0" shapeId="0" xr:uid="{00000000-0006-0000-0D00-00000F000000}">
      <text>
        <r>
          <rPr>
            <sz val="9"/>
            <color indexed="81"/>
            <rFont val="Tahoma"/>
            <family val="2"/>
          </rPr>
          <t>Includes:
$18m: Amortization of debt discount/premium and issuance costs
$63m: Non-Cash Adjustments Relating to Discontinued Operations
$913mn: Goodwill Impairment</t>
        </r>
      </text>
    </comment>
    <comment ref="F13" authorId="0" shapeId="0" xr:uid="{00000000-0006-0000-0D00-000010000000}">
      <text>
        <r>
          <rPr>
            <sz val="9"/>
            <color indexed="81"/>
            <rFont val="Tahoma"/>
            <family val="2"/>
          </rPr>
          <t>Includes:
$15m: Amortization of debt discount/premium and issuance costs
$15m: Non-Cash Adjustments Relating to Discontinued Operations
$3mn: Goodwill Impairment</t>
        </r>
      </text>
    </comment>
    <comment ref="G13" authorId="0" shapeId="0" xr:uid="{00000000-0006-0000-0D00-000011000000}">
      <text>
        <r>
          <rPr>
            <sz val="9"/>
            <color indexed="81"/>
            <rFont val="Tahoma"/>
            <family val="2"/>
          </rPr>
          <t>Includes:
$23m: Amortization of debt discount/premium and issuance costs</t>
        </r>
      </text>
    </comment>
    <comment ref="H13" authorId="0" shapeId="0" xr:uid="{00000000-0006-0000-0D00-000012000000}">
      <text>
        <r>
          <rPr>
            <sz val="9"/>
            <color indexed="81"/>
            <rFont val="Tahoma"/>
            <family val="2"/>
          </rPr>
          <t>Includes:
$14m: Amortization of debt discount/premium and issuance costs</t>
        </r>
      </text>
    </comment>
    <comment ref="I13" authorId="0" shapeId="0" xr:uid="{00000000-0006-0000-0D00-000013000000}">
      <text>
        <r>
          <rPr>
            <sz val="9"/>
            <color indexed="81"/>
            <rFont val="Tahoma"/>
            <family val="2"/>
          </rPr>
          <t>Includes:
$1m: Amortization of debt discount/premium and issuance costs</t>
        </r>
      </text>
    </comment>
    <comment ref="J13" authorId="0" shapeId="0" xr:uid="{00000000-0006-0000-0D00-000014000000}">
      <text>
        <r>
          <rPr>
            <sz val="9"/>
            <color indexed="81"/>
            <rFont val="Tahoma"/>
            <family val="2"/>
          </rPr>
          <t>Includes:
$11m: Amortization of debt discount/premium and issuance costs</t>
        </r>
      </text>
    </comment>
    <comment ref="K13" authorId="0" shapeId="0" xr:uid="{00000000-0006-0000-0D00-000015000000}">
      <text>
        <r>
          <rPr>
            <sz val="9"/>
            <color indexed="81"/>
            <rFont val="Tahoma"/>
            <family val="2"/>
          </rPr>
          <t>Includes:
$12m: Amortization of debt discount/premium and issuance costs</t>
        </r>
      </text>
    </comment>
    <comment ref="L13" authorId="0" shapeId="0" xr:uid="{00000000-0006-0000-0D00-000016000000}">
      <text>
        <r>
          <rPr>
            <sz val="9"/>
            <color indexed="81"/>
            <rFont val="Tahoma"/>
            <family val="2"/>
          </rPr>
          <t>Includes:
$19m: Amortization of debt discount/premium and issuance costs</t>
        </r>
      </text>
    </comment>
    <comment ref="Z13" authorId="2" shapeId="0" xr:uid="{7C933ACC-5806-4D86-A4C7-085BF621040B}">
      <text>
        <r>
          <rPr>
            <b/>
            <sz val="9"/>
            <color indexed="81"/>
            <rFont val="Tahoma"/>
            <family val="2"/>
          </rPr>
          <t>Holcomb, Jason T (Research):</t>
        </r>
        <r>
          <rPr>
            <sz val="9"/>
            <color indexed="81"/>
            <rFont val="Tahoma"/>
            <family val="2"/>
          </rPr>
          <t xml:space="preserve">
Treasury shares issued for 401(k) contribution</t>
        </r>
      </text>
    </comment>
    <comment ref="B19" authorId="1" shapeId="0" xr:uid="{00000000-0006-0000-0D00-000017000000}">
      <text>
        <r>
          <rPr>
            <sz val="9"/>
            <color indexed="81"/>
            <rFont val="Tahoma"/>
            <family val="2"/>
          </rPr>
          <t>Short-term investment</t>
        </r>
      </text>
    </comment>
    <comment ref="C24" authorId="0" shapeId="0" xr:uid="{00000000-0006-0000-0D00-000018000000}">
      <text>
        <r>
          <rPr>
            <sz val="9"/>
            <color indexed="81"/>
            <rFont val="Tahoma"/>
            <family val="2"/>
          </rPr>
          <t>Deferred Lease Income</t>
        </r>
      </text>
    </comment>
    <comment ref="D24" authorId="0" shapeId="0" xr:uid="{00000000-0006-0000-0D00-000019000000}">
      <text>
        <r>
          <rPr>
            <sz val="9"/>
            <color indexed="81"/>
            <rFont val="Tahoma"/>
            <family val="2"/>
          </rPr>
          <t>Deferred Lease Income</t>
        </r>
      </text>
    </comment>
    <comment ref="E24" authorId="0" shapeId="0" xr:uid="{00000000-0006-0000-0D00-00001A000000}">
      <text>
        <r>
          <rPr>
            <sz val="9"/>
            <color indexed="81"/>
            <rFont val="Tahoma"/>
            <family val="2"/>
          </rPr>
          <t>Deferred Lease Income</t>
        </r>
      </text>
    </comment>
    <comment ref="F24" authorId="0" shapeId="0" xr:uid="{00000000-0006-0000-0D00-00001B000000}">
      <text>
        <r>
          <rPr>
            <sz val="9"/>
            <color indexed="81"/>
            <rFont val="Tahoma"/>
            <family val="2"/>
          </rPr>
          <t>Deferred Lease Income</t>
        </r>
      </text>
    </comment>
    <comment ref="B25" authorId="0" shapeId="0" xr:uid="{00000000-0006-0000-0D00-00001C000000}">
      <text>
        <r>
          <rPr>
            <sz val="9"/>
            <color indexed="81"/>
            <rFont val="Tahoma"/>
            <family val="2"/>
          </rPr>
          <t>Includes:
$374m: Prepaid Pension Expense
$280m: Accrued Retiree Health Care</t>
        </r>
      </text>
    </comment>
    <comment ref="C25" authorId="0" shapeId="0" xr:uid="{00000000-0006-0000-0D00-00001D000000}">
      <text>
        <r>
          <rPr>
            <sz val="9"/>
            <color indexed="81"/>
            <rFont val="Tahoma"/>
            <family val="2"/>
          </rPr>
          <t>Includes:
$19m: Prepaid Pension Expense
$227m: Accrued Retiree Health Care</t>
        </r>
      </text>
    </comment>
    <comment ref="D25" authorId="0" shapeId="0" xr:uid="{00000000-0006-0000-0D00-00001E000000}">
      <text>
        <r>
          <rPr>
            <sz val="9"/>
            <color indexed="81"/>
            <rFont val="Tahoma"/>
            <family val="2"/>
          </rPr>
          <t>Includes:
$340m: Prepaid Pension Expense
$67m: Accrued Retiree Health Care</t>
        </r>
      </text>
    </comment>
    <comment ref="E25" authorId="0" shapeId="0" xr:uid="{00000000-0006-0000-0D00-00001F000000}">
      <text>
        <r>
          <rPr>
            <sz val="9"/>
            <color indexed="81"/>
            <rFont val="Tahoma"/>
            <family val="2"/>
          </rPr>
          <t>Includes:
$1,728m: Prepaid Pension Expense
$311m: Accrued Retiree Health Care</t>
        </r>
      </text>
    </comment>
    <comment ref="F25" authorId="0" shapeId="0" xr:uid="{00000000-0006-0000-0D00-000020000000}">
      <text>
        <r>
          <rPr>
            <sz val="9"/>
            <color indexed="81"/>
            <rFont val="Tahoma"/>
            <family val="2"/>
          </rPr>
          <t>Includes:
$4,355m: Prepaid Pension Expense
$214m: Accrued Retiree Health Care</t>
        </r>
      </text>
    </comment>
    <comment ref="G25" authorId="0" shapeId="0" xr:uid="{00000000-0006-0000-0D00-000021000000}">
      <text>
        <r>
          <rPr>
            <sz val="9"/>
            <color indexed="81"/>
            <rFont val="Tahoma"/>
            <family val="2"/>
          </rPr>
          <t>Includes:
$1,862m: Prepaid Pension Expense
$30m: Accrued Retiree Health Care</t>
        </r>
      </text>
    </comment>
    <comment ref="H25" authorId="0" shapeId="0" xr:uid="{00000000-0006-0000-0D00-000022000000}">
      <text>
        <r>
          <rPr>
            <sz val="9"/>
            <color indexed="81"/>
            <rFont val="Tahoma"/>
            <family val="2"/>
          </rPr>
          <t>Includes:
$522m: Pension Contributions
$114m: Accrued Retiree Health Care</t>
        </r>
      </text>
    </comment>
    <comment ref="C27" authorId="0" shapeId="0" xr:uid="{00000000-0006-0000-0D00-000023000000}">
      <text>
        <r>
          <rPr>
            <sz val="9"/>
            <color indexed="81"/>
            <rFont val="Tahoma"/>
            <family val="2"/>
          </rPr>
          <t>Goodwill and other acquired intangibles</t>
        </r>
      </text>
    </comment>
    <comment ref="E27" authorId="0" shapeId="0" xr:uid="{00000000-0006-0000-0D00-000024000000}">
      <text>
        <r>
          <rPr>
            <sz val="9"/>
            <color indexed="81"/>
            <rFont val="Tahoma"/>
            <family val="2"/>
          </rPr>
          <t>$3m: Goodwill
$2m: Other acquired intangibles</t>
        </r>
      </text>
    </comment>
    <comment ref="F27" authorId="0" shapeId="0" xr:uid="{00000000-0006-0000-0D00-000025000000}">
      <text>
        <r>
          <rPr>
            <sz val="9"/>
            <color indexed="81"/>
            <rFont val="Tahoma"/>
            <family val="2"/>
          </rPr>
          <t>$3m: Goodwill
$1m: Other acquired intangibles</t>
        </r>
      </text>
    </comment>
    <comment ref="G27" authorId="0" shapeId="0" xr:uid="{00000000-0006-0000-0D00-000026000000}">
      <text>
        <r>
          <rPr>
            <sz val="9"/>
            <color indexed="81"/>
            <rFont val="Tahoma"/>
            <family val="2"/>
          </rPr>
          <t>$11m: Other acquired intangibles</t>
        </r>
      </text>
    </comment>
    <comment ref="F36" authorId="1" shapeId="0" xr:uid="{00000000-0006-0000-0D00-000027000000}">
      <text>
        <r>
          <rPr>
            <sz val="9"/>
            <color indexed="81"/>
            <rFont val="Tahoma"/>
            <family val="2"/>
          </rPr>
          <t>$2,017m: Proceeds from Dispositions of Discontinued Operations</t>
        </r>
      </text>
    </comment>
    <comment ref="G36" authorId="1" shapeId="0" xr:uid="{00000000-0006-0000-0D00-000028000000}">
      <text>
        <r>
          <rPr>
            <sz val="9"/>
            <color indexed="81"/>
            <rFont val="Tahoma"/>
            <family val="2"/>
          </rPr>
          <t>$33m: Proceeds from Dispositions of Discontinued Operations</t>
        </r>
      </text>
    </comment>
    <comment ref="K40" authorId="1" shapeId="0" xr:uid="{00000000-0006-0000-0D00-000029000000}">
      <text>
        <r>
          <rPr>
            <sz val="9"/>
            <color indexed="81"/>
            <rFont val="Tahoma"/>
            <family val="2"/>
          </rPr>
          <t>$448m: Payments on Sea Launch Guarantees
$40m: Reimbursement of Sea Launch Guarantee Payments</t>
        </r>
      </text>
    </comment>
    <comment ref="L40" authorId="1" shapeId="0" xr:uid="{00000000-0006-0000-0D00-00002A000000}">
      <text>
        <r>
          <rPr>
            <sz val="9"/>
            <color indexed="81"/>
            <rFont val="Tahoma"/>
            <family val="2"/>
          </rPr>
          <t>$82m: Reimbursement of Sea Launch Guarantee Payments
$206m: Receipt of Economic Development Program Funds</t>
        </r>
      </text>
    </comment>
    <comment ref="M40" authorId="1" shapeId="0" xr:uid="{00000000-0006-0000-0D00-00002B000000}">
      <text>
        <r>
          <rPr>
            <sz val="9"/>
            <color indexed="81"/>
            <rFont val="Tahoma"/>
            <family val="2"/>
          </rPr>
          <t>$69m: Receipt of Economic Development Program Funds</t>
        </r>
      </text>
    </comment>
    <comment ref="Y70" authorId="3" shapeId="0" xr:uid="{00000000-0006-0000-0D00-00002C000000}">
      <text>
        <r>
          <rPr>
            <sz val="9"/>
            <color indexed="81"/>
            <rFont val="Tahoma"/>
            <family val="2"/>
          </rPr>
          <t>Estimated amortization expenses.
Source: 10-K, FY2019, pg:71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Brenes, Miguel (Research)</author>
    <author>Knafelman, Gaby (Research)</author>
    <author>Holcomb, Jason T (Research)</author>
    <author>Poddar, Harsh (Research)</author>
    <author>K, Hemalatha (Research)</author>
    <author>Singh, Abhishek (Research)</author>
    <author>Tammannavar, Sunil (Research)</author>
    <author>Sanchez, Alvaro (Research)</author>
  </authors>
  <commentList>
    <comment ref="AW13" authorId="0" shapeId="0" xr:uid="{9A2F65F7-E1BB-492B-8429-4FDBF5E91DA7}">
      <text>
        <r>
          <rPr>
            <sz val="9"/>
            <color indexed="81"/>
            <rFont val="Tahoma"/>
            <family val="2"/>
          </rPr>
          <t>Includes "777X and 767 reach-forward losses"</t>
        </r>
      </text>
    </comment>
    <comment ref="AY13" authorId="1" shapeId="0" xr:uid="{09D4F5D5-1E79-4DB2-93A3-788FB5AF4107}">
      <text>
        <r>
          <rPr>
            <sz val="9"/>
            <color indexed="81"/>
            <rFont val="Tahoma"/>
            <family val="2"/>
          </rPr>
          <t>includes 777X and 767 reach-forward losses</t>
        </r>
      </text>
    </comment>
    <comment ref="BD36" authorId="2" shapeId="0" xr:uid="{62891F7C-F86A-476E-9404-B405BE3D5D4B}">
      <text>
        <r>
          <rPr>
            <b/>
            <sz val="9"/>
            <color indexed="81"/>
            <rFont val="Tahoma"/>
            <family val="2"/>
          </rPr>
          <t>On April 22, 2025 BA announced it entered into a definitive agreement to sell portions of its Digital Aviation Solutions business, including its Jeppesen, ForeFlight, AerData and OzRunways assets, to Thoma Bravo, a leading software investment firm. This all-cash transaction is valued at $10.55 billion.The transaction is expected to close by the end of 2025.</t>
        </r>
        <r>
          <rPr>
            <sz val="9"/>
            <color indexed="81"/>
            <rFont val="Tahoma"/>
            <family val="2"/>
          </rPr>
          <t xml:space="preserve">
</t>
        </r>
      </text>
    </comment>
    <comment ref="AY40" authorId="1" shapeId="0" xr:uid="{57F94F03-B362-4E58-AAE3-CA99C5C6E13D}">
      <text>
        <r>
          <rPr>
            <sz val="9"/>
            <color indexed="81"/>
            <rFont val="Tahoma"/>
            <family val="2"/>
          </rPr>
          <t>supplier notes receivable, repayments on supplier notes receivable, purchase of distribution rights, other</t>
        </r>
      </text>
    </comment>
    <comment ref="BK51" authorId="2" shapeId="0" xr:uid="{9C640497-366D-46C0-A103-A9B2CD0C2C9B}">
      <text>
        <r>
          <rPr>
            <b/>
            <sz val="9"/>
            <color indexed="81"/>
            <rFont val="Tahoma"/>
            <family val="2"/>
          </rPr>
          <t>The net proceeds from the Common Stock Offering will be approximately $15.81 billion (assuming the underwriters do not exercise the option to purchase additional shares of Common Stock) 
(i) 112,500,000 shares of common stock, par value $5.00 per share ("Common Stock"), of the Company at a public offering price of $143.00 per share (the "Common Stock Offering")
Boeing has granted the underwriters in each respective offering a 30-day option to purchase up to an additional (i) 16,875,000 shares of Common Stock</t>
        </r>
      </text>
    </comment>
    <comment ref="AY53" authorId="1" shapeId="0" xr:uid="{AE10BE9C-A33F-4D92-95F3-EA419FACE903}">
      <text>
        <r>
          <rPr>
            <sz val="9"/>
            <color indexed="81"/>
            <rFont val="Tahoma"/>
            <family val="2"/>
          </rPr>
          <t>mandatory convertible preferred stock issuance, net of issuance costs</t>
        </r>
      </text>
    </comment>
    <comment ref="L58" authorId="3" shapeId="0" xr:uid="{00000000-0006-0000-0E00-000001000000}">
      <text>
        <r>
          <rPr>
            <sz val="9"/>
            <color indexed="81"/>
            <rFont val="Tahoma"/>
            <family val="2"/>
          </rPr>
          <t>Includes:
$(8,869-8,801)m : Difference between Opening cash as per CFS and BS
$(8,190-8,190)m: Closing cash as per CFS and BS</t>
        </r>
      </text>
    </comment>
    <comment ref="P58" authorId="3" shapeId="0" xr:uid="{00000000-0006-0000-0E00-000002000000}">
      <text>
        <r>
          <rPr>
            <sz val="9"/>
            <color indexed="81"/>
            <rFont val="Tahoma"/>
            <family val="2"/>
          </rPr>
          <t>Includes:
$(8,869-8,801)m : Difference between Opening cash as per CFS and BS
$(8,813-8,813)m: Closing cash as per CFS and BS</t>
        </r>
      </text>
    </comment>
    <comment ref="AE70" authorId="4" shapeId="0" xr:uid="{00000000-0006-0000-0E00-000003000000}">
      <text>
        <r>
          <rPr>
            <sz val="9"/>
            <color indexed="81"/>
            <rFont val="Tahoma"/>
            <family val="2"/>
          </rPr>
          <t>Estimated amortization expenses.
Source: 10-K, FY2019, pg:71</t>
        </r>
      </text>
    </comment>
    <comment ref="AJ70" authorId="4" shapeId="0" xr:uid="{00000000-0006-0000-0E00-000004000000}">
      <text>
        <r>
          <rPr>
            <sz val="9"/>
            <color indexed="81"/>
            <rFont val="Tahoma"/>
            <family val="2"/>
          </rPr>
          <t>Estimated amortization expenses.
Source: 10-K, FY2019, pg:71</t>
        </r>
      </text>
    </comment>
    <comment ref="A71" authorId="5" shapeId="0" xr:uid="{00000000-0006-0000-0E00-000005000000}">
      <text>
        <r>
          <rPr>
            <sz val="9"/>
            <color indexed="81"/>
            <rFont val="Tahoma"/>
            <family val="2"/>
          </rPr>
          <t>Includes Amortization of other assets and Depreciation of Capital Leases.</t>
        </r>
      </text>
    </comment>
    <comment ref="AA84" authorId="6" shapeId="0" xr:uid="{00000000-0006-0000-0E00-000006000000}">
      <text>
        <r>
          <rPr>
            <sz val="9"/>
            <color indexed="81"/>
            <rFont val="Tahoma"/>
            <family val="2"/>
          </rPr>
          <t>In March 2020, the Company announced that our dividend will be suspended until further notice.</t>
        </r>
      </text>
    </comment>
    <comment ref="AH84" authorId="7" shapeId="0" xr:uid="{00000000-0006-0000-0E00-000007000000}">
      <text>
        <r>
          <rPr>
            <b/>
            <sz val="9"/>
            <color indexed="81"/>
            <rFont val="Tahoma"/>
            <family val="2"/>
          </rPr>
          <t>Sanchez, Alvaro (Research):</t>
        </r>
        <r>
          <rPr>
            <sz val="9"/>
            <color indexed="81"/>
            <rFont val="Tahoma"/>
            <family val="2"/>
          </rPr>
          <t xml:space="preserve">
During 2020, our Board of Directors terminated its prior authorization to repurchase shares of the Company’s outstanding common stock and suspended the declaration and/or payment of dividends until further notice</t>
        </r>
      </text>
    </comment>
    <comment ref="AM84" authorId="7" shapeId="0" xr:uid="{00000000-0006-0000-0E00-000008000000}">
      <text>
        <r>
          <rPr>
            <b/>
            <sz val="9"/>
            <color indexed="81"/>
            <rFont val="Tahoma"/>
            <family val="2"/>
          </rPr>
          <t>Sanchez, Alvaro (Research):</t>
        </r>
        <r>
          <rPr>
            <sz val="9"/>
            <color indexed="81"/>
            <rFont val="Tahoma"/>
            <family val="2"/>
          </rPr>
          <t xml:space="preserve">
During 2020, our Board of Directors terminated its prior authorization to repurchase shares of the Company’s outstanding common stock and suspended the declaration and/or payment of dividends until further notice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Singh, Abhishek (Research)</author>
  </authors>
  <commentList>
    <comment ref="Y8" authorId="0" shapeId="0" xr:uid="{00000000-0006-0000-0F00-000001000000}">
      <text>
        <r>
          <rPr>
            <sz val="9"/>
            <color indexed="81"/>
            <rFont val="Tahoma"/>
            <family val="2"/>
          </rPr>
          <t>Repaid</t>
        </r>
      </text>
    </comment>
    <comment ref="X9" authorId="0" shapeId="0" xr:uid="{00000000-0006-0000-0F00-000002000000}">
      <text>
        <r>
          <rPr>
            <sz val="9"/>
            <color indexed="81"/>
            <rFont val="Tahoma"/>
            <family val="2"/>
          </rPr>
          <t>Repaid</t>
        </r>
      </text>
    </comment>
    <comment ref="X11" authorId="0" shapeId="0" xr:uid="{00000000-0006-0000-0F00-000004000000}">
      <text>
        <r>
          <rPr>
            <sz val="9"/>
            <color indexed="81"/>
            <rFont val="Tahoma"/>
            <family val="2"/>
          </rPr>
          <t>Repaid</t>
        </r>
      </text>
    </comment>
    <comment ref="X18" authorId="0" shapeId="0" xr:uid="{00000000-0006-0000-0F00-000008000000}">
      <text>
        <r>
          <rPr>
            <sz val="9"/>
            <color indexed="81"/>
            <rFont val="Tahoma"/>
            <family val="2"/>
          </rPr>
          <t>Repaid</t>
        </r>
      </text>
    </comment>
    <comment ref="Z19" authorId="0" shapeId="0" xr:uid="{00000000-0006-0000-0F00-000009000000}">
      <text>
        <r>
          <rPr>
            <sz val="9"/>
            <color indexed="81"/>
            <rFont val="Tahoma"/>
            <family val="2"/>
          </rPr>
          <t>Repaid</t>
        </r>
      </text>
    </comment>
    <comment ref="Y23" authorId="0" shapeId="0" xr:uid="{00000000-0006-0000-0F00-00000B000000}">
      <text>
        <r>
          <rPr>
            <sz val="9"/>
            <color indexed="81"/>
            <rFont val="Tahoma"/>
            <family val="2"/>
          </rPr>
          <t>Repaid</t>
        </r>
      </text>
    </comment>
    <comment ref="Z25" authorId="0" shapeId="0" xr:uid="{00000000-0006-0000-0F00-00000C000000}">
      <text>
        <r>
          <rPr>
            <sz val="9"/>
            <color indexed="81"/>
            <rFont val="Tahoma"/>
            <family val="2"/>
          </rPr>
          <t>Repaid</t>
        </r>
      </text>
    </comment>
    <comment ref="Z55" authorId="0" shapeId="0" xr:uid="{00000000-0006-0000-0F00-00000F000000}">
      <text>
        <r>
          <rPr>
            <sz val="9"/>
            <color indexed="81"/>
            <rFont val="Tahoma"/>
            <family val="2"/>
          </rPr>
          <t>Repaid</t>
        </r>
      </text>
    </comment>
    <comment ref="X59" authorId="0" shapeId="0" xr:uid="{00000000-0006-0000-0F00-000010000000}">
      <text>
        <r>
          <rPr>
            <sz val="9"/>
            <color indexed="81"/>
            <rFont val="Tahoma"/>
            <family val="2"/>
          </rPr>
          <t>Repaid</t>
        </r>
      </text>
    </comment>
    <comment ref="X67" authorId="0" shapeId="0" xr:uid="{00000000-0006-0000-0F00-000011000000}">
      <text>
        <r>
          <rPr>
            <sz val="9"/>
            <color indexed="81"/>
            <rFont val="Tahoma"/>
            <family val="2"/>
          </rPr>
          <t xml:space="preserve">$400mn 1.875% due June 2023,
$350mn 2.8% due March 2023, considered as current portion.
</t>
        </r>
      </text>
    </comment>
    <comment ref="Y67" authorId="0" shapeId="0" xr:uid="{00000000-0006-0000-0F00-000012000000}">
      <text>
        <r>
          <rPr>
            <sz val="9"/>
            <color indexed="81"/>
            <rFont val="Tahoma"/>
            <family val="2"/>
          </rPr>
          <t xml:space="preserve">$400mn 2.8% due March 2024,
$300mn 2.85% due Oct 2024, 
$300mn 7.95% due Aug 2024 considered as current portion.
</t>
        </r>
      </text>
    </comment>
    <comment ref="Z67" authorId="0" shapeId="0" xr:uid="{00000000-0006-0000-0F00-000013000000}">
      <text>
        <r>
          <rPr>
            <sz val="9"/>
            <color indexed="81"/>
            <rFont val="Tahoma"/>
            <family val="2"/>
          </rPr>
          <t>$250mn 2.5% due Mar 2025,
$300mn 2.6% due Oct 2025,
$250mn 7.25% due June 2025, considered current portion of debt.</t>
        </r>
      </text>
    </comment>
    <comment ref="X70" authorId="0" shapeId="0" xr:uid="{00000000-0006-0000-0F00-000016000000}">
      <text>
        <r>
          <rPr>
            <sz val="9"/>
            <color indexed="81"/>
            <rFont val="Tahoma"/>
            <family val="2"/>
          </rPr>
          <t xml:space="preserve">$400mn 1.875% due June 2023,
$350mn 2.8% due March 2023, considered as current portion.
</t>
        </r>
      </text>
    </comment>
    <comment ref="Z70" authorId="0" shapeId="0" xr:uid="{9793E3A5-D072-4B3D-8F88-EEF47A98119B}">
      <text>
        <r>
          <rPr>
            <sz val="9"/>
            <color indexed="81"/>
            <rFont val="Tahoma"/>
            <family val="2"/>
          </rPr>
          <t>$250mn 2.5% due Mar 2025,
$300mn 2.6% due Oct 2025,
$250mn 7.25% due June 2025, considered current portion of debt.</t>
        </r>
      </text>
    </comment>
    <comment ref="X71" authorId="0" shapeId="0" xr:uid="{00000000-0006-0000-0F00-000017000000}">
      <text>
        <r>
          <rPr>
            <sz val="9"/>
            <color indexed="81"/>
            <rFont val="Tahoma"/>
            <family val="2"/>
          </rPr>
          <t xml:space="preserve">$400mn 1.875% due June 2023,
$350mn 2.8% due March 2023, considered as current portion.
</t>
        </r>
      </text>
    </comment>
    <comment ref="Z71" authorId="0" shapeId="0" xr:uid="{97228C0E-9169-4670-8AC4-199A2C59BD79}">
      <text>
        <r>
          <rPr>
            <sz val="9"/>
            <color indexed="81"/>
            <rFont val="Tahoma"/>
            <family val="2"/>
          </rPr>
          <t>$250mn 2.5% due Mar 2025,
$300mn 2.6% due Oct 2025,
$250mn 7.25% due June 2025, considered current portion of debt.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Singh, Abhishek (Research)</author>
    <author>Holcomb, Jason T (Research)</author>
    <author>Sanchez, Alvaro (Research)</author>
  </authors>
  <commentList>
    <comment ref="AD6" authorId="0" shapeId="0" xr:uid="{00000000-0006-0000-1000-000001000000}">
      <text>
        <r>
          <rPr>
            <sz val="9"/>
            <color indexed="81"/>
            <rFont val="Tahoma"/>
            <family val="2"/>
          </rPr>
          <t>Repaid</t>
        </r>
      </text>
    </comment>
    <comment ref="AH13" authorId="0" shapeId="0" xr:uid="{00000000-0006-0000-1000-000002000000}">
      <text>
        <r>
          <rPr>
            <sz val="9"/>
            <color indexed="81"/>
            <rFont val="Tahoma"/>
            <family val="2"/>
          </rPr>
          <t>Repaid</t>
        </r>
      </text>
    </comment>
    <comment ref="AI14" authorId="0" shapeId="0" xr:uid="{00000000-0006-0000-1000-000003000000}">
      <text>
        <r>
          <rPr>
            <sz val="9"/>
            <color indexed="81"/>
            <rFont val="Tahoma"/>
            <family val="2"/>
          </rPr>
          <t>Repaid</t>
        </r>
      </text>
    </comment>
    <comment ref="AW55" authorId="1" shapeId="0" xr:uid="{F1E2AD51-2DD6-4B6D-BFA0-5B69A60A1271}">
      <text>
        <r>
          <rPr>
            <b/>
            <sz val="9"/>
            <color indexed="81"/>
            <rFont val="Tahoma"/>
            <family val="2"/>
          </rPr>
          <t>August Maturity</t>
        </r>
        <r>
          <rPr>
            <sz val="9"/>
            <color indexed="81"/>
            <rFont val="Tahoma"/>
            <family val="2"/>
          </rPr>
          <t xml:space="preserve">
</t>
        </r>
      </text>
    </comment>
    <comment ref="AH58" authorId="0" shapeId="0" xr:uid="{00000000-0006-0000-1000-000004000000}">
      <text>
        <r>
          <rPr>
            <sz val="9"/>
            <color indexed="81"/>
            <rFont val="Tahoma"/>
            <family val="2"/>
          </rPr>
          <t>Repaid</t>
        </r>
      </text>
    </comment>
    <comment ref="AG59" authorId="2" shapeId="0" xr:uid="{00000000-0006-0000-1000-000005000000}">
      <text>
        <r>
          <rPr>
            <b/>
            <sz val="9"/>
            <color indexed="81"/>
            <rFont val="Tahoma"/>
            <family val="2"/>
          </rPr>
          <t>Sanchez, Alvaro (Research):</t>
        </r>
        <r>
          <rPr>
            <sz val="9"/>
            <color indexed="81"/>
            <rFont val="Tahoma"/>
            <family val="2"/>
          </rPr>
          <t xml:space="preserve">
We used the net proceeds of these note issuances to repay $9,825 outstanding under our two-year delayed draw term loan credit agreement</t>
        </r>
      </text>
    </comment>
    <comment ref="AA60" authorId="0" shapeId="0" xr:uid="{00000000-0006-0000-1000-000006000000}">
      <text>
        <r>
          <rPr>
            <sz val="9"/>
            <color indexed="81"/>
            <rFont val="Tahoma"/>
            <family val="2"/>
          </rPr>
          <t>At March 31, 2020, debt includes $4.7 billion of commercial paper.
Commercial paper at March 31, 2020 includes $2.3 billion, $0.5 billion and $1.9 billion maturing in the second, third and fourth quarter of 2020</t>
        </r>
      </text>
    </comment>
    <comment ref="AB60" authorId="0" shapeId="0" xr:uid="{00000000-0006-0000-1000-000007000000}">
      <text>
        <r>
          <rPr>
            <sz val="9"/>
            <color indexed="81"/>
            <rFont val="Tahoma"/>
            <family val="2"/>
          </rPr>
          <t>Repaid</t>
        </r>
      </text>
    </comment>
    <comment ref="AC60" authorId="0" shapeId="0" xr:uid="{00000000-0006-0000-1000-000008000000}">
      <text>
        <r>
          <rPr>
            <sz val="9"/>
            <color indexed="81"/>
            <rFont val="Tahoma"/>
            <family val="2"/>
          </rPr>
          <t>Repaid</t>
        </r>
      </text>
    </comment>
    <comment ref="AI61" authorId="0" shapeId="0" xr:uid="{00000000-0006-0000-1000-000009000000}">
      <text>
        <r>
          <rPr>
            <sz val="9"/>
            <color indexed="81"/>
            <rFont val="Tahoma"/>
            <family val="2"/>
          </rPr>
          <t>Repaid</t>
        </r>
      </text>
    </comment>
    <comment ref="AI67" authorId="0" shapeId="0" xr:uid="{00000000-0006-0000-1000-00000A000000}">
      <text>
        <r>
          <rPr>
            <sz val="9"/>
            <color indexed="81"/>
            <rFont val="Tahoma"/>
            <family val="2"/>
          </rPr>
          <t xml:space="preserve">
$300mn 2.125% due March 2022,
$250mn 2.2% due Oct 2022, 
$600mn 2.7% due May 2022,  
$500mn in Additional Debt
</t>
        </r>
      </text>
    </comment>
    <comment ref="AN67" authorId="0" shapeId="0" xr:uid="{00000000-0006-0000-1000-00000B000000}">
      <text>
        <r>
          <rPr>
            <sz val="9"/>
            <color indexed="81"/>
            <rFont val="Tahoma"/>
            <family val="2"/>
          </rPr>
          <t xml:space="preserve">
$300mn 2.125% due March 2022,
$250mn 2.2% due Oct 2022, 
$600mn 2.7% due May 2022,  
$500mn in Additional Debt
</t>
        </r>
      </text>
    </comment>
    <comment ref="BE67" authorId="1" shapeId="0" xr:uid="{64F6BD59-0321-490F-A68A-0FEE2C8E312C}">
      <text>
        <r>
          <rPr>
            <b/>
            <sz val="9"/>
            <color indexed="81"/>
            <rFont val="Tahoma"/>
            <family val="2"/>
          </rPr>
          <t>Holcomb, Jason T (Research):</t>
        </r>
        <r>
          <rPr>
            <sz val="9"/>
            <color indexed="81"/>
            <rFont val="Tahoma"/>
            <family val="2"/>
          </rPr>
          <t xml:space="preserve">
1,000mn  2.7% due Feb 2027
300mn   2.8% due March 2027
</t>
        </r>
      </text>
    </comment>
    <comment ref="BF67" authorId="1" shapeId="0" xr:uid="{8DC04239-1529-4B5C-A355-188B4ABF1A7A}">
      <text>
        <r>
          <rPr>
            <b/>
            <sz val="9"/>
            <color indexed="81"/>
            <rFont val="Tahoma"/>
            <family val="2"/>
          </rPr>
          <t>Holcomb, Jason T (Research):</t>
        </r>
        <r>
          <rPr>
            <sz val="9"/>
            <color indexed="81"/>
            <rFont val="Tahoma"/>
            <family val="2"/>
          </rPr>
          <t xml:space="preserve">
1,000mn  2.7% due Feb 2027
300mn   2.8% due March 2027
</t>
        </r>
      </text>
    </comment>
    <comment ref="BG67" authorId="1" shapeId="0" xr:uid="{275313DD-DD22-4774-8296-8B811A3415D6}">
      <text>
        <r>
          <rPr>
            <b/>
            <sz val="9"/>
            <color indexed="81"/>
            <rFont val="Tahoma"/>
            <family val="2"/>
          </rPr>
          <t>Holcomb, Jason T (Research):</t>
        </r>
        <r>
          <rPr>
            <sz val="9"/>
            <color indexed="81"/>
            <rFont val="Tahoma"/>
            <family val="2"/>
          </rPr>
          <t xml:space="preserve">
1,000mn  2.7% due Feb 2027
300mn   2.8% due March 2027
</t>
        </r>
      </text>
    </comment>
    <comment ref="BH67" authorId="1" shapeId="0" xr:uid="{91644FF9-23FA-4EA6-BE5F-10FBE28638D7}">
      <text>
        <r>
          <rPr>
            <b/>
            <sz val="9"/>
            <color indexed="81"/>
            <rFont val="Tahoma"/>
            <family val="2"/>
          </rPr>
          <t>Holcomb, Jason T (Research):</t>
        </r>
        <r>
          <rPr>
            <sz val="9"/>
            <color indexed="81"/>
            <rFont val="Tahoma"/>
            <family val="2"/>
          </rPr>
          <t xml:space="preserve">
1,000mn  2.7% due Feb 2027
300mn   2.8% due March 2027
</t>
        </r>
      </text>
    </comment>
    <comment ref="AA130" authorId="0" shapeId="0" xr:uid="{00000000-0006-0000-1000-00000C000000}">
      <text>
        <r>
          <rPr>
            <sz val="9"/>
            <color indexed="81"/>
            <rFont val="Tahoma"/>
            <family val="2"/>
          </rPr>
          <t xml:space="preserve">Eurodollar rate (determined in accordance with the delayed draw term loan facility agreement) plus between 0.75% and 1.25%, depending on our credit rating. </t>
        </r>
      </text>
    </comment>
    <comment ref="Z131" authorId="0" shapeId="0" xr:uid="{00000000-0006-0000-1000-00000D000000}">
      <text>
        <r>
          <rPr>
            <sz val="9"/>
            <color indexed="81"/>
            <rFont val="Tahoma"/>
            <family val="2"/>
          </rPr>
          <t>Assumed</t>
        </r>
      </text>
    </comment>
    <comment ref="Z133" authorId="0" shapeId="0" xr:uid="{00000000-0006-0000-1000-00000E000000}">
      <text>
        <r>
          <rPr>
            <sz val="9"/>
            <color indexed="81"/>
            <rFont val="Tahoma"/>
            <family val="2"/>
          </rPr>
          <t>Assumed</t>
        </r>
      </text>
    </comment>
    <comment ref="Z134" authorId="0" shapeId="0" xr:uid="{00000000-0006-0000-1000-00000F000000}">
      <text>
        <r>
          <rPr>
            <sz val="9"/>
            <color indexed="81"/>
            <rFont val="Tahoma"/>
            <family val="2"/>
          </rPr>
          <t>Assumed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Holcomb, Jason T (Research)</author>
    <author>Liwag, Kristine T (Research)</author>
    <author>Sharpe, Matt (Research)</author>
  </authors>
  <commentList>
    <comment ref="BX5" authorId="0" shapeId="0" xr:uid="{00000000-0006-0000-1100-000001000000}">
      <text>
        <r>
          <rPr>
            <b/>
            <sz val="9"/>
            <color indexed="81"/>
            <rFont val="Tahoma"/>
            <family val="2"/>
          </rPr>
          <t>Holcomb, Jason T (Research):</t>
        </r>
        <r>
          <rPr>
            <sz val="9"/>
            <color indexed="81"/>
            <rFont val="Tahoma"/>
            <family val="2"/>
          </rPr>
          <t xml:space="preserve">
Estimate using deliveries rom production based on cirium age</t>
        </r>
      </text>
    </comment>
    <comment ref="Q7" authorId="0" shapeId="0" xr:uid="{9401B6F0-A737-4882-9821-EC0553FB7AA5}">
      <text>
        <r>
          <rPr>
            <sz val="9"/>
            <color indexed="81"/>
            <rFont val="Tahoma"/>
            <family val="2"/>
          </rPr>
          <t xml:space="preserve">
1Q25
: 20 aircraft in inventory</t>
        </r>
      </text>
    </comment>
    <comment ref="BX41" authorId="0" shapeId="0" xr:uid="{00000000-0006-0000-1100-000002000000}">
      <text>
        <r>
          <rPr>
            <b/>
            <sz val="9"/>
            <color indexed="81"/>
            <rFont val="Tahoma"/>
            <family val="2"/>
          </rPr>
          <t>Holcomb, Jason T (Research):</t>
        </r>
        <r>
          <rPr>
            <sz val="9"/>
            <color indexed="81"/>
            <rFont val="Tahoma"/>
            <family val="2"/>
          </rPr>
          <t xml:space="preserve">
Estimate using deliveries rom production based on cirium age</t>
        </r>
      </text>
    </comment>
    <comment ref="Q43" authorId="0" shapeId="0" xr:uid="{83541A1A-19D8-43CD-86E7-6803AC969E6C}">
      <text>
        <r>
          <rPr>
            <sz val="9"/>
            <color indexed="81"/>
            <rFont val="Tahoma"/>
            <family val="2"/>
          </rPr>
          <t xml:space="preserve">
1Q25: 70 MAX built prior to 2023; 35 MAX 7 and MAX 10</t>
        </r>
      </text>
    </comment>
    <comment ref="N49" authorId="1" shapeId="0" xr:uid="{00000000-0006-0000-1100-000004000000}">
      <text>
        <r>
          <rPr>
            <b/>
            <sz val="9"/>
            <color indexed="81"/>
            <rFont val="Tahoma"/>
            <family val="2"/>
          </rPr>
          <t>Liwag, Kristine T (Research):</t>
        </r>
        <r>
          <rPr>
            <sz val="9"/>
            <color indexed="81"/>
            <rFont val="Tahoma"/>
            <family val="2"/>
          </rPr>
          <t xml:space="preserve">
Estimated payments for concessions</t>
        </r>
      </text>
    </comment>
    <comment ref="O49" authorId="1" shapeId="0" xr:uid="{00000000-0006-0000-1100-000005000000}">
      <text>
        <r>
          <rPr>
            <b/>
            <sz val="9"/>
            <color indexed="81"/>
            <rFont val="Tahoma"/>
            <family val="2"/>
          </rPr>
          <t>Liwag, Kristine T (Research):</t>
        </r>
        <r>
          <rPr>
            <sz val="9"/>
            <color indexed="81"/>
            <rFont val="Tahoma"/>
            <family val="2"/>
          </rPr>
          <t xml:space="preserve">
Estimated payments of concessions; 1.9bn left over at end of 3Q22
</t>
        </r>
      </text>
    </comment>
    <comment ref="P49" authorId="0" shapeId="0" xr:uid="{85C35819-46AE-4E49-9C30-AFC8912951FB}">
      <text>
        <r>
          <rPr>
            <b/>
            <sz val="9"/>
            <color indexed="81"/>
            <rFont val="Tahoma"/>
            <family val="2"/>
          </rPr>
          <t>Holcomb, Jason T (Research):</t>
        </r>
        <r>
          <rPr>
            <sz val="9"/>
            <color indexed="81"/>
            <rFont val="Tahoma"/>
            <family val="2"/>
          </rPr>
          <t xml:space="preserve">
1451 customer concessions remaining as of 3Q23</t>
        </r>
      </text>
    </comment>
    <comment ref="Q49" authorId="0" shapeId="0" xr:uid="{EECE5481-725A-49B7-BE04-8A36ECFDE0B6}">
      <text>
        <r>
          <rPr>
            <b/>
            <sz val="9"/>
            <color indexed="81"/>
            <rFont val="Tahoma"/>
            <family val="2"/>
          </rPr>
          <t>customer concessions as of 3Q24</t>
        </r>
        <r>
          <rPr>
            <sz val="9"/>
            <color indexed="81"/>
            <rFont val="Tahoma"/>
            <family val="2"/>
          </rPr>
          <t xml:space="preserve">
</t>
        </r>
      </text>
    </comment>
    <comment ref="BN49" authorId="2" shapeId="0" xr:uid="{00000000-0006-0000-1100-000007000000}">
      <text>
        <r>
          <rPr>
            <b/>
            <sz val="9"/>
            <color indexed="81"/>
            <rFont val="Tahoma"/>
            <family val="2"/>
          </rPr>
          <t>Sharpe, Matt (Research):</t>
        </r>
        <r>
          <rPr>
            <sz val="9"/>
            <color indexed="81"/>
            <rFont val="Tahoma"/>
            <family val="2"/>
          </rPr>
          <t xml:space="preserve">
Estimated cash outflow of concessions</t>
        </r>
      </text>
    </comment>
    <comment ref="BO49" authorId="2" shapeId="0" xr:uid="{00000000-0006-0000-1100-000008000000}">
      <text>
        <r>
          <rPr>
            <b/>
            <sz val="9"/>
            <color indexed="81"/>
            <rFont val="Tahoma"/>
            <family val="2"/>
          </rPr>
          <t>Sharpe, Matt (Research):</t>
        </r>
        <r>
          <rPr>
            <sz val="9"/>
            <color indexed="81"/>
            <rFont val="Tahoma"/>
            <family val="2"/>
          </rPr>
          <t xml:space="preserve">
Estimated cash outflow of concessions</t>
        </r>
      </text>
    </comment>
    <comment ref="BQ49" authorId="1" shapeId="0" xr:uid="{00000000-0006-0000-1100-000009000000}">
      <text>
        <r>
          <rPr>
            <b/>
            <sz val="9"/>
            <color indexed="81"/>
            <rFont val="Tahoma"/>
            <family val="2"/>
          </rPr>
          <t>Liwag, Kristine T (Research):</t>
        </r>
        <r>
          <rPr>
            <sz val="9"/>
            <color indexed="81"/>
            <rFont val="Tahoma"/>
            <family val="2"/>
          </rPr>
          <t xml:space="preserve">
Reductions for 737 MAX Payments Made</t>
        </r>
      </text>
    </comment>
    <comment ref="BR49" authorId="2" shapeId="0" xr:uid="{00000000-0006-0000-1100-00000A000000}">
      <text>
        <r>
          <rPr>
            <b/>
            <sz val="9"/>
            <color indexed="81"/>
            <rFont val="Tahoma"/>
            <family val="2"/>
          </rPr>
          <t>Sharpe, Matt (Research):</t>
        </r>
        <r>
          <rPr>
            <sz val="9"/>
            <color indexed="81"/>
            <rFont val="Tahoma"/>
            <family val="2"/>
          </rPr>
          <t xml:space="preserve">
Estimated cash outflow of concessions</t>
        </r>
      </text>
    </comment>
    <comment ref="BS49" authorId="2" shapeId="0" xr:uid="{00000000-0006-0000-1100-00000B000000}">
      <text>
        <r>
          <rPr>
            <b/>
            <sz val="9"/>
            <color indexed="81"/>
            <rFont val="Tahoma"/>
            <family val="2"/>
          </rPr>
          <t>Sharpe, Matt (Research):</t>
        </r>
        <r>
          <rPr>
            <sz val="9"/>
            <color indexed="81"/>
            <rFont val="Tahoma"/>
            <family val="2"/>
          </rPr>
          <t xml:space="preserve">
Estimated cash outflow of concessions</t>
        </r>
      </text>
    </comment>
    <comment ref="BY49" authorId="0" shapeId="0" xr:uid="{00000000-0006-0000-1100-00000C000000}">
      <text>
        <r>
          <rPr>
            <b/>
            <sz val="9"/>
            <color indexed="81"/>
            <rFont val="Tahoma"/>
            <family val="2"/>
          </rPr>
          <t>Holcomb, Jason T (Research):</t>
        </r>
        <r>
          <rPr>
            <sz val="9"/>
            <color indexed="81"/>
            <rFont val="Tahoma"/>
            <family val="2"/>
          </rPr>
          <t xml:space="preserve">
Concession + inventory buffer
</t>
        </r>
      </text>
    </comment>
    <comment ref="O112" authorId="1" shapeId="0" xr:uid="{00000000-0006-0000-1100-00000D000000}">
      <text>
        <r>
          <rPr>
            <b/>
            <sz val="9"/>
            <color indexed="81"/>
            <rFont val="Tahoma"/>
            <family val="2"/>
          </rPr>
          <t>MSe cash component of $6.5bn forward loss announced in 4Q20</t>
        </r>
      </text>
    </comment>
    <comment ref="P112" authorId="0" shapeId="0" xr:uid="{7CB3411A-AAA6-468C-983D-C4908471AF1C}">
      <text>
        <r>
          <rPr>
            <b/>
            <sz val="9"/>
            <color indexed="81"/>
            <rFont val="Tahoma"/>
            <family val="2"/>
          </rPr>
          <t>Holcomb, Jason T (Research):</t>
        </r>
        <r>
          <rPr>
            <sz val="9"/>
            <color indexed="81"/>
            <rFont val="Tahoma"/>
            <family val="2"/>
          </rPr>
          <t xml:space="preserve">
inventory build</t>
        </r>
      </text>
    </comment>
    <comment ref="R112" authorId="1" shapeId="0" xr:uid="{C1901AB3-F272-4708-9328-A169AC17DD5D}">
      <text>
        <r>
          <rPr>
            <b/>
            <sz val="9"/>
            <color indexed="81"/>
            <rFont val="Tahoma"/>
            <family val="2"/>
          </rPr>
          <t xml:space="preserve">777X headwind from I year delivery delay plus $500mn from the 3Q25 charge
</t>
        </r>
        <r>
          <rPr>
            <sz val="9"/>
            <color indexed="81"/>
            <rFont val="Tahoma"/>
            <family val="2"/>
          </rPr>
          <t xml:space="preserve">
</t>
        </r>
      </text>
    </comment>
    <comment ref="S112" authorId="1" shapeId="0" xr:uid="{AD8881C4-9E53-47F0-A79B-22E1C61A9496}">
      <text>
        <r>
          <rPr>
            <sz val="9"/>
            <color indexed="81"/>
            <rFont val="Tahoma"/>
            <family val="2"/>
          </rPr>
          <t xml:space="preserve">2027 impact from 777X delay to be lower than 2026, also including impact from 777X charge
</t>
        </r>
      </text>
    </comment>
    <comment ref="T112" authorId="1" shapeId="0" xr:uid="{24F0741A-A445-423C-8C67-DB93AC7F44E5}">
      <text>
        <r>
          <rPr>
            <b/>
            <sz val="9"/>
            <color indexed="81"/>
            <rFont val="Tahoma"/>
            <family val="2"/>
          </rPr>
          <t>BA targets breakeven, but we include additional headwind</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Liwag, Kristine T (Research)</author>
    <author>Holcomb, Jason T (Research)</author>
  </authors>
  <commentList>
    <comment ref="L18" authorId="0" shapeId="0" xr:uid="{00000000-0006-0000-1200-000001000000}">
      <text>
        <r>
          <rPr>
            <b/>
            <sz val="9"/>
            <color indexed="81"/>
            <rFont val="Tahoma"/>
            <family val="2"/>
          </rPr>
          <t>Liwag, Kristine T (Research):</t>
        </r>
        <r>
          <rPr>
            <sz val="9"/>
            <color indexed="81"/>
            <rFont val="Tahoma"/>
            <family val="2"/>
          </rPr>
          <t xml:space="preserve">
Net Orders</t>
        </r>
      </text>
    </comment>
    <comment ref="M18" authorId="1" shapeId="0" xr:uid="{00000000-0006-0000-1200-000002000000}">
      <text>
        <r>
          <rPr>
            <b/>
            <sz val="9"/>
            <color indexed="81"/>
            <rFont val="Tahoma"/>
            <family val="2"/>
          </rPr>
          <t>Holcomb, Jason T (Research):</t>
        </r>
        <r>
          <rPr>
            <sz val="9"/>
            <color indexed="81"/>
            <rFont val="Tahoma"/>
            <family val="2"/>
          </rPr>
          <t xml:space="preserve">
Gross Orders
</t>
        </r>
      </text>
    </comment>
    <comment ref="O29" authorId="1" shapeId="0" xr:uid="{00000000-0006-0000-1200-000003000000}">
      <text>
        <r>
          <rPr>
            <b/>
            <sz val="9"/>
            <color indexed="81"/>
            <rFont val="Tahoma"/>
            <family val="2"/>
          </rPr>
          <t>Holcomb, Jason T (Research):</t>
        </r>
        <r>
          <rPr>
            <sz val="9"/>
            <color indexed="81"/>
            <rFont val="Tahoma"/>
            <family val="2"/>
          </rPr>
          <t xml:space="preserve">
Reducing down payment to account for historical customer balances being used to cover PDPs</t>
        </r>
      </text>
    </comment>
    <comment ref="P29" authorId="1" shapeId="0" xr:uid="{00000000-0006-0000-1200-000004000000}">
      <text>
        <r>
          <rPr>
            <b/>
            <sz val="9"/>
            <color indexed="81"/>
            <rFont val="Tahoma"/>
            <family val="2"/>
          </rPr>
          <t>Holcomb, Jason T (Research):</t>
        </r>
        <r>
          <rPr>
            <sz val="9"/>
            <color indexed="81"/>
            <rFont val="Tahoma"/>
            <family val="2"/>
          </rPr>
          <t xml:space="preserve">
Reducing down payment to account for historical customer balances being used to cover PDPs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Singh, Abhishek (Research)</author>
  </authors>
  <commentList>
    <comment ref="A25" authorId="0" shapeId="0" xr:uid="{00000000-0006-0000-1300-000001000000}">
      <text>
        <r>
          <rPr>
            <sz val="9"/>
            <color indexed="81"/>
            <rFont val="Tahoma"/>
            <family val="2"/>
          </rPr>
          <t>Company reclassified it's segment in 3Q17 (effective, July 1, 2017) and charges are updated on N basis. Hence going back from 2Q17 charges are updated in the respectiveoldersegments.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Singh, Abhishek (Research)</author>
    <author>K, Hemalatha (Research)</author>
    <author>Sanchez, Alvaro (Research)</author>
    <author>Holcomb, Jason T (Research)</author>
    <author>Murillo, Alberto (Research)</author>
    <author>Sharpe, Matt (Research)</author>
    <author>Knafelman, Gaby (Research)</author>
    <author>Liwag, Kristine T (Research)</author>
  </authors>
  <commentList>
    <comment ref="M29" authorId="0" shapeId="0" xr:uid="{00000000-0006-0000-1400-000001000000}">
      <text>
        <r>
          <rPr>
            <sz val="9"/>
            <color indexed="81"/>
            <rFont val="Tahoma"/>
            <family val="2"/>
          </rPr>
          <t>Company reclassified it's segment in 3Q17 (effective, July 1, 2017) and charges are updated on N basis. Hence going back from 2Q17 charges are as per the older segments.
All the revenue and operating income data are based on new segments</t>
        </r>
      </text>
    </comment>
    <comment ref="AA31" authorId="1" shapeId="0" xr:uid="{00000000-0006-0000-1400-000002000000}">
      <text>
        <r>
          <rPr>
            <sz val="9"/>
            <color indexed="81"/>
            <rFont val="Tahoma"/>
            <family val="2"/>
          </rPr>
          <t>Charges related to 737 Next Generation frame fitting component (pickle fork) repair costs</t>
        </r>
      </text>
    </comment>
    <comment ref="V32" authorId="1" shapeId="0" xr:uid="{00000000-0006-0000-1400-000003000000}">
      <text>
        <r>
          <rPr>
            <sz val="9"/>
            <color indexed="81"/>
            <rFont val="Tahoma"/>
            <family val="2"/>
          </rPr>
          <t xml:space="preserve">Lower operating margin reflects -  lower 737 deliveries partially offset by a higher margin on the 787 program.  </t>
        </r>
      </text>
    </comment>
    <comment ref="W32" authorId="0" shapeId="0" xr:uid="{00000000-0006-0000-1400-000004000000}">
      <text>
        <r>
          <rPr>
            <sz val="9"/>
            <color indexed="81"/>
            <rFont val="Tahoma"/>
            <family val="2"/>
          </rPr>
          <t>Negative operating margins in the quarter due to the 737 MAX impact partially offset by higher 787 margins</t>
        </r>
      </text>
    </comment>
    <comment ref="X32" authorId="0" shapeId="0" xr:uid="{00000000-0006-0000-1400-000005000000}">
      <text>
        <r>
          <rPr>
            <sz val="9"/>
            <color indexed="81"/>
            <rFont val="Tahoma"/>
            <family val="2"/>
          </rPr>
          <t>Revenue and earnings were reduced by $5.6 billion of pretax charge related
to our estimate of potential concessions and other considerations to customers or disruptions related to the 737 MAX</t>
        </r>
      </text>
    </comment>
    <comment ref="Y32" authorId="0" shapeId="0" xr:uid="{00000000-0006-0000-1400-000006000000}">
      <text>
        <r>
          <rPr>
            <sz val="9"/>
            <color indexed="81"/>
            <rFont val="Tahoma"/>
            <family val="2"/>
          </rPr>
          <t>Lower operating margin reflecting 737 deliveries and additional pretax charge of $2.6 billion of estimated potential concession - customer concessions and other considerations</t>
        </r>
      </text>
    </comment>
    <comment ref="AA32" authorId="1" shapeId="0" xr:uid="{00000000-0006-0000-1400-000007000000}">
      <text>
        <r>
          <rPr>
            <sz val="9"/>
            <color indexed="81"/>
            <rFont val="Tahoma"/>
            <family val="2"/>
          </rPr>
          <t>Abnormal Production costs due to temporary suspension of 737 MAX production</t>
        </r>
      </text>
    </comment>
    <comment ref="AF32" authorId="2" shapeId="0" xr:uid="{00000000-0006-0000-1400-000008000000}">
      <text>
        <r>
          <rPr>
            <b/>
            <sz val="9"/>
            <color indexed="81"/>
            <rFont val="Tahoma"/>
            <family val="2"/>
          </rPr>
          <t>We expensed abnormal
production costs of $2,567 during 2020 and $568 during the three months ended March 31, 2021.</t>
        </r>
        <r>
          <rPr>
            <sz val="9"/>
            <color indexed="81"/>
            <rFont val="Tahoma"/>
            <family val="2"/>
          </rPr>
          <t xml:space="preserve">
</t>
        </r>
      </text>
    </comment>
    <comment ref="AG32" authorId="2" shapeId="0" xr:uid="{00000000-0006-0000-1400-000009000000}">
      <text>
        <r>
          <rPr>
            <b/>
            <sz val="9"/>
            <color indexed="81"/>
            <rFont val="Tahoma"/>
            <family val="2"/>
          </rPr>
          <t>Sanchez, Alvaro (Research):</t>
        </r>
        <r>
          <rPr>
            <sz val="9"/>
            <color indexed="81"/>
            <rFont val="Tahoma"/>
            <family val="2"/>
          </rPr>
          <t xml:space="preserve">
We expensed abnormal production costs of $2,567 during 2020, $1,083 during the six months ended June 30, 2021 and $515 during the three months ended June 30, 2021.</t>
        </r>
      </text>
    </comment>
    <comment ref="AK32" authorId="2" shapeId="0" xr:uid="{00000000-0006-0000-1400-00000A000000}">
      <text>
        <r>
          <rPr>
            <b/>
            <sz val="9"/>
            <color indexed="81"/>
            <rFont val="Tahoma"/>
            <family val="2"/>
          </rPr>
          <t xml:space="preserve">1Q22 10-q: $188mn in abnormal costs for the 737 MAX
</t>
        </r>
        <r>
          <rPr>
            <sz val="9"/>
            <color indexed="81"/>
            <rFont val="Tahoma"/>
            <family val="2"/>
          </rPr>
          <t xml:space="preserve">
</t>
        </r>
      </text>
    </comment>
    <comment ref="AL32" authorId="3" shapeId="0" xr:uid="{00000000-0006-0000-1400-00000B000000}">
      <text>
        <r>
          <rPr>
            <b/>
            <sz val="9"/>
            <color indexed="81"/>
            <rFont val="Tahoma"/>
            <family val="2"/>
          </rPr>
          <t xml:space="preserve">o 777 program will take ~$1.5bn in abnormal costs beginning in the second quarter as its first delivery is now expected in 2025; will continue until production begins again (forecasing 2024)
</t>
        </r>
      </text>
    </comment>
    <comment ref="G33" authorId="0" shapeId="0" xr:uid="{00000000-0006-0000-1400-00000C000000}">
      <text>
        <r>
          <rPr>
            <sz val="9"/>
            <color indexed="81"/>
            <rFont val="Tahoma"/>
            <family val="2"/>
          </rPr>
          <t>Higher research and development costs of $128 million primarily related to the 777X</t>
        </r>
      </text>
    </comment>
    <comment ref="AL33" authorId="4" shapeId="0" xr:uid="{00000000-0006-0000-1400-00000D000000}">
      <text>
        <r>
          <rPr>
            <sz val="9"/>
            <color indexed="81"/>
            <rFont val="Tahoma"/>
            <family val="2"/>
          </rPr>
          <t xml:space="preserve">s. In April 2022, we
decided to pause production of the 777X-9 during 2022 and 2023. The production pause is resulting in abnormal production costs that are being
expensed as incurred until 777X-9 production resumes. We expensed abnormal production costs of $102 during the three months ended June
30, 2022
</t>
        </r>
      </text>
    </comment>
    <comment ref="AP33" authorId="3" shapeId="0" xr:uid="{2DF6D754-AFCD-44FC-8116-25DB6A04A84D}">
      <text>
        <r>
          <rPr>
            <b/>
            <sz val="9"/>
            <color indexed="81"/>
            <rFont val="Tahoma"/>
            <family val="2"/>
          </rPr>
          <t>Holcomb, Jason T (Research):</t>
        </r>
        <r>
          <rPr>
            <sz val="9"/>
            <color indexed="81"/>
            <rFont val="Tahoma"/>
            <family val="2"/>
          </rPr>
          <t xml:space="preserve">
Abnormal production costs for the three months ended March 31, 2023 were $505 million including $379 million related to the 787
program and $126 million related to the 777X program</t>
        </r>
      </text>
    </comment>
    <comment ref="AR33" authorId="3" shapeId="0" xr:uid="{078311A3-A342-4F27-B0DB-D4CB01CDAC06}">
      <text>
        <r>
          <rPr>
            <b/>
            <sz val="9"/>
            <color indexed="81"/>
            <rFont val="Tahoma"/>
            <family val="2"/>
          </rPr>
          <t>Holcomb, Jason T (Research):</t>
        </r>
        <r>
          <rPr>
            <sz val="9"/>
            <color indexed="81"/>
            <rFont val="Tahoma"/>
            <family val="2"/>
          </rPr>
          <t xml:space="preserve">
Moving to the 777X program, efforts are ongoing. The program timeline is unchanged, and we plan to resume production later this year. We booked $180 million of abnormal costs in the quarter, in line with expectations.</t>
        </r>
      </text>
    </comment>
    <comment ref="AS33" authorId="3" shapeId="0" xr:uid="{6C630086-D501-4902-A33C-F3428CB47053}">
      <text>
        <r>
          <rPr>
            <b/>
            <sz val="9"/>
            <color indexed="81"/>
            <rFont val="Tahoma"/>
            <family val="2"/>
          </rPr>
          <t>Holcomb, Jason T (Research):</t>
        </r>
        <r>
          <rPr>
            <sz val="9"/>
            <color indexed="81"/>
            <rFont val="Tahoma"/>
            <family val="2"/>
          </rPr>
          <t xml:space="preserve">
71mn in abnormal costs</t>
        </r>
      </text>
    </comment>
    <comment ref="AA34" authorId="1" shapeId="0" xr:uid="{00000000-0006-0000-1400-00000E000000}">
      <text>
        <r>
          <rPr>
            <sz val="9"/>
            <color indexed="81"/>
            <rFont val="Tahoma"/>
            <family val="2"/>
          </rPr>
          <t>Abnormal Production costs due to temporary suspension of Puget Sound operations in response to COVID-19.</t>
        </r>
      </text>
    </comment>
    <comment ref="H35" authorId="0" shapeId="0" xr:uid="{00000000-0006-0000-1400-00000F000000}">
      <text>
        <r>
          <rPr>
            <sz val="9"/>
            <color indexed="81"/>
            <rFont val="Tahoma"/>
            <family val="2"/>
          </rPr>
          <t>Research and development expenses reflect costs of $1,235 million related to the 787 flight test aircraft and higher planned 777X costs</t>
        </r>
      </text>
    </comment>
    <comment ref="AB35" authorId="5" shapeId="0" xr:uid="{00000000-0006-0000-1400-000010000000}">
      <text>
        <r>
          <rPr>
            <sz val="9"/>
            <color indexed="81"/>
            <rFont val="Tahoma"/>
            <family val="2"/>
          </rPr>
          <t>Severance expense</t>
        </r>
      </text>
    </comment>
    <comment ref="AI35" authorId="3" shapeId="0" xr:uid="{00000000-0006-0000-1400-000011000000}">
      <text>
        <r>
          <rPr>
            <b/>
            <sz val="9"/>
            <color indexed="81"/>
            <rFont val="Tahoma"/>
            <family val="2"/>
          </rPr>
          <t>Holcomb, Jason T (Research):</t>
        </r>
        <r>
          <rPr>
            <sz val="9"/>
            <color indexed="81"/>
            <rFont val="Tahoma"/>
            <family val="2"/>
          </rPr>
          <t xml:space="preserve">
Commercial Airplanes recorded a $3.5 billion
pre-tax non-cash charge on the 787 program and $285mn of abnormal costs for the 787 expensed ($2bn estimate through 2023)</t>
        </r>
      </text>
    </comment>
    <comment ref="AK35" authorId="3" shapeId="0" xr:uid="{00000000-0006-0000-1400-000012000000}">
      <text>
        <r>
          <rPr>
            <b/>
            <sz val="9"/>
            <color indexed="81"/>
            <rFont val="Tahoma"/>
            <family val="2"/>
          </rPr>
          <t>Holcomb, Jason T (Research):</t>
        </r>
        <r>
          <rPr>
            <sz val="9"/>
            <color indexed="81"/>
            <rFont val="Tahoma"/>
            <family val="2"/>
          </rPr>
          <t xml:space="preserve">
1Q22 10-q: $312mn in abnormal costs for the 787 program</t>
        </r>
      </text>
    </comment>
    <comment ref="AN35" authorId="3" shapeId="0" xr:uid="{00000000-0006-0000-1400-000013000000}">
      <text>
        <r>
          <rPr>
            <b/>
            <sz val="9"/>
            <color indexed="81"/>
            <rFont val="Tahoma"/>
            <family val="2"/>
          </rPr>
          <t>Holcomb, Jason T (Research):</t>
        </r>
        <r>
          <rPr>
            <sz val="9"/>
            <color indexed="81"/>
            <rFont val="Tahoma"/>
            <family val="2"/>
          </rPr>
          <t xml:space="preserve">
Commercial Airplanes recorded a $3.5 billion
pre-tax non-cash charge on the 787 program and $285mn of abnormal costs for the 787 expensed ($2bn estimate through 2023)</t>
        </r>
      </text>
    </comment>
    <comment ref="AP35" authorId="3" shapeId="0" xr:uid="{C39A5EA2-8030-4CE7-B4BB-806AAF71E302}">
      <text>
        <r>
          <rPr>
            <b/>
            <sz val="9"/>
            <color indexed="81"/>
            <rFont val="Tahoma"/>
            <family val="2"/>
          </rPr>
          <t>Holcomb, Jason T (Research):</t>
        </r>
        <r>
          <rPr>
            <sz val="9"/>
            <color indexed="81"/>
            <rFont val="Tahoma"/>
            <family val="2"/>
          </rPr>
          <t xml:space="preserve">
Abnormal production costs for the three months ended March 31, 2023 were $505 million including $379 million related to the 787
program and $126 million related to the 777X program</t>
        </r>
      </text>
    </comment>
    <comment ref="AQ35" authorId="3" shapeId="0" xr:uid="{2901CAFF-2512-4011-B245-AFF1F95FFA35}">
      <text>
        <r>
          <rPr>
            <b/>
            <sz val="9"/>
            <color indexed="81"/>
            <rFont val="Tahoma"/>
            <family val="2"/>
          </rPr>
          <t>Holcomb, Jason T (Research):</t>
        </r>
        <r>
          <rPr>
            <sz val="9"/>
            <color indexed="81"/>
            <rFont val="Tahoma"/>
            <family val="2"/>
          </rPr>
          <t xml:space="preserve">
787 driven</t>
        </r>
      </text>
    </comment>
    <comment ref="AR35" authorId="3" shapeId="0" xr:uid="{FCA7F9CE-CF75-4117-ACA2-BF641DE6EC71}">
      <text>
        <r>
          <rPr>
            <b/>
            <sz val="9"/>
            <color indexed="81"/>
            <rFont val="Tahoma"/>
            <family val="2"/>
          </rPr>
          <t>Holcomb, Jason T (Research):</t>
        </r>
        <r>
          <rPr>
            <sz val="9"/>
            <color indexed="81"/>
            <rFont val="Tahoma"/>
            <family val="2"/>
          </rPr>
          <t xml:space="preserve">
We ended the quarter with 75 airplanes in inventory. Rework is progressing nicely, and we still expect most to be delivered by the end of 2024. We booked $244 million of abnormal costs, in line with expectations. The total estimate is now $3 billion, up a bit, and we still expect to be largely done by year-end.</t>
        </r>
      </text>
    </comment>
    <comment ref="AS35" authorId="3" shapeId="0" xr:uid="{6A2EF752-D668-45B6-B950-099C1EF2C819}">
      <text>
        <r>
          <rPr>
            <b/>
            <sz val="9"/>
            <color indexed="81"/>
            <rFont val="Tahoma"/>
            <family val="2"/>
          </rPr>
          <t>Holcomb, Jason T (Research):</t>
        </r>
        <r>
          <rPr>
            <sz val="9"/>
            <color indexed="81"/>
            <rFont val="Tahoma"/>
            <family val="2"/>
          </rPr>
          <t xml:space="preserve">
77mn in abnormal costs for 787</t>
        </r>
      </text>
    </comment>
    <comment ref="AV35" authorId="3" shapeId="0" xr:uid="{2D4552EC-A0FC-480D-BE8C-918EDCEC7E8D}">
      <text>
        <r>
          <rPr>
            <b/>
            <sz val="9"/>
            <color indexed="81"/>
            <rFont val="Tahoma"/>
            <family val="2"/>
          </rPr>
          <t>We expect BA to take a ~$243.6mn charge in 2Q24, with the cash impact materializing in 3Q24.</t>
        </r>
        <r>
          <rPr>
            <sz val="9"/>
            <color indexed="81"/>
            <rFont val="Tahoma"/>
            <family val="2"/>
          </rPr>
          <t xml:space="preserve">
</t>
        </r>
      </text>
    </comment>
    <comment ref="AW35" authorId="3" shapeId="0" xr:uid="{FD436497-AFCB-4B56-B7E6-2B02C16371E0}">
      <text>
        <r>
          <rPr>
            <b/>
            <sz val="9"/>
            <color indexed="81"/>
            <rFont val="Tahoma"/>
            <family val="2"/>
          </rPr>
          <t xml:space="preserve">• $3bn of pre-tax earnings charges in BCA driven by the 777X and 767 programs
o The company now anticipates first delivery of the 777-9 in 2026 and the 777-8 freighter in 2028, resulting in a pre-tax earnings charge of $2.6bn.
o Commercial Airplanes also plans to conclude production of the 767 freighter and recognize a $0.4bn pre-tax charge on the program.
</t>
        </r>
        <r>
          <rPr>
            <sz val="9"/>
            <color indexed="81"/>
            <rFont val="Tahoma"/>
            <family val="2"/>
          </rPr>
          <t xml:space="preserve">
</t>
        </r>
      </text>
    </comment>
    <comment ref="AX35" authorId="6" shapeId="0" xr:uid="{8FFFA822-D3BC-4482-8B58-B15EDC966147}">
      <text>
        <r>
          <rPr>
            <sz val="9"/>
            <color indexed="81"/>
            <rFont val="Tahoma"/>
            <family val="2"/>
          </rPr>
          <t xml:space="preserve">Commercial Airplanes results will reflect impacts associated with the IAM work stoppage and agreement including lower deliveries and pre-tax earnings charges of $1.1 billion on the 777X and 767 programs. The 777X program pre-tax charge of $0.9 billion reflects higher estimated labor costs associated with finalizing the IAM agreement and will be incurred over the next several years. </t>
        </r>
      </text>
    </comment>
    <comment ref="BB35" authorId="7" shapeId="0" xr:uid="{795F92BC-0FD6-415D-9AFD-C58483B39518}">
      <text>
        <r>
          <rPr>
            <b/>
            <sz val="9"/>
            <color indexed="81"/>
            <rFont val="Tahoma"/>
            <family val="2"/>
          </rPr>
          <t>777X program charge</t>
        </r>
        <r>
          <rPr>
            <sz val="9"/>
            <color indexed="81"/>
            <rFont val="Tahoma"/>
            <family val="2"/>
          </rPr>
          <t xml:space="preserve">
due to 1 year certification delay</t>
        </r>
      </text>
    </comment>
    <comment ref="G39" authorId="0" shapeId="0" xr:uid="{00000000-0006-0000-1400-000014000000}">
      <text>
        <r>
          <rPr>
            <sz val="9"/>
            <color indexed="81"/>
            <rFont val="Tahoma"/>
            <family val="2"/>
          </rPr>
          <t>Reach-forward loss related to the KC-46A Tanker program of $162 million</t>
        </r>
      </text>
    </comment>
    <comment ref="H39" authorId="0" shapeId="0" xr:uid="{00000000-0006-0000-1400-000015000000}">
      <text>
        <r>
          <rPr>
            <sz val="9"/>
            <color indexed="81"/>
            <rFont val="Tahoma"/>
            <family val="2"/>
          </rPr>
          <t>Earnings include reach-forward losses related to the KC-46A Tanker of $354 million in the second quarter of 2016.</t>
        </r>
      </text>
    </comment>
    <comment ref="J39" authorId="0" shapeId="0" xr:uid="{00000000-0006-0000-1400-000016000000}">
      <text>
        <r>
          <rPr>
            <sz val="9"/>
            <color indexed="81"/>
            <rFont val="Tahoma"/>
            <family val="2"/>
          </rPr>
          <t>Reach-forward loss related to the KC-46A Tanker program of $772 mn for 2016</t>
        </r>
      </text>
    </comment>
    <comment ref="L39" authorId="0" shapeId="0" xr:uid="{00000000-0006-0000-1400-000017000000}">
      <text>
        <r>
          <rPr>
            <sz val="9"/>
            <color indexed="81"/>
            <rFont val="Tahoma"/>
            <family val="2"/>
          </rPr>
          <t>Reach-forward losses of $120 million related to the KC-46A Tanker program</t>
        </r>
      </text>
    </comment>
    <comment ref="N39" authorId="0" shapeId="0" xr:uid="{00000000-0006-0000-1400-000018000000}">
      <text>
        <r>
          <rPr>
            <sz val="9"/>
            <color indexed="81"/>
            <rFont val="Tahoma"/>
            <family val="2"/>
          </rPr>
          <t>$256 million reach-forward loss related to KC-46A Tanker program.</t>
        </r>
      </text>
    </comment>
    <comment ref="R39" authorId="0" shapeId="0" xr:uid="{00000000-0006-0000-1400-000019000000}">
      <text>
        <r>
          <rPr>
            <sz val="9"/>
            <color indexed="81"/>
            <rFont val="Tahoma"/>
            <family val="2"/>
          </rPr>
          <t>Reach-forward losses of  $307 million related to the KC-46A Tanker program</t>
        </r>
      </text>
    </comment>
    <comment ref="S39" authorId="0" shapeId="0" xr:uid="{00000000-0006-0000-1400-00001A000000}">
      <text>
        <r>
          <rPr>
            <sz val="9"/>
            <color indexed="81"/>
            <rFont val="Tahoma"/>
            <family val="2"/>
          </rPr>
          <t>Commercial Airplanes recorded reach-forward losses of $112 million related to the KC-46A Tanker program</t>
        </r>
      </text>
    </comment>
    <comment ref="G40" authorId="0" shapeId="0" xr:uid="{00000000-0006-0000-1400-00001B000000}">
      <text>
        <r>
          <rPr>
            <sz val="9"/>
            <color indexed="81"/>
            <rFont val="Tahoma"/>
            <family val="2"/>
          </rPr>
          <t>Reach-forward loss on the 747 program of $70 million.</t>
        </r>
      </text>
    </comment>
    <comment ref="H40" authorId="0" shapeId="0" xr:uid="{00000000-0006-0000-1400-00001C000000}">
      <text>
        <r>
          <rPr>
            <sz val="9"/>
            <color indexed="81"/>
            <rFont val="Tahoma"/>
            <family val="2"/>
          </rPr>
          <t>Additional reach-forward loss of $1,188 million on the 747 program.</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Victor, Prasanth (Research)</author>
  </authors>
  <commentList>
    <comment ref="B5" authorId="0" shapeId="0" xr:uid="{00000000-0006-0000-1500-000001000000}">
      <text>
        <r>
          <rPr>
            <sz val="9"/>
            <color indexed="81"/>
            <rFont val="Tahoma"/>
            <family val="2"/>
          </rPr>
          <t>737 Classic: 2
737 NG: 279</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Holcomb, Jason T (Research)</author>
    <author>Liwag, Kristine T (Research)</author>
  </authors>
  <commentList>
    <comment ref="Y16" authorId="0" shapeId="0" xr:uid="{00000000-0006-0000-1700-000001000000}">
      <text>
        <r>
          <rPr>
            <b/>
            <sz val="9"/>
            <color indexed="81"/>
            <rFont val="Tahoma"/>
            <family val="2"/>
          </rPr>
          <t>Holcomb, Jason T (Research):</t>
        </r>
        <r>
          <rPr>
            <sz val="9"/>
            <color indexed="81"/>
            <rFont val="Tahoma"/>
            <family val="2"/>
          </rPr>
          <t xml:space="preserve">
Lowered too $46 from $49 to account for discounts to marqee customers (600mn/2=300mn/111 aicraft=~3mn)
</t>
        </r>
      </text>
    </comment>
    <comment ref="Y20" authorId="0" shapeId="0" xr:uid="{00000000-0006-0000-1700-000002000000}">
      <text>
        <r>
          <rPr>
            <b/>
            <sz val="9"/>
            <color indexed="81"/>
            <rFont val="Tahoma"/>
            <family val="2"/>
          </rPr>
          <t>Holcomb, Jason T (Research):</t>
        </r>
        <r>
          <rPr>
            <sz val="9"/>
            <color indexed="81"/>
            <rFont val="Tahoma"/>
            <family val="2"/>
          </rPr>
          <t xml:space="preserve">
From $135 to $110 as a result of concessions to customers. (600mn/2=300mn/11 deliveries=~27mn, rounded to ~25mn)
</t>
        </r>
      </text>
    </comment>
    <comment ref="Z20" authorId="0" shapeId="0" xr:uid="{00000000-0006-0000-1700-000003000000}">
      <text>
        <r>
          <rPr>
            <b/>
            <sz val="9"/>
            <color indexed="81"/>
            <rFont val="Tahoma"/>
            <family val="2"/>
          </rPr>
          <t>Holcomb, Jason T (Research):</t>
        </r>
        <r>
          <rPr>
            <sz val="9"/>
            <color indexed="81"/>
            <rFont val="Tahoma"/>
            <family val="2"/>
          </rPr>
          <t xml:space="preserve">
impacted by concessions through 2024</t>
        </r>
      </text>
    </comment>
    <comment ref="X61" authorId="1" shapeId="0" xr:uid="{00000000-0006-0000-1700-000004000000}">
      <text>
        <r>
          <rPr>
            <b/>
            <sz val="9"/>
            <color indexed="81"/>
            <rFont val="Tahoma"/>
            <family val="2"/>
          </rPr>
          <t>Abnormal cost expected for 787 of $2bn announced in 4Q21; MSe estimate of $1bn in 2022</t>
        </r>
      </text>
    </comment>
    <comment ref="Y61" authorId="1" shapeId="0" xr:uid="{00000000-0006-0000-1700-000005000000}">
      <text>
        <r>
          <rPr>
            <b/>
            <sz val="9"/>
            <color indexed="81"/>
            <rFont val="Tahoma"/>
            <family val="2"/>
          </rPr>
          <t>Abnormal cost expected for 787 of $2bn announced in 4Q21; MSe estimate of $750mn in 2023
Abnormal cost for the 777X expected to be 1.5bn; estimate an equal amount per quarter from 2Q22 through 4Q23</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Singh, Abhishek (Research)</author>
  </authors>
  <commentList>
    <comment ref="A25" authorId="0" shapeId="0" xr:uid="{00000000-0006-0000-1900-000001000000}">
      <text>
        <r>
          <rPr>
            <sz val="9"/>
            <color indexed="81"/>
            <rFont val="Tahoma"/>
            <family val="2"/>
          </rPr>
          <t>Company reclassified it's segment in 3Q17 (effective, July 1, 2017) and charges are updated on N basis. Hence going back from 2Q17 charges are updated in the respectiveoldersegments.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Singh, Abhishek (Research)</author>
    <author>K, Hemalatha (Research)</author>
    <author>Holcomb, Jason T (Research)</author>
    <author>Knafelman, Gaby (Research)</author>
    <author>Zuber, Shaina C (Research)</author>
  </authors>
  <commentList>
    <comment ref="M29" authorId="0" shapeId="0" xr:uid="{00000000-0006-0000-1A00-000001000000}">
      <text>
        <r>
          <rPr>
            <sz val="9"/>
            <color indexed="81"/>
            <rFont val="Tahoma"/>
            <family val="2"/>
          </rPr>
          <t>Company reclassified it's segment in 3Q17 (effective, July 1, 2017) and charges are updated on N basis. Hence going back from 2Q17 charges are updated ias per the older segments.
All the revenue and operating income data are based on new segments</t>
        </r>
      </text>
    </comment>
    <comment ref="G31" authorId="0" shapeId="0" xr:uid="{00000000-0006-0000-1A00-000002000000}">
      <text>
        <r>
          <rPr>
            <b/>
            <sz val="9"/>
            <color indexed="81"/>
            <rFont val="Tahoma"/>
            <family val="2"/>
          </rPr>
          <t>BMA:</t>
        </r>
        <r>
          <rPr>
            <sz val="9"/>
            <color indexed="81"/>
            <rFont val="Tahoma"/>
            <family val="2"/>
          </rPr>
          <t xml:space="preserve"> Net unfavorable cumulative contract catch-up adjustments were $52 million primarily driven by unfavorable adjustments on the KC-46A Tanker program, partially offset by favorable F-15 program adjustments.
</t>
        </r>
        <r>
          <rPr>
            <b/>
            <sz val="9"/>
            <color indexed="81"/>
            <rFont val="Tahoma"/>
            <family val="2"/>
          </rPr>
          <t>NS&amp;S:</t>
        </r>
        <r>
          <rPr>
            <sz val="9"/>
            <color indexed="81"/>
            <rFont val="Tahoma"/>
            <family val="2"/>
          </rPr>
          <t xml:space="preserve">  Net favorable cumulative contract catch-up adjustments were $14 million primarily due to favorable adjustments on proprietary programs.
</t>
        </r>
        <r>
          <rPr>
            <b/>
            <sz val="9"/>
            <color indexed="81"/>
            <rFont val="Tahoma"/>
            <family val="2"/>
          </rPr>
          <t>GS&amp;S:</t>
        </r>
        <r>
          <rPr>
            <sz val="9"/>
            <color indexed="81"/>
            <rFont val="Tahoma"/>
            <family val="2"/>
          </rPr>
          <t xml:space="preserve"> Net favorable cumulative contract catch-up adjustments were $39 million higher in the three months ended March 31, 2016 than in the same period in 2015 primarily driven by higher favorable adjustments on the C-17 support programs.</t>
        </r>
      </text>
    </comment>
    <comment ref="H31" authorId="0" shapeId="0" xr:uid="{00000000-0006-0000-1A00-000003000000}">
      <text>
        <r>
          <rPr>
            <sz val="9"/>
            <color indexed="81"/>
            <rFont val="Tahoma"/>
            <family val="2"/>
          </rPr>
          <t>BMA: Net unfavorable cumulative contract catch-up adjustments were $82 million lower in the three months ended June 30, 2016 than in the same period in 2015 primarily driven by lower KC-46A Tanker charges
NS&amp;S: Net unfavorable cumulative contract catch-up adjustments were $10 million higher in the three months ended June 30, 2016 than in the same period in 2015.
GS&amp;S: Net favorable cumulative contract catch-up adjustments were $29 million higher in the six months ended June 30, 2016 than in the same period in 2015 primarily driven by higher favorable adjustments on the C-17 support programs</t>
        </r>
      </text>
    </comment>
    <comment ref="I31" authorId="0" shapeId="0" xr:uid="{00000000-0006-0000-1A00-000004000000}">
      <text>
        <r>
          <rPr>
            <sz val="9"/>
            <color indexed="81"/>
            <rFont val="Tahoma"/>
            <family val="2"/>
          </rPr>
          <t>BMA: Net favorable cumulative contract catch-up adjustments were $111 million lower in the three months ended September 30, 2016 than in the same period in 2015 primarily driven by the absence of favorable F-15 program adjustments.
NS&amp;S: Net unfavorable cumulative contract catch-up adjustments, including reach-forward losses, were $143 million higher in the three months ended September 30, 2016 than in the same period in 2015.
GS&amp;S: Net favorable cumulative contract catch-up adjustments were $12 million lower in the three months ended September 30, 2016 than in the same period in 2015.</t>
        </r>
      </text>
    </comment>
    <comment ref="K31" authorId="0" shapeId="0" xr:uid="{00000000-0006-0000-1A00-000005000000}">
      <text>
        <r>
          <rPr>
            <sz val="9"/>
            <color indexed="81"/>
            <rFont val="Tahoma"/>
            <family val="2"/>
          </rPr>
          <t xml:space="preserve">BMA:Net unfavorable cumulative contract catch-up adjustments were $253 million higher in 2016 than in 2015.
NS&amp;S: Net unfavorable cumulative contract catch-up adjustments were $186 million higher in 2016 than 2015.
</t>
        </r>
      </text>
    </comment>
    <comment ref="L31" authorId="0" shapeId="0" xr:uid="{00000000-0006-0000-1A00-000006000000}">
      <text>
        <r>
          <rPr>
            <sz val="9"/>
            <color indexed="81"/>
            <rFont val="Tahoma"/>
            <family val="2"/>
          </rPr>
          <t>BMA: Net favorable cumulative contract catch-up adjustments, including reach-forward losses, were $78 million.
NS&amp;S:  Net unfavorable cumulative contract catch-up adjustments reduced earnings by $19 million.
GS&amp;S: Net favorable cumulative contract catch-up adjustments were $23 million lower in the three months ended March 31, 2017 than in the same period in 2016</t>
        </r>
      </text>
    </comment>
    <comment ref="M31" authorId="0" shapeId="0" xr:uid="{00000000-0006-0000-1A00-000007000000}">
      <text>
        <r>
          <rPr>
            <sz val="9"/>
            <color indexed="81"/>
            <rFont val="Tahoma"/>
            <family val="2"/>
          </rPr>
          <t>BMA: Net favorable cumulative contract catch-up adjustments, including reach-forward losseswas $82 million, primarily due to vertical lift and F-15 programs
NS&amp;S:Net favorable cumulative contract catch-up adjustments increased earnings $54 million, driven by development program.
GS&amp;S: Net favorable cumulative contract catch-up adjustments was $50 million higher than in the same periods in 2016</t>
        </r>
      </text>
    </comment>
    <comment ref="S32" authorId="0" shapeId="0" xr:uid="{00000000-0006-0000-1A00-000008000000}">
      <text>
        <r>
          <rPr>
            <sz val="9"/>
            <color indexed="81"/>
            <rFont val="Tahoma"/>
            <family val="2"/>
          </rPr>
          <t>Recorded charges of $400 million associated with anticipated losses on the T-X Trainer and $291 million on the MQ-25 unmanned aerial refueling aircraft</t>
        </r>
      </text>
    </comment>
    <comment ref="G35" authorId="0" shapeId="0" xr:uid="{00000000-0006-0000-1A00-000009000000}">
      <text>
        <r>
          <rPr>
            <sz val="9"/>
            <color indexed="81"/>
            <rFont val="Tahoma"/>
            <family val="2"/>
          </rPr>
          <t>BMA: Charge of $81 million related to the KC-46A Tanker program</t>
        </r>
      </text>
    </comment>
    <comment ref="H35" authorId="0" shapeId="0" xr:uid="{00000000-0006-0000-1A00-00000A000000}">
      <text>
        <r>
          <rPr>
            <sz val="9"/>
            <color indexed="81"/>
            <rFont val="Tahoma"/>
            <family val="2"/>
          </rPr>
          <t xml:space="preserve">BMA:  Recorded charges of $219 million in the second quarter of 2016 on the KC-46A Tanker program.
</t>
        </r>
      </text>
    </comment>
    <comment ref="J35" authorId="0" shapeId="0" xr:uid="{00000000-0006-0000-1A00-00000B000000}">
      <text>
        <r>
          <rPr>
            <sz val="9"/>
            <color indexed="81"/>
            <rFont val="Tahoma"/>
            <family val="2"/>
          </rPr>
          <t>During 2016, BDS earnings from operations include reach-forward losses of $356 million.</t>
        </r>
      </text>
    </comment>
    <comment ref="L35" authorId="0" shapeId="0" xr:uid="{00000000-0006-0000-1A00-00000C000000}">
      <text>
        <r>
          <rPr>
            <sz val="9"/>
            <color indexed="81"/>
            <rFont val="Tahoma"/>
            <family val="2"/>
          </rPr>
          <t>Reach forward-losses</t>
        </r>
      </text>
    </comment>
    <comment ref="N35" authorId="0" shapeId="0" xr:uid="{00000000-0006-0000-1A00-00000D000000}">
      <text>
        <r>
          <rPr>
            <sz val="9"/>
            <color indexed="81"/>
            <rFont val="Tahoma"/>
            <family val="2"/>
          </rPr>
          <t>Reach forward-losses</t>
        </r>
      </text>
    </comment>
    <comment ref="R35" authorId="0" shapeId="0" xr:uid="{00000000-0006-0000-1A00-00000E000000}">
      <text>
        <r>
          <rPr>
            <sz val="9"/>
            <color indexed="81"/>
            <rFont val="Tahoma"/>
            <family val="2"/>
          </rPr>
          <t xml:space="preserve"> $111 million pretax charge on the KC-46 Tanker program</t>
        </r>
      </text>
    </comment>
    <comment ref="U35" authorId="0" shapeId="0" xr:uid="{00000000-0006-0000-1A00-00000F000000}">
      <text>
        <r>
          <rPr>
            <sz val="9"/>
            <color indexed="81"/>
            <rFont val="Tahoma"/>
            <family val="2"/>
          </rPr>
          <t xml:space="preserve"> $199 million of higher KC-46A Tanker reach-forward losses</t>
        </r>
      </text>
    </comment>
    <comment ref="Y35" authorId="1" shapeId="0" xr:uid="{00000000-0006-0000-1A00-000010000000}">
      <text>
        <r>
          <rPr>
            <sz val="9"/>
            <color indexed="81"/>
            <rFont val="Tahoma"/>
            <family val="2"/>
          </rPr>
          <t>Not specified on related Segment. Assumed to be in BDS.</t>
        </r>
      </text>
    </comment>
    <comment ref="AA35" authorId="1" shapeId="0" xr:uid="{00000000-0006-0000-1A00-000011000000}">
      <text>
        <r>
          <rPr>
            <sz val="9"/>
            <color indexed="81"/>
            <rFont val="Tahoma"/>
            <family val="2"/>
          </rPr>
          <t>Total Reach-forward losses,</t>
        </r>
      </text>
    </comment>
    <comment ref="AI35" authorId="2" shapeId="0" xr:uid="{00000000-0006-0000-1A00-000012000000}">
      <text>
        <r>
          <rPr>
            <b/>
            <sz val="9"/>
            <color indexed="81"/>
            <rFont val="Tahoma"/>
            <family val="2"/>
          </rPr>
          <t>Holcomb, Jason T (Research):</t>
        </r>
        <r>
          <rPr>
            <sz val="9"/>
            <color indexed="81"/>
            <rFont val="Tahoma"/>
            <family val="2"/>
          </rPr>
          <t xml:space="preserve">
$402 million pre-tax charge on the KC-46A Tanker program</t>
        </r>
      </text>
    </comment>
    <comment ref="AK35" authorId="2" shapeId="0" xr:uid="{00000000-0006-0000-1A00-000013000000}">
      <text>
        <r>
          <rPr>
            <b/>
            <sz val="9"/>
            <color indexed="81"/>
            <rFont val="Tahoma"/>
            <family val="2"/>
          </rPr>
          <t>Holcomb, Jason T (Research):</t>
        </r>
        <r>
          <rPr>
            <sz val="9"/>
            <color indexed="81"/>
            <rFont val="Tahoma"/>
            <family val="2"/>
          </rPr>
          <t xml:space="preserve">
o KC-46ATanker program recorded earnings charges of $165 million primarily reflecting higher supply chain and other costs</t>
        </r>
      </text>
    </comment>
    <comment ref="AU35" authorId="2" shapeId="0" xr:uid="{C7B612F1-F643-4F5F-88C6-A31EA14FE298}">
      <text>
        <r>
          <rPr>
            <sz val="9"/>
            <color indexed="81"/>
            <rFont val="Tahoma"/>
            <family val="2"/>
          </rPr>
          <t xml:space="preserve">
First quarter results were impacted by losses on two fixed price developed programs totaling $222 million. 128 million on the Tanker and 94 million on the T-7A.</t>
        </r>
      </text>
    </comment>
    <comment ref="AA36" authorId="0" shapeId="0" xr:uid="{00000000-0006-0000-1A00-000014000000}">
      <text>
        <r>
          <rPr>
            <sz val="9"/>
            <color indexed="81"/>
            <rFont val="Tahoma"/>
            <family val="2"/>
          </rPr>
          <t>$276mn : COVID-19 related factory disruption</t>
        </r>
      </text>
    </comment>
    <comment ref="AA37" authorId="1" shapeId="0" xr:uid="{00000000-0006-0000-1A00-000015000000}">
      <text>
        <r>
          <rPr>
            <sz val="9"/>
            <color indexed="81"/>
            <rFont val="Tahoma"/>
            <family val="2"/>
          </rPr>
          <t xml:space="preserve">Reach-forward losses, of $551mn: costs associated with the agreement signed in April with the U.S. Air Force </t>
        </r>
      </text>
    </comment>
    <comment ref="AK37" authorId="2" shapeId="0" xr:uid="{00000000-0006-0000-1A00-000016000000}">
      <text>
        <r>
          <rPr>
            <b/>
            <sz val="9"/>
            <color indexed="81"/>
            <rFont val="Tahoma"/>
            <family val="2"/>
          </rPr>
          <t>$367mn on the T-7A Red Hawk program
MQ-25 also increased its anticipated loss by $78 million due to additional customer testing requirements and supplier quality challenges</t>
        </r>
      </text>
    </comment>
    <comment ref="AR37" authorId="2" shapeId="0" xr:uid="{A4A03289-AEC1-4D49-AC3D-4DC288A23339}">
      <text>
        <r>
          <rPr>
            <b/>
            <sz val="9"/>
            <color indexed="81"/>
            <rFont val="Tahoma"/>
            <family val="2"/>
          </rPr>
          <t>Holcomb, Jason T (Research):</t>
        </r>
        <r>
          <rPr>
            <sz val="9"/>
            <color indexed="81"/>
            <rFont val="Tahoma"/>
            <family val="2"/>
          </rPr>
          <t xml:space="preserve">
BDS loss from operations was $924 million for the three months ended September 30, 2023 compared with $2,798 million in the same period in 2022. The year over year decrease reflects a reduction in net unfavorable cumulative contract catch-up adjustments, which were $1,891 million better than the net unfavorable impact in the prior year comparable period. During the third quarter of 2023, losses incurred on development programs totaled $618 million compared with $2,762 million in the same period in 2022. These reductions were partially offset by lower margins on several programs including F-15 and satellites reflecting continued labor instability, development technical challenges and supply chain disruption. During the three months ended September 30, 2023, we recorded earnings charges of $315 million resulting from a customer agreement. The charge includes estimated customer considerations as well as increased costs to enhance the constellation and meet lifecycle commitments.</t>
        </r>
      </text>
    </comment>
    <comment ref="AV37" authorId="2" shapeId="0" xr:uid="{F277BE4F-116A-4E02-BD29-95D87087199A}">
      <text>
        <r>
          <rPr>
            <b/>
            <sz val="9"/>
            <color indexed="81"/>
            <rFont val="Tahoma"/>
            <family val="2"/>
          </rPr>
          <t xml:space="preserve">Defense, Space &amp; Security second quarter revenue was $6.0 billion. Second quarter operating margin of
(15.2) percent primarily reflects $1.0 billion of losses on certain fixed-price development programs, including a $391
million loss on the KC-46A program largely driven by a slowdown of commercial production and supply chain
constraints. Losses recorded on the T-7A, VC-25B, and Commercial Crew programs reflect higher estimated
engineering and manufacturing costs, as well as technical challenges.
</t>
        </r>
      </text>
    </comment>
    <comment ref="AX37" authorId="3" shapeId="0" xr:uid="{006794D9-764F-4483-83BA-BA2043EBE65E}">
      <text>
        <r>
          <rPr>
            <sz val="9"/>
            <color indexed="81"/>
            <rFont val="Tahoma"/>
            <family val="2"/>
          </rPr>
          <t>Defense, Space &amp; Security expects to recognize pre-tax earnings charges of $1.7 billion on the KC-46A, T-7A, Commercial Crew, VC-25B, and MQ-25 programs. The KC-46A program pre-tax charge of $0.8 billion reflects higher estimated manufacturing costs, including impacts of the IAM work stoppage and agreement. The T-7A program pre-tax charge of $0.5 billion was primarily driven by higher estimated costs on production lots in 2026 and beyond.</t>
        </r>
      </text>
    </comment>
    <comment ref="BC37" authorId="4" shapeId="0" xr:uid="{49F0BD18-E56F-4433-8913-088BD71B7F03}">
      <text>
        <r>
          <rPr>
            <sz val="9"/>
            <color indexed="81"/>
            <rFont val="Tahoma"/>
            <family val="2"/>
          </rPr>
          <t>tanker charges per press release</t>
        </r>
      </text>
    </comment>
    <comment ref="I38" authorId="0" shapeId="0" xr:uid="{00000000-0006-0000-1A00-000017000000}">
      <text>
        <r>
          <rPr>
            <sz val="9"/>
            <color indexed="81"/>
            <rFont val="Tahoma"/>
            <family val="2"/>
          </rPr>
          <t>BMA: Charge of $162 million on the Commercial Crew program</t>
        </r>
      </text>
    </comment>
    <comment ref="Y38" authorId="0" shapeId="0" xr:uid="{00000000-0006-0000-1A00-000018000000}">
      <text>
        <r>
          <rPr>
            <sz val="9"/>
            <color indexed="81"/>
            <rFont val="Tahoma"/>
            <family val="2"/>
          </rPr>
          <t>$410 million pretax charge to provision for the additional uncrewed mission for the
Commercial Crew program as well as several performance items and the mix within the portfolio in the quarter.</t>
        </r>
      </text>
    </comment>
    <comment ref="AK39" authorId="2" shapeId="0" xr:uid="{00000000-0006-0000-1A00-000019000000}">
      <text>
        <r>
          <rPr>
            <b/>
            <sz val="9"/>
            <color indexed="81"/>
            <rFont val="Tahoma"/>
            <family val="2"/>
          </rPr>
          <t xml:space="preserve"> $660mn charge on the VC-25B program</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Bhaskar, Rahul (Research)</author>
    <author>Victor, Prasanth (Research)</author>
  </authors>
  <commentList>
    <comment ref="B5" authorId="0" shapeId="0" xr:uid="{00000000-0006-0000-1C00-000001000000}">
      <text>
        <r>
          <rPr>
            <sz val="9"/>
            <color indexed="81"/>
            <rFont val="Tahoma"/>
            <family val="2"/>
          </rPr>
          <t>Source: 10K, 2001</t>
        </r>
      </text>
    </comment>
    <comment ref="C5" authorId="0" shapeId="0" xr:uid="{00000000-0006-0000-1C00-000002000000}">
      <text>
        <r>
          <rPr>
            <sz val="9"/>
            <color indexed="81"/>
            <rFont val="Tahoma"/>
            <family val="2"/>
          </rPr>
          <t>Source:
https://www.sec.gov/Archives/edgar/data/12927/000104746903004271/a2102259z8-k.htm</t>
        </r>
      </text>
    </comment>
    <comment ref="D10" authorId="1" shapeId="0" xr:uid="{00000000-0006-0000-1C00-000003000000}">
      <text>
        <r>
          <rPr>
            <sz val="9"/>
            <color indexed="81"/>
            <rFont val="Tahoma"/>
            <family val="2"/>
          </rPr>
          <t xml:space="preserve">Chinook International New Builds
</t>
        </r>
      </text>
    </comment>
    <comment ref="B13" authorId="1" shapeId="0" xr:uid="{00000000-0006-0000-1C00-000004000000}">
      <text>
        <r>
          <rPr>
            <sz val="9"/>
            <color indexed="81"/>
            <rFont val="Tahoma"/>
            <family val="2"/>
          </rPr>
          <t xml:space="preserve">F/A-18E/F: 26
F/A-18C/D: 16
</t>
        </r>
      </text>
    </comment>
    <comment ref="E24" authorId="0" shapeId="0" xr:uid="{00000000-0006-0000-1C00-000005000000}">
      <text>
        <r>
          <rPr>
            <sz val="9"/>
            <color indexed="81"/>
            <rFont val="Tahoma"/>
            <family val="2"/>
          </rPr>
          <t>Network Systems Satellites + Launch and Orbital Systems Satellites</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Holcomb, Jason T (Research)</author>
  </authors>
  <commentList>
    <comment ref="AJ17" authorId="0" shapeId="0" xr:uid="{00000000-0006-0000-1F00-000001000000}">
      <text>
        <r>
          <rPr>
            <b/>
            <sz val="9"/>
            <color indexed="81"/>
            <rFont val="Tahoma"/>
            <family val="2"/>
          </rPr>
          <t>Holcomb, Jason T (Research):</t>
        </r>
        <r>
          <rPr>
            <sz val="9"/>
            <color indexed="81"/>
            <rFont val="Tahoma"/>
            <family val="2"/>
          </rPr>
          <t xml:space="preserve">
4Q: Operating margin was
negatively impacted by a $220 million inventory impairment
</t>
        </r>
      </text>
    </comment>
    <comment ref="AI30" authorId="0" shapeId="0" xr:uid="{00000000-0006-0000-1F00-000002000000}">
      <text>
        <r>
          <rPr>
            <b/>
            <sz val="9"/>
            <color indexed="81"/>
            <rFont val="Tahoma"/>
            <family val="2"/>
          </rPr>
          <t>Holcomb, Jason T (Research):</t>
        </r>
        <r>
          <rPr>
            <sz val="9"/>
            <color indexed="81"/>
            <rFont val="Tahoma"/>
            <family val="2"/>
          </rPr>
          <t xml:space="preserve">
 a $220 million inventory impairment</t>
        </r>
      </text>
    </comment>
  </commentList>
</comments>
</file>

<file path=xl/sharedStrings.xml><?xml version="1.0" encoding="utf-8"?>
<sst xmlns="http://schemas.openxmlformats.org/spreadsheetml/2006/main" count="1838" uniqueCount="1102">
  <si>
    <t>Net Sales</t>
  </si>
  <si>
    <t>Other</t>
  </si>
  <si>
    <t>Operating Margin</t>
  </si>
  <si>
    <t>Deliveries</t>
  </si>
  <si>
    <t>YoY</t>
  </si>
  <si>
    <t>1Q19A</t>
  </si>
  <si>
    <t>2Q19A</t>
  </si>
  <si>
    <t>3Q19A</t>
  </si>
  <si>
    <t>4Q19A</t>
  </si>
  <si>
    <t>Operating Profit</t>
  </si>
  <si>
    <t>Operating Expenses</t>
  </si>
  <si>
    <t>Total</t>
  </si>
  <si>
    <t>Gross Margin</t>
  </si>
  <si>
    <t>Gross Profit</t>
  </si>
  <si>
    <t>Total Net Sales</t>
  </si>
  <si>
    <t>Total Cost of Sales</t>
  </si>
  <si>
    <t>Business Segment Operating Profit</t>
  </si>
  <si>
    <t>Financial Metrics</t>
  </si>
  <si>
    <t>Income Statement Quarter</t>
  </si>
  <si>
    <t>Cash Flow Quarter</t>
  </si>
  <si>
    <t>Income Statement Annual</t>
  </si>
  <si>
    <t>Inventories</t>
  </si>
  <si>
    <t>Capital Expenditures</t>
  </si>
  <si>
    <t>As a % of Net Revenue</t>
  </si>
  <si>
    <t>As a % of Beginning Net PP&amp;E</t>
  </si>
  <si>
    <t>Free Cash Flow</t>
  </si>
  <si>
    <t>FCF Conversion %</t>
  </si>
  <si>
    <t>Per Share</t>
  </si>
  <si>
    <t>Operating activities</t>
  </si>
  <si>
    <t>Working Capital</t>
  </si>
  <si>
    <t>Cash Flow Annual</t>
  </si>
  <si>
    <t>Balance Sheet Quarter</t>
  </si>
  <si>
    <t>Assets</t>
  </si>
  <si>
    <t>Goodwill</t>
  </si>
  <si>
    <t>Liabilities</t>
  </si>
  <si>
    <t>Noncurrent Assets</t>
  </si>
  <si>
    <t>Equity</t>
  </si>
  <si>
    <t>Check</t>
  </si>
  <si>
    <t>Balance Sheet Annual</t>
  </si>
  <si>
    <t>EBITDA</t>
  </si>
  <si>
    <t>EBITDA Margin</t>
  </si>
  <si>
    <t>Average Stock Price</t>
  </si>
  <si>
    <t>CAS Pension Cost</t>
  </si>
  <si>
    <t>FAS/CAS Operating Adjustment</t>
  </si>
  <si>
    <t>Other, Net</t>
  </si>
  <si>
    <t>Total Unallocated Items</t>
  </si>
  <si>
    <t>Interest Expense</t>
  </si>
  <si>
    <t>Non-Operating FAS Pension Cost</t>
  </si>
  <si>
    <t>Pre-Tax Income</t>
  </si>
  <si>
    <t>Tax Rate</t>
  </si>
  <si>
    <t>Discontinued Operations</t>
  </si>
  <si>
    <t>EPS from Continuing Operations - Diluted</t>
  </si>
  <si>
    <t>GAAP EPS - Diluted</t>
  </si>
  <si>
    <t>EPS from Continuing Operations - Basic</t>
  </si>
  <si>
    <t>GAAP EPS - Basic</t>
  </si>
  <si>
    <t>Weighted Average Common Shares - Basic</t>
  </si>
  <si>
    <t>Weighted Average Common Shares - Diluted</t>
  </si>
  <si>
    <t>Shares Outstanding at the End of the Period - Diluted</t>
  </si>
  <si>
    <t>Depreciation &amp; Amortization</t>
  </si>
  <si>
    <t>FAS Pension Expense</t>
  </si>
  <si>
    <t>Non-Recurring Charges</t>
  </si>
  <si>
    <t>Total FAS Expense and CAS Costs</t>
  </si>
  <si>
    <t>Total Net FAS/CAS Pension Adjustment</t>
  </si>
  <si>
    <t>As a % of Total Revenue</t>
  </si>
  <si>
    <t>Seasonality: Q as a % of Year</t>
  </si>
  <si>
    <t>Total Book to Bill</t>
  </si>
  <si>
    <t>Depreciation and Amortization</t>
  </si>
  <si>
    <t>Deferred Income Taxes</t>
  </si>
  <si>
    <t>Changes in Assets and Liabilities</t>
  </si>
  <si>
    <t>Accounts Payable</t>
  </si>
  <si>
    <t>Net Cash from Operating Activities</t>
  </si>
  <si>
    <t>Investing Activities</t>
  </si>
  <si>
    <t>Net Cash from Investing</t>
  </si>
  <si>
    <t>Financing Activities</t>
  </si>
  <si>
    <t>Dividends Paid</t>
  </si>
  <si>
    <t>Net Cash from Financing</t>
  </si>
  <si>
    <t>Effect of Exchange Rates on Cash &amp; Cash Equivalents</t>
  </si>
  <si>
    <t>Net Cash in Cash and Cash Equivalents</t>
  </si>
  <si>
    <t>Amortization of Acquired Intangibles</t>
  </si>
  <si>
    <t>Free Cash Flow Returned to Shareholders</t>
  </si>
  <si>
    <t>FCF Returned to Shareholders %</t>
  </si>
  <si>
    <t>Current Assets</t>
  </si>
  <si>
    <t>Cash and Cash Equivalents</t>
  </si>
  <si>
    <t>Other Current Assets</t>
  </si>
  <si>
    <t>Property, Plant and Equipment, Net</t>
  </si>
  <si>
    <t>Total Noncurrent Assets</t>
  </si>
  <si>
    <t>Total Assets</t>
  </si>
  <si>
    <t>Current Liabilities</t>
  </si>
  <si>
    <t>Other Current Liabilities</t>
  </si>
  <si>
    <t>Total Current Liabilities</t>
  </si>
  <si>
    <t>Noncurrent Liabilities</t>
  </si>
  <si>
    <t>Long-Term Debt, Net</t>
  </si>
  <si>
    <t>Accrued Pension Liabilities</t>
  </si>
  <si>
    <t>Total Noncurrent Liabilities</t>
  </si>
  <si>
    <t>Total Liabilities</t>
  </si>
  <si>
    <t>Stockholders' Equity</t>
  </si>
  <si>
    <t>Additional Paid-in-Capital</t>
  </si>
  <si>
    <t>Accumulated Other Comprehensive Loss</t>
  </si>
  <si>
    <t>Retained Earnings</t>
  </si>
  <si>
    <t>Total Stockholder's Equity</t>
  </si>
  <si>
    <t>Noncontrolling Interests in Subsidiary</t>
  </si>
  <si>
    <t>Total Equity</t>
  </si>
  <si>
    <t>Total Liabilities and Equity</t>
  </si>
  <si>
    <t>Days Sales Outstanding (Receivables)</t>
  </si>
  <si>
    <t>Days Payable Outstanding (Accounts Payable)</t>
  </si>
  <si>
    <t>Days COGS Inventory</t>
  </si>
  <si>
    <t>Total Debt</t>
  </si>
  <si>
    <t>Net Debt</t>
  </si>
  <si>
    <t>Net Debt to EBITDA</t>
  </si>
  <si>
    <t>Leverage Metrics</t>
  </si>
  <si>
    <t>Cash</t>
  </si>
  <si>
    <t>Incremental Debt</t>
  </si>
  <si>
    <t>Acquired EBITDA</t>
  </si>
  <si>
    <t>Implied Deal Valuation (EV/EBITDA)</t>
  </si>
  <si>
    <t>Incremental Cost of Debt</t>
  </si>
  <si>
    <t>Incremental Interest Expense</t>
  </si>
  <si>
    <t>Incremental Net Income</t>
  </si>
  <si>
    <t>Incremental EPS</t>
  </si>
  <si>
    <t>Incremental Tax Rate</t>
  </si>
  <si>
    <t>Incremental Tax Expense</t>
  </si>
  <si>
    <t>D&amp;A as a % of EBITDA</t>
  </si>
  <si>
    <t>D&amp;A Expense</t>
  </si>
  <si>
    <t>Incremental EBIT</t>
  </si>
  <si>
    <t>EPS Accretion</t>
  </si>
  <si>
    <t>Dry Powder Calculation for M&amp;A</t>
  </si>
  <si>
    <t>Annualized EPS Accretion</t>
  </si>
  <si>
    <t>Dry Powder Calculation for Share Buybacks</t>
  </si>
  <si>
    <t>Assumed Share Price</t>
  </si>
  <si>
    <t>Post-Buyback EPS</t>
  </si>
  <si>
    <t>Marginal Tax Rate</t>
  </si>
  <si>
    <t>Post-Buyback Net Income</t>
  </si>
  <si>
    <t>Tax Effected Cost of Incremental Interest</t>
  </si>
  <si>
    <t>Financial Summary</t>
  </si>
  <si>
    <t>Income Statement</t>
  </si>
  <si>
    <t>Revenue</t>
  </si>
  <si>
    <t>Revenue Growth</t>
  </si>
  <si>
    <t>EBIT</t>
  </si>
  <si>
    <t>EBIT Margin</t>
  </si>
  <si>
    <t>EPS</t>
  </si>
  <si>
    <t>Cash Flow Statement</t>
  </si>
  <si>
    <t>Capex</t>
  </si>
  <si>
    <t>FCF Conversion</t>
  </si>
  <si>
    <t>FCF Returned to Shareholders</t>
  </si>
  <si>
    <t>% of FCF Returned to Shareholders</t>
  </si>
  <si>
    <t>Balance Sheet</t>
  </si>
  <si>
    <t>Total Cash</t>
  </si>
  <si>
    <t>Capital Deployment</t>
  </si>
  <si>
    <t>Dry Powder for M&amp;A</t>
  </si>
  <si>
    <t>Target EV/EBITDA</t>
  </si>
  <si>
    <t>Dry Powder for Incremental Buybacks</t>
  </si>
  <si>
    <t>Reporting Segment Metrics</t>
  </si>
  <si>
    <t>Book to Bill</t>
  </si>
  <si>
    <t>Operating Cash Flow</t>
  </si>
  <si>
    <t>Incremental Shares Repurchased (mn)</t>
  </si>
  <si>
    <t>Diluted Shares Outstanding (mn)</t>
  </si>
  <si>
    <t>Post-Deal Net Debt to EBITDA</t>
  </si>
  <si>
    <t>Post-Buyback Net Debt to EBITDA</t>
  </si>
  <si>
    <t>Dry Powder for Buybacks</t>
  </si>
  <si>
    <t>Target Post-Deal Net Debt to EBITDA</t>
  </si>
  <si>
    <t>Target Post-Buyback Net Debt to EBITDA</t>
  </si>
  <si>
    <t>CY2019A</t>
  </si>
  <si>
    <t>1Q18A</t>
  </si>
  <si>
    <t>2Q18A</t>
  </si>
  <si>
    <t>3Q18A</t>
  </si>
  <si>
    <t>4Q18A</t>
  </si>
  <si>
    <t>CY2018A</t>
  </si>
  <si>
    <t>1Q17A</t>
  </si>
  <si>
    <t>2Q17A</t>
  </si>
  <si>
    <t>3Q17A</t>
  </si>
  <si>
    <t>4Q17A</t>
  </si>
  <si>
    <t>CY2017A</t>
  </si>
  <si>
    <t>1Q16A</t>
  </si>
  <si>
    <t>2Q16A</t>
  </si>
  <si>
    <t>3Q16A</t>
  </si>
  <si>
    <t>4Q16A</t>
  </si>
  <si>
    <t>CY2016A</t>
  </si>
  <si>
    <t>1Q15A</t>
  </si>
  <si>
    <t>2Q15A</t>
  </si>
  <si>
    <t>3Q15A</t>
  </si>
  <si>
    <t>4Q15A</t>
  </si>
  <si>
    <t>CY2015A</t>
  </si>
  <si>
    <t>CY2014A</t>
  </si>
  <si>
    <t>CY2013A</t>
  </si>
  <si>
    <t>CY2012A</t>
  </si>
  <si>
    <t>CY2011A</t>
  </si>
  <si>
    <t>CY2010A</t>
  </si>
  <si>
    <t>CY2009A</t>
  </si>
  <si>
    <t>CY2008A</t>
  </si>
  <si>
    <t>CY2007A</t>
  </si>
  <si>
    <t>CY2006A</t>
  </si>
  <si>
    <t>CY2005A</t>
  </si>
  <si>
    <t>CY2004A</t>
  </si>
  <si>
    <t>CY2003A</t>
  </si>
  <si>
    <t>CY2002A</t>
  </si>
  <si>
    <t>CY2001A</t>
  </si>
  <si>
    <t>CY2000A</t>
  </si>
  <si>
    <t>1Q20A</t>
  </si>
  <si>
    <t>Debt Quarter</t>
  </si>
  <si>
    <t>Debt Details</t>
  </si>
  <si>
    <t>Issuance of New Debt</t>
  </si>
  <si>
    <t>Repayment of Debt</t>
  </si>
  <si>
    <t>Net New Debt/ (Repayment)</t>
  </si>
  <si>
    <t>Interest Rate</t>
  </si>
  <si>
    <t>Total Interest</t>
  </si>
  <si>
    <t>CY2020E</t>
  </si>
  <si>
    <t>Dividend Per Share</t>
  </si>
  <si>
    <t>CY2023E</t>
  </si>
  <si>
    <t>CY2024E</t>
  </si>
  <si>
    <t>CY2025E</t>
  </si>
  <si>
    <t>Depreciation Expenses</t>
  </si>
  <si>
    <t>Adjusted Operating Profit</t>
  </si>
  <si>
    <t>Adjusted Operating Margin</t>
  </si>
  <si>
    <t>% Margin</t>
  </si>
  <si>
    <t>USD</t>
  </si>
  <si>
    <t>Other Operating Expenses</t>
  </si>
  <si>
    <t>Unrecorded Goodwill</t>
  </si>
  <si>
    <t>MW Tags</t>
  </si>
  <si>
    <t>Segment Adjusted Profit</t>
  </si>
  <si>
    <t>Segment Adjusted Profit Margin</t>
  </si>
  <si>
    <t>NA</t>
  </si>
  <si>
    <t>% of Sales</t>
  </si>
  <si>
    <t>Non-Recurring and Unusual Charges</t>
  </si>
  <si>
    <t>Restricted Cash</t>
  </si>
  <si>
    <t xml:space="preserve">Other Adjustments </t>
  </si>
  <si>
    <t>Cash, Cash Equivalents and Restricted Cash at End of Period</t>
  </si>
  <si>
    <t>Cash, Cash Equivalents and Restricted Cash at Beginning of Period</t>
  </si>
  <si>
    <t>Other Notes</t>
  </si>
  <si>
    <t>Additional Debt</t>
  </si>
  <si>
    <t>Commercial Paper</t>
  </si>
  <si>
    <t>Total Debt, Net</t>
  </si>
  <si>
    <t xml:space="preserve">Cash and Cash Equivalents at the End of Period </t>
  </si>
  <si>
    <t>Statutory Tax Rate</t>
  </si>
  <si>
    <t>Net Issuance of Common Stock</t>
  </si>
  <si>
    <t>Assets of Discontinued Operations</t>
  </si>
  <si>
    <t>Net Issuance Of Common Stock</t>
  </si>
  <si>
    <t>Total Current Assets</t>
  </si>
  <si>
    <t>Less: Restricted Cash Balance</t>
  </si>
  <si>
    <t>Number of Weeks</t>
  </si>
  <si>
    <t>Pension Contribution</t>
  </si>
  <si>
    <t>Stock-Based Plan Expense</t>
  </si>
  <si>
    <t>Pension Expense / (Income)</t>
  </si>
  <si>
    <t>Investment/Asset Impairment Charges, Net</t>
  </si>
  <si>
    <t>Customer Financing Valuation Adjustments</t>
  </si>
  <si>
    <t>Loss/(Gain) on Disposal of Discontinued Operations</t>
  </si>
  <si>
    <t>Gain on Dispositions, Net</t>
  </si>
  <si>
    <t>Excess Tax Benefits from Share-Based Payment Arrangements</t>
  </si>
  <si>
    <t>Other Charges and Credits, Net</t>
  </si>
  <si>
    <t>Accounts Receivables, Net</t>
  </si>
  <si>
    <t>Advance and Progress Billings</t>
  </si>
  <si>
    <t>Accrued Liabilities</t>
  </si>
  <si>
    <t>Advances and Billings in Excess of Related Costs</t>
  </si>
  <si>
    <t>Income Taxes Receivable, Payable and Deferred</t>
  </si>
  <si>
    <t>Other Long-Term Liabilities</t>
  </si>
  <si>
    <t>Pension and Other Postretirement Benefit Plans</t>
  </si>
  <si>
    <t>Customer Financing, Net</t>
  </si>
  <si>
    <t>Property, Plant and Equipment Additions</t>
  </si>
  <si>
    <t>Property, Plant and Equipment Reductions</t>
  </si>
  <si>
    <t xml:space="preserve">Acquisitions, Net </t>
  </si>
  <si>
    <t>Proceeds from Dispositions</t>
  </si>
  <si>
    <t>Contributions to Investments</t>
  </si>
  <si>
    <t>Proceeds from Investments</t>
  </si>
  <si>
    <t>Purchase of Distribution Rights</t>
  </si>
  <si>
    <t>Net Borrowings</t>
  </si>
  <si>
    <t>Debt Repayments</t>
  </si>
  <si>
    <t>Repayments of Distribution Rights and Other Asset Financing</t>
  </si>
  <si>
    <t>Contributions from Noncontrolling Interests</t>
  </si>
  <si>
    <t>Stock Options Exercised</t>
  </si>
  <si>
    <t>Employee Taxes on Certain Share-Based Payment Arrangements</t>
  </si>
  <si>
    <t>Short-Term and Other Investments</t>
  </si>
  <si>
    <t>Unbilled Receivables, Net</t>
  </si>
  <si>
    <t>Current Portion of Customer Financing, Net</t>
  </si>
  <si>
    <t>Acquired Intangible Assets, Net</t>
  </si>
  <si>
    <t xml:space="preserve">Investments </t>
  </si>
  <si>
    <t>Other Assets</t>
  </si>
  <si>
    <t>Advances and Progress Billings</t>
  </si>
  <si>
    <t>Short-Term Debt and Current Portion of Long-Term Debt</t>
  </si>
  <si>
    <t>Deferred Income Taxes and Income Taxes Payable</t>
  </si>
  <si>
    <t>Accrued Retiree Health Care</t>
  </si>
  <si>
    <t>Non-Current Income Taxes Payable</t>
  </si>
  <si>
    <t>Common Stock</t>
  </si>
  <si>
    <t>Treasury Stock</t>
  </si>
  <si>
    <t>Pension FAS/CAS Service Cost Adjustment</t>
  </si>
  <si>
    <t>Postretirement FAS/CAS Service Cost Adjustment</t>
  </si>
  <si>
    <t>Share-Based Plans</t>
  </si>
  <si>
    <t>Deferred Compensation</t>
  </si>
  <si>
    <t>Amortization of Previously Capitalized Interest</t>
  </si>
  <si>
    <t>Customer Financing Impairment</t>
  </si>
  <si>
    <t>Research and Development Expense, net</t>
  </si>
  <si>
    <t>Eliminations and Other Unallocated Items</t>
  </si>
  <si>
    <t>Interest and Debt Expense</t>
  </si>
  <si>
    <t>Other Non-Operating Expense/ Income, Net</t>
  </si>
  <si>
    <t>Net Loss Attributable to Noncontrolling Interest</t>
  </si>
  <si>
    <t>Boeing Capital Interest Expense</t>
  </si>
  <si>
    <t>R&amp;D Expense, net</t>
  </si>
  <si>
    <t>Less: Earnings Available to Participating Securities</t>
  </si>
  <si>
    <t>Commercial Airplanes</t>
  </si>
  <si>
    <t>Defense, Space &amp; Security</t>
  </si>
  <si>
    <t>Global Services</t>
  </si>
  <si>
    <t>Unallocated Items, Eliminations and Other</t>
  </si>
  <si>
    <t>Commercial Airplanes (BCA)</t>
  </si>
  <si>
    <t>Global Services (BGS)</t>
  </si>
  <si>
    <t>Boeing Capital (BCC)</t>
  </si>
  <si>
    <t>Boeing Military Aircraft</t>
  </si>
  <si>
    <t>Network &amp; Space Systems</t>
  </si>
  <si>
    <t>Global Services &amp; Support</t>
  </si>
  <si>
    <t>Commercial Airplanes (Old)</t>
  </si>
  <si>
    <t>Defense, Space &amp; Security (Old)</t>
  </si>
  <si>
    <t>Settlement With U.S. Department of Justice, net of Accruals</t>
  </si>
  <si>
    <t>Expense related to diluted shares</t>
  </si>
  <si>
    <t>Cumulative Effect of Accounting Change</t>
  </si>
  <si>
    <t>ND</t>
  </si>
  <si>
    <t>Total R&amp;D Expense</t>
  </si>
  <si>
    <t>Commercial Airplanes (BCA) Deliveries Annual</t>
  </si>
  <si>
    <t>AH-64 Apache (New)</t>
  </si>
  <si>
    <t>AH-64 Apache (Remanufactured)</t>
  </si>
  <si>
    <t>C-17 Globemaster III</t>
  </si>
  <si>
    <t>C-40A</t>
  </si>
  <si>
    <t>CH-47 Chinook (New)</t>
  </si>
  <si>
    <t>CH-47 Chinook (Renewed)</t>
  </si>
  <si>
    <t>F-15 Models</t>
  </si>
  <si>
    <t>F/A-18 Models</t>
  </si>
  <si>
    <t>KC-46 Tanker</t>
  </si>
  <si>
    <t>P-8 Models</t>
  </si>
  <si>
    <t>Commercial and Civil Satellites</t>
  </si>
  <si>
    <t>Military Satellites</t>
  </si>
  <si>
    <t>Defense, Space &amp; Security (BDS)</t>
  </si>
  <si>
    <t>Defense, Space &amp; Security (BDS) Deliveries Quarter</t>
  </si>
  <si>
    <t>Defense, Space &amp; Security (BDS) Deliveries Annual</t>
  </si>
  <si>
    <t>Non-Operating Adjustments</t>
  </si>
  <si>
    <t>Non-Operating Pension Expense</t>
  </si>
  <si>
    <t>Non-Operating Postretirement Expense</t>
  </si>
  <si>
    <t>Provision for Deferred Income Taxes on Adjustments</t>
  </si>
  <si>
    <t>Total Adjustment</t>
  </si>
  <si>
    <t>Core Net Earnings from Continuing Operations</t>
  </si>
  <si>
    <t>Core EPS from Continuing Operations - Diluted</t>
  </si>
  <si>
    <t>Days Sales Outstanding (Unbilled Receivables)</t>
  </si>
  <si>
    <t>Customer Financing and Properties on Lease, Additions/ Reductions</t>
  </si>
  <si>
    <t>NM</t>
  </si>
  <si>
    <t>Other Depreciation &amp; Amortization</t>
  </si>
  <si>
    <t>Commercial Airplanes (BCA) Deliveries Quarter</t>
  </si>
  <si>
    <t>Other Postretirement Benefits</t>
  </si>
  <si>
    <t xml:space="preserve">737 MAX </t>
  </si>
  <si>
    <t>Charges</t>
  </si>
  <si>
    <t>Puget Sound operations</t>
  </si>
  <si>
    <t>KC-46A Tanker</t>
  </si>
  <si>
    <t xml:space="preserve">Defense, Space &amp; Security (BDS) </t>
  </si>
  <si>
    <t>Commercial Airplanes (BCA) (Old)</t>
  </si>
  <si>
    <t>Defense, Space &amp; Security (BDS) (Old)</t>
  </si>
  <si>
    <t>Commercial Airplanes (BCA) Annual</t>
  </si>
  <si>
    <t>Commercial Airplanes (BCA) Quarter</t>
  </si>
  <si>
    <t>Defense, Space &amp; Security (BDS) Quarter</t>
  </si>
  <si>
    <t>Defense, Space &amp; Security (BDS) Annual</t>
  </si>
  <si>
    <t>Global Services (BGS) Annual</t>
  </si>
  <si>
    <t>Global Services (BGS) Quarter</t>
  </si>
  <si>
    <t>0.95% due May 2018</t>
  </si>
  <si>
    <t>1.65% due Oct 2020</t>
  </si>
  <si>
    <t>1.875% due June 2023</t>
  </si>
  <si>
    <t>2.125% due March 2022</t>
  </si>
  <si>
    <t>2.2% due Oct 2022</t>
  </si>
  <si>
    <t>2.25% due June 2026</t>
  </si>
  <si>
    <t>2.3% due Aug 2021</t>
  </si>
  <si>
    <t>2.35% due Oct 2021</t>
  </si>
  <si>
    <t>2.5% due Mar 2025</t>
  </si>
  <si>
    <t>2.6% due Oct 2025</t>
  </si>
  <si>
    <t>2.7% due Feb 2027</t>
  </si>
  <si>
    <t>2.7% due May 2022</t>
  </si>
  <si>
    <t>2.8% due March 2024</t>
  </si>
  <si>
    <t>2.8% due March 2023</t>
  </si>
  <si>
    <t>2.8% due March 2027</t>
  </si>
  <si>
    <t>2.85% due Oct 2024</t>
  </si>
  <si>
    <t>2.95% due Feb 2030</t>
  </si>
  <si>
    <t>3.1% due May 2026</t>
  </si>
  <si>
    <t>3.2% due March 2029</t>
  </si>
  <si>
    <t>3.25% due Feb 2035</t>
  </si>
  <si>
    <t>3.25% due March 2028</t>
  </si>
  <si>
    <t>3.3% due March 2035</t>
  </si>
  <si>
    <t>3.375% due June 2046</t>
  </si>
  <si>
    <t>3.45% due Nov 2028</t>
  </si>
  <si>
    <t>3.5% due March 2039</t>
  </si>
  <si>
    <t>3.5% due March 2045</t>
  </si>
  <si>
    <t>3.55% due March 2038</t>
  </si>
  <si>
    <t>3.6% due May 2034</t>
  </si>
  <si>
    <t>3.625% due March 2048</t>
  </si>
  <si>
    <t>3.65% due March 2047</t>
  </si>
  <si>
    <t>3.75% due Feb 2050</t>
  </si>
  <si>
    <t>3.825% due March 2059</t>
  </si>
  <si>
    <t>3.85% due Nov 2048</t>
  </si>
  <si>
    <t>3.9% due May 2049</t>
  </si>
  <si>
    <t>3.95% due Aug 2059</t>
  </si>
  <si>
    <t>4.875% due Feb 2020</t>
  </si>
  <si>
    <t>5.875% due Feb 2040</t>
  </si>
  <si>
    <t>6% due March 2019</t>
  </si>
  <si>
    <t>6.125% due Feb 2033</t>
  </si>
  <si>
    <t>6.625% due Feb 2038</t>
  </si>
  <si>
    <t>6.875% due March 2039</t>
  </si>
  <si>
    <t>6.875% due Oct 2043</t>
  </si>
  <si>
    <t>7.25% due June 2025</t>
  </si>
  <si>
    <t>7.5% due Aug 2042</t>
  </si>
  <si>
    <t>7.875% due April 2043</t>
  </si>
  <si>
    <t>7.95% due Aug 2024</t>
  </si>
  <si>
    <t>8.625% due Nov 2031</t>
  </si>
  <si>
    <t>8.75% due Sep 2031</t>
  </si>
  <si>
    <t>8.75% due Aug 2021</t>
  </si>
  <si>
    <t>Term loan facility Due Feb 2022</t>
  </si>
  <si>
    <t>6.98% to 7.38% due through 2021</t>
  </si>
  <si>
    <t>Finance lease obligations due through 2034</t>
  </si>
  <si>
    <t>Other Debts and Debt Issuance Cost &amp; Discount</t>
  </si>
  <si>
    <t>Less: Short Term Debt and Current Portion</t>
  </si>
  <si>
    <t>3-Months LIBOR rate</t>
  </si>
  <si>
    <t>Others</t>
  </si>
  <si>
    <t xml:space="preserve">737 Next Generation </t>
  </si>
  <si>
    <t>AEW&amp;C</t>
  </si>
  <si>
    <t>KC-767 International Tanker</t>
  </si>
  <si>
    <t>T-45TS Goshawk</t>
  </si>
  <si>
    <t>Delta II</t>
  </si>
  <si>
    <t>Delta IV</t>
  </si>
  <si>
    <t>MD-11</t>
  </si>
  <si>
    <t xml:space="preserve">MD-90 </t>
  </si>
  <si>
    <t>Memo Items</t>
  </si>
  <si>
    <t>Operating Profit (GAAP)</t>
  </si>
  <si>
    <t>Adjustments for Core Earnings</t>
  </si>
  <si>
    <t>Core Operating Profit (Incl. Others)</t>
  </si>
  <si>
    <t>Core Operating Profit (Excl. Pension)</t>
  </si>
  <si>
    <t>Accounting Quantity</t>
  </si>
  <si>
    <t>Program accounting quantities</t>
  </si>
  <si>
    <t>777X</t>
  </si>
  <si>
    <t>Undelivered units under firm orders</t>
  </si>
  <si>
    <t>Cumulative firm orders</t>
  </si>
  <si>
    <t>777X Program</t>
  </si>
  <si>
    <t>Charges Related to Reach-Forward loss</t>
  </si>
  <si>
    <t>747 Program</t>
  </si>
  <si>
    <t>Contract Catch-Up Adjustments</t>
  </si>
  <si>
    <t>Charges Related to Reach-Forward losses</t>
  </si>
  <si>
    <t>Covid 19</t>
  </si>
  <si>
    <t>Commercial Crew Program</t>
  </si>
  <si>
    <t>Boeing Co.</t>
  </si>
  <si>
    <t>BA.N</t>
  </si>
  <si>
    <t xml:space="preserve">Global Services (BGS) </t>
  </si>
  <si>
    <t>Defense Space &amp; Security (BDS) (Old)</t>
  </si>
  <si>
    <t>Unbilled Receivables</t>
  </si>
  <si>
    <t>GAAP Net Earnings Attributable to Boeing Shareholder</t>
  </si>
  <si>
    <t>Income Tax Benefit/ (Expense)</t>
  </si>
  <si>
    <t>BCA Revenue Model</t>
  </si>
  <si>
    <t>BCA Deliveries</t>
  </si>
  <si>
    <t>BCA Revenue Estimate</t>
  </si>
  <si>
    <t xml:space="preserve">Difference </t>
  </si>
  <si>
    <t>BCA Revenue Forecast</t>
  </si>
  <si>
    <t>BDS Revenue Model</t>
  </si>
  <si>
    <t>BDS Deliveries</t>
  </si>
  <si>
    <t>T-7A</t>
  </si>
  <si>
    <t>MQ-25</t>
  </si>
  <si>
    <t>MH-139</t>
  </si>
  <si>
    <t>BDS Prices (in mn)</t>
  </si>
  <si>
    <t>BDS Revenue Estimate</t>
  </si>
  <si>
    <t>BDS Revenue Forecast</t>
  </si>
  <si>
    <t>BDS Revenue Growth Estimate</t>
  </si>
  <si>
    <t>BDS Income Estimate</t>
  </si>
  <si>
    <t>787</t>
  </si>
  <si>
    <t>Long-Term Contracts in Progress</t>
  </si>
  <si>
    <t>Commercial Aircraft Programs</t>
  </si>
  <si>
    <t>Commercial Spare Parts, Used Aircraft, General Stock Materials and Other</t>
  </si>
  <si>
    <t>Total Inventories</t>
  </si>
  <si>
    <t>Program Accounting</t>
  </si>
  <si>
    <t>Unit-Cost Accounting</t>
  </si>
  <si>
    <t>Commercial Airplanes Segment Information - Earnings from Operations</t>
  </si>
  <si>
    <t>BCA Margin Estimate</t>
  </si>
  <si>
    <t>BCA Adjusted Operating Profit Estimate</t>
  </si>
  <si>
    <t>BCA Adjusted Operating Profit Reported</t>
  </si>
  <si>
    <t>Difference</t>
  </si>
  <si>
    <t>BDS Margin Estimate</t>
  </si>
  <si>
    <t>Military Aircraft</t>
  </si>
  <si>
    <t>Military Aircraft (Implied RDT&amp;E)</t>
  </si>
  <si>
    <t>Military Aircraft (Implied from Forecast)</t>
  </si>
  <si>
    <t>Adjusted Operating Margin Reported</t>
  </si>
  <si>
    <t>Adjusted Operating Profit Reported</t>
  </si>
  <si>
    <t>BCA Prices (in mn) (Airline Monitor '00-19)</t>
  </si>
  <si>
    <t>Total 787 Balance Sheet Assets</t>
  </si>
  <si>
    <t>Cash Collection per Aircraft (Produced)</t>
  </si>
  <si>
    <t>Cash Collection per Aircraft (Delivered)</t>
  </si>
  <si>
    <t>Aircraft Production Rate</t>
  </si>
  <si>
    <t>Production Cash Collection</t>
  </si>
  <si>
    <t>Tooling and Other Non-Recurring Cash Collection</t>
  </si>
  <si>
    <t>Deferred Production Cost Balance</t>
  </si>
  <si>
    <t>Unamortized Tooling and Other Non-Recurring Cost Balance</t>
  </si>
  <si>
    <t>Total 787 Cash Collection</t>
  </si>
  <si>
    <t>Aircraft Deliveres</t>
  </si>
  <si>
    <t>Total 737 Balance Sheet Assets</t>
  </si>
  <si>
    <t>Total 737 Cash Collection</t>
  </si>
  <si>
    <t>1Q14A</t>
  </si>
  <si>
    <t>2Q14A</t>
  </si>
  <si>
    <t>3Q14A</t>
  </si>
  <si>
    <t>4Q14A</t>
  </si>
  <si>
    <t>4Q13A</t>
  </si>
  <si>
    <t>3Q13A</t>
  </si>
  <si>
    <t>2Q13A</t>
  </si>
  <si>
    <t>1Q13A</t>
  </si>
  <si>
    <t>4Q12A</t>
  </si>
  <si>
    <t>3Q12A</t>
  </si>
  <si>
    <t>2Q12A</t>
  </si>
  <si>
    <t>1Q12A</t>
  </si>
  <si>
    <t>4Q11A</t>
  </si>
  <si>
    <t>3Q11A</t>
  </si>
  <si>
    <t>2Q11A</t>
  </si>
  <si>
    <t>1Q11A</t>
  </si>
  <si>
    <t>4Q10A</t>
  </si>
  <si>
    <t>3Q10A</t>
  </si>
  <si>
    <t>2Q10A</t>
  </si>
  <si>
    <t>1Q10A</t>
  </si>
  <si>
    <t>Inventory</t>
  </si>
  <si>
    <t>Price</t>
  </si>
  <si>
    <t>Cost</t>
  </si>
  <si>
    <t>Inventory Change</t>
  </si>
  <si>
    <t>Program Accounting Quantities</t>
  </si>
  <si>
    <t>Undelivered Units Under Firm Orders</t>
  </si>
  <si>
    <t>Cumulative Firm Orders</t>
  </si>
  <si>
    <t>Aircraft Deliveries</t>
  </si>
  <si>
    <t>Unamortized Tooling &amp; Other Non-Recurring Cost Balance</t>
  </si>
  <si>
    <t>Tooling &amp; Other Non-Recurring Cash Collection</t>
  </si>
  <si>
    <t>Change</t>
  </si>
  <si>
    <t>Block Quantities</t>
  </si>
  <si>
    <t>Depreciation &amp; Amortization (for Gross Margin calculation)</t>
  </si>
  <si>
    <t>Operating Margin Adjustment</t>
  </si>
  <si>
    <t>Gross Orders</t>
  </si>
  <si>
    <t>Pricing</t>
  </si>
  <si>
    <t>Orders</t>
  </si>
  <si>
    <t>Deposits</t>
  </si>
  <si>
    <t>BCA Revenue</t>
  </si>
  <si>
    <t>24-Months</t>
  </si>
  <si>
    <t>18-Months</t>
  </si>
  <si>
    <t>12-Months</t>
  </si>
  <si>
    <t>6-Months</t>
  </si>
  <si>
    <t>Pre-Delivery Payments @ 10% Installments</t>
  </si>
  <si>
    <t>Advances</t>
  </si>
  <si>
    <t>Cost of Goods Sold</t>
  </si>
  <si>
    <t>BCA COGS</t>
  </si>
  <si>
    <t>Customer Advances</t>
  </si>
  <si>
    <t>Advances and Progress Billings Liabilities</t>
  </si>
  <si>
    <t>Adjusted Margins</t>
  </si>
  <si>
    <t>Implied Program Operating Profit</t>
  </si>
  <si>
    <t>Implied Additional Costs</t>
  </si>
  <si>
    <t>Program Margin Estimate</t>
  </si>
  <si>
    <t>Estimated Cash Margin</t>
  </si>
  <si>
    <t>Book-to-Bill</t>
  </si>
  <si>
    <t>Total Gross Orders ($)</t>
  </si>
  <si>
    <t>737 Inventory Change</t>
  </si>
  <si>
    <t>787 Inventory Change</t>
  </si>
  <si>
    <t>747 Inventory Change</t>
  </si>
  <si>
    <t>767 Inventory Change</t>
  </si>
  <si>
    <t>777 Inventory Change</t>
  </si>
  <si>
    <t>Boeing Forecast</t>
  </si>
  <si>
    <t>BDS</t>
  </si>
  <si>
    <t>BGS</t>
  </si>
  <si>
    <t>EPS Per Aircraft</t>
  </si>
  <si>
    <t>Cash Per Aircraft</t>
  </si>
  <si>
    <t>Marginal Tax Rate Estimate</t>
  </si>
  <si>
    <t>Cash Conversion on EBIT</t>
  </si>
  <si>
    <t>NOPAT Per Aircraft</t>
  </si>
  <si>
    <t>2Q20A</t>
  </si>
  <si>
    <t>MSe Inventory Change</t>
  </si>
  <si>
    <t>Implied Difference (MSe vs Actual)</t>
  </si>
  <si>
    <t>Other Inventory</t>
  </si>
  <si>
    <t>Change (Positive is Use of Cash, Negative is Source of Cash)</t>
  </si>
  <si>
    <t>Down Payment at Order</t>
  </si>
  <si>
    <t>Customer Advances MSe</t>
  </si>
  <si>
    <t>Change in Advances</t>
  </si>
  <si>
    <t>Delivery Payment</t>
  </si>
  <si>
    <t>Pre-Existing Advances (Migrates from Advances to Cash)</t>
  </si>
  <si>
    <t>YoY Growth</t>
  </si>
  <si>
    <t>Net Debt Plus Advances to EBITDA</t>
  </si>
  <si>
    <t>Net Debt Plus Advances</t>
  </si>
  <si>
    <t xml:space="preserve">Sequential Share Price Growth </t>
  </si>
  <si>
    <t>Impact of Dilutive Instruments</t>
  </si>
  <si>
    <t>F2 on each cell to refresh</t>
  </si>
  <si>
    <t>Net Earnings + Loss from Minority Interest</t>
  </si>
  <si>
    <t>Net Earnings Attributable to Boeing Shareholders</t>
  </si>
  <si>
    <t>Net Income Attributable to Boeing Shareholder</t>
  </si>
  <si>
    <t>Net earnings</t>
  </si>
  <si>
    <t>GAAP Net Earnings</t>
  </si>
  <si>
    <t>Difference / Abnormal Costs / Charges</t>
  </si>
  <si>
    <t>3Q20A</t>
  </si>
  <si>
    <t>VC-25B</t>
  </si>
  <si>
    <t>4Q20A</t>
  </si>
  <si>
    <t>FCF</t>
  </si>
  <si>
    <t>CY2020A</t>
  </si>
  <si>
    <t>1Q21A</t>
  </si>
  <si>
    <t>1.433% due February 2024</t>
  </si>
  <si>
    <t>1.167% due February 2023</t>
  </si>
  <si>
    <t>2.196% due February 2026</t>
  </si>
  <si>
    <t>2Q21A</t>
  </si>
  <si>
    <t>1.167% notes due February 2023</t>
  </si>
  <si>
    <t>1.433 Notes due February 2024</t>
  </si>
  <si>
    <t>2.196% Notes due February 2026</t>
  </si>
  <si>
    <t>1.433% Notes due February 2024</t>
  </si>
  <si>
    <t xml:space="preserve"> </t>
  </si>
  <si>
    <t>3Q21A</t>
  </si>
  <si>
    <t>CY2026E</t>
  </si>
  <si>
    <t>4Q21A</t>
  </si>
  <si>
    <t>CY2021A</t>
  </si>
  <si>
    <t>2021 was 7.3% before charge</t>
  </si>
  <si>
    <t>1Q22A</t>
  </si>
  <si>
    <t>OCF</t>
  </si>
  <si>
    <t>Total Charges</t>
  </si>
  <si>
    <t>Historical Difference/Future Charges</t>
  </si>
  <si>
    <t>2Q22A</t>
  </si>
  <si>
    <t>BCA Revenue Excl. Delivery from Inventory</t>
  </si>
  <si>
    <t>.</t>
  </si>
  <si>
    <t>3Q22A</t>
  </si>
  <si>
    <t>737 MAX</t>
  </si>
  <si>
    <t>Cash Taxes</t>
  </si>
  <si>
    <t>Other WC</t>
  </si>
  <si>
    <t>Other BCA</t>
  </si>
  <si>
    <t>Cash Interest</t>
  </si>
  <si>
    <t>D&amp;A</t>
  </si>
  <si>
    <t>Other Cash Adjustments</t>
  </si>
  <si>
    <t>Other Income</t>
  </si>
  <si>
    <t>Check OCF</t>
  </si>
  <si>
    <t>Check Net Income</t>
  </si>
  <si>
    <t>OCF Build</t>
  </si>
  <si>
    <t>2023E</t>
  </si>
  <si>
    <t>2023E Usage</t>
  </si>
  <si>
    <t>2024E</t>
  </si>
  <si>
    <t>2024E Usage</t>
  </si>
  <si>
    <t>2025E</t>
  </si>
  <si>
    <t>2025E Usage</t>
  </si>
  <si>
    <t>2026E</t>
  </si>
  <si>
    <t>2026E Usage</t>
  </si>
  <si>
    <t>CY2027E</t>
  </si>
  <si>
    <t>Prev. OCF</t>
  </si>
  <si>
    <t>Prev. FCF</t>
  </si>
  <si>
    <t>4Q22A</t>
  </si>
  <si>
    <t>CY2022A</t>
  </si>
  <si>
    <t>Delivs</t>
  </si>
  <si>
    <t>BCA Op Profit minus MAX delivs</t>
  </si>
  <si>
    <t>MAX concessions</t>
  </si>
  <si>
    <t>1Q23A</t>
  </si>
  <si>
    <t>Boeing Capital (BCC) (Old</t>
  </si>
  <si>
    <t>BCC Revenue Estimate</t>
  </si>
  <si>
    <t>BCC Op. Profit</t>
  </si>
  <si>
    <t>BCC Op. Profit Margin</t>
  </si>
  <si>
    <t>BCC Adjusted Operating Profit Estimate</t>
  </si>
  <si>
    <t>2Q23A</t>
  </si>
  <si>
    <t>3Q23A</t>
  </si>
  <si>
    <t>3.4bn</t>
  </si>
  <si>
    <t>Commercial Airplanes - Program Accounting</t>
  </si>
  <si>
    <t>Commercial Airplanes - Unit Cost Accounting</t>
  </si>
  <si>
    <t>Other Changes in Inventory (Raw Materials, WIP, etc.)</t>
  </si>
  <si>
    <t>CY2028E</t>
  </si>
  <si>
    <t>CY2029E</t>
  </si>
  <si>
    <t>CY2023A</t>
  </si>
  <si>
    <t>4Q23A</t>
  </si>
  <si>
    <t>Adjustment to account for pre-delivery payments already received</t>
  </si>
  <si>
    <t>1Q24A</t>
  </si>
  <si>
    <t>2Q24A</t>
  </si>
  <si>
    <t>Common Shares Repurchased/Issued</t>
  </si>
  <si>
    <t>3Q24A</t>
  </si>
  <si>
    <t>Preferred Stock</t>
  </si>
  <si>
    <t>Shares Repurchased/(Issued)</t>
  </si>
  <si>
    <t>Preferred Stock Dividends</t>
  </si>
  <si>
    <t>KEI Tagging</t>
  </si>
  <si>
    <t>4Q24A</t>
  </si>
  <si>
    <t>CY2024A</t>
  </si>
  <si>
    <t>1Q25</t>
  </si>
  <si>
    <t>1Q25A</t>
  </si>
  <si>
    <t>Digital Aviation Solutions EBIT Assumption</t>
  </si>
  <si>
    <t>Estimated Revs</t>
  </si>
  <si>
    <t>Prev. 2026 Rev Estimates</t>
  </si>
  <si>
    <t>2Q25</t>
  </si>
  <si>
    <t>2Q25A</t>
  </si>
  <si>
    <t>4Q24</t>
  </si>
  <si>
    <t>3Q25A</t>
  </si>
  <si>
    <t>4Q26E</t>
  </si>
  <si>
    <t>1Q26E</t>
  </si>
  <si>
    <t>2Q26E</t>
  </si>
  <si>
    <t>3Q26E</t>
  </si>
  <si>
    <t>CC</t>
  </si>
  <si>
    <t>CY2030E</t>
  </si>
  <si>
    <t>CY2031E</t>
  </si>
  <si>
    <t>4Q25A</t>
  </si>
  <si>
    <t>CY2025A</t>
  </si>
  <si>
    <t>$1bn-$3bn</t>
  </si>
  <si>
    <t>1H26 usage of FCF; 2H26 positive FCF</t>
  </si>
  <si>
    <t xml:space="preserve">$4bn </t>
  </si>
  <si>
    <t>up ~10% in 2026</t>
  </si>
  <si>
    <t>~500</t>
  </si>
  <si>
    <t>90-100</t>
  </si>
  <si>
    <t xml:space="preserve">1585 Broadway </t>
  </si>
  <si>
    <t xml:space="preserve">New York, NY  10036-8293 </t>
  </si>
  <si>
    <t xml:space="preserve">United States </t>
  </si>
  <si>
    <t>Tel: +1 (1)212 761 4000</t>
  </si>
  <si>
    <t>Authors: Kristine Liwag</t>
  </si>
  <si>
    <t>Date: 28 Jan 2026</t>
  </si>
  <si>
    <t>Ticker: BA.N</t>
  </si>
  <si>
    <t>Stock Rating: Equal-weight</t>
  </si>
  <si>
    <t>Industry: Aerospace</t>
  </si>
  <si>
    <t>Industry View: Attractive</t>
  </si>
  <si>
    <t>Price as of 28 Jan 2026: 245.30</t>
  </si>
  <si>
    <t>Target Price: 245.00</t>
  </si>
  <si>
    <t>e = Morgan Stanley Research estimates unless otherwise noted</t>
  </si>
  <si>
    <t>Source: Morgan Stanley Research unless otherwise noted</t>
  </si>
  <si>
    <t>Stocks ratings are relative to the analyst's industry coverage universe.</t>
  </si>
  <si>
    <t>Morgan Stanley does and seeks to do business with companies covered in Morgan Stanley Research. As a</t>
  </si>
  <si>
    <t>result, investors should be aware that the firm may have a conflict of interest that could affect the</t>
  </si>
  <si>
    <t>objectivity of Morgan Stanley Research. Investors should consider Morgan Stanley Research as only a</t>
  </si>
  <si>
    <t>single factor in making their investment decision.</t>
  </si>
  <si>
    <t>The information and opinions in Morgan Stanley Research were prepared by Morgan Stanley &amp; Co. LLC,</t>
  </si>
  <si>
    <t>and/or Morgan Stanley C.T.V.M. S.A., and/or Morgan Stanley Mexico, Casa de Bolsa, S.A. de C.V., and/or</t>
  </si>
  <si>
    <t>Morgan Stanley Canada Limited. As used in this disclosure section, "Morgan Stanley" includes Morgan</t>
  </si>
  <si>
    <t>Stanley &amp; Co. LLC, Morgan Stanley C.T.V.M. S.A., Morgan Stanley Mexico, Casa de Bolsa, S.A. de C.V.,</t>
  </si>
  <si>
    <t>Morgan Stanley Canada Limited and their affiliates as necessary.</t>
  </si>
  <si>
    <t>For important disclosures, stock price charts and equity rating histories regarding companies that are</t>
  </si>
  <si>
    <t>the subject of this report, please see the Morgan Stanley Research Disclosure Website at</t>
  </si>
  <si>
    <t>www.morganstanley.com/eqr/disclosures/webapp/generalresearch, or contact your investment representative</t>
  </si>
  <si>
    <t>or Morgan Stanley Research at 1585 Broadway, (Attention: Research Management), New York, NY, 10036 USA.</t>
  </si>
  <si>
    <t>For valuation methodology and risks associated with any recommendation, rating or price target</t>
  </si>
  <si>
    <t>referenced in this research report, please contact the Client Support Team as follows: US/Canada +1 800</t>
  </si>
  <si>
    <t>303-2495; Hong Kong +852 2848-5999; Latin America +1 718 754-5444 (U.S.); London +44 (0)20-7425-8169;</t>
  </si>
  <si>
    <t>Singapore +65 6834-6860; Sydney +61 (0)2-9770-1505; Tokyo +81 (0)3-6836-9000. Alternatively you may</t>
  </si>
  <si>
    <t>contact your investment representative or Morgan Stanley Research at 1585 Broadway, (Attention: Research</t>
  </si>
  <si>
    <t>Management), New York, NY 10036 USA.</t>
  </si>
  <si>
    <t>Analyst Certification</t>
  </si>
  <si>
    <t>The following analysts hereby certify that their views about the companies and their securities</t>
  </si>
  <si>
    <t>discussed in this report are accurately expressed and that they have not received and will not receive</t>
  </si>
  <si>
    <t>direct or indirect compensation in exchange for expressing specific recommendations or views in this</t>
  </si>
  <si>
    <t>report: Kristine T Liwag.</t>
  </si>
  <si>
    <t>Global Research Conflict Management Policy</t>
  </si>
  <si>
    <t>Morgan Stanley Research has been published in accordance with our conflict management policy, which is</t>
  </si>
  <si>
    <t>available at www.morganstanley.com/institutional/research/conflictpolicies. A Portuguese version of the</t>
  </si>
  <si>
    <t>policy can be found at www.morganstanley.com.br</t>
  </si>
  <si>
    <t>Important Regulatory Disclosures on Subject Companies</t>
  </si>
  <si>
    <t>As of December 31, 2025, Morgan Stanley beneficially owned 1% or more of a class of common equity</t>
  </si>
  <si>
    <t>securities of the following companies covered in Morgan Stanley Research: Boeing Co..</t>
  </si>
  <si>
    <t>Within the last 12 months, Morgan Stanley has received compensation for investment banking services from</t>
  </si>
  <si>
    <t>Boeing Co..</t>
  </si>
  <si>
    <t>In the next 3 months, Morgan Stanley expects to receive or intends to seek compensation for investment</t>
  </si>
  <si>
    <t>banking services from Boeing Co..</t>
  </si>
  <si>
    <t>Within the last 12 months, Morgan Stanley has received compensation for products and services other than</t>
  </si>
  <si>
    <t>investment banking services from Boeing Co..</t>
  </si>
  <si>
    <t>Within the last 12 months, Morgan Stanley has provided or is providing investment banking services to,</t>
  </si>
  <si>
    <t>or has an investment banking client relationship with, the following company: Boeing Co..</t>
  </si>
  <si>
    <t>Within the last 12 months, Morgan Stanley has either provided or is providing non-investment banking,</t>
  </si>
  <si>
    <t>securities-related services to and/or in the past has entered into an agreement to provide services or</t>
  </si>
  <si>
    <t>has a client relationship with the following company: Boeing Co..</t>
  </si>
  <si>
    <t>An employee, director or consultant of Morgan Stanley is a director of Boeing Co.. This person is not a</t>
  </si>
  <si>
    <t>research analyst or a member of a research analyst's household.</t>
  </si>
  <si>
    <t>The equity research analysts or strategists principally responsible for the preparation of Morgan</t>
  </si>
  <si>
    <t>Stanley Research have received compensation based upon various factors, including quality of research,</t>
  </si>
  <si>
    <t>investor client feedback, stock picking, competitive factors, firm revenues and overall investment</t>
  </si>
  <si>
    <t>banking revenues. Equity Research analysts' or strategists' compensation is not linked to investment</t>
  </si>
  <si>
    <t>banking or capital markets transactions performed by Morgan Stanley or the profitability or revenues of</t>
  </si>
  <si>
    <t>particular trading desks.</t>
  </si>
  <si>
    <t>Morgan Stanley and its affiliates do business that relates to companies/instruments covered in Morgan</t>
  </si>
  <si>
    <t>Stanley Research, including market making, providing liquidity, fund management, commercial banking,</t>
  </si>
  <si>
    <t>extension of credit, investment services and investment banking. Morgan Stanley sells to and buys from</t>
  </si>
  <si>
    <t>customers the securities/instruments of companies covered in Morgan Stanley Research on a principal</t>
  </si>
  <si>
    <t>basis. Morgan Stanley may have a position in the debt of the Company or instruments discussed in this</t>
  </si>
  <si>
    <t>report. Morgan Stanley trades or may trade as principal in the debt securities (or in related</t>
  </si>
  <si>
    <t>derivatives) that are the subject of the debt research report.</t>
  </si>
  <si>
    <t>Certain disclosures listed above are also for compliance with applicable regulations in non-US</t>
  </si>
  <si>
    <t>jurisdictions.</t>
  </si>
  <si>
    <t>STOCK RATINGS</t>
  </si>
  <si>
    <t>Morgan Stanley uses a relative rating system using terms such as Overweight, Equal-weight, Not-Rated or</t>
  </si>
  <si>
    <t>Underweight (see definitions below). Morgan Stanley does not assign ratings of Buy, Hold or Sell to the</t>
  </si>
  <si>
    <t>stocks we cover. Overweight, Equal-weight, Not-Rated and Underweight are not the equivalent of buy, hold</t>
  </si>
  <si>
    <t>and sell. Investors should carefully read the definitions of all ratings used in Morgan Stanley</t>
  </si>
  <si>
    <t>Research. In addition, since Morgan Stanley Research contains more complete information concerning the</t>
  </si>
  <si>
    <t>analyst's views, investors should carefully read Morgan Stanley Research, in its entirety, and not infer</t>
  </si>
  <si>
    <t>the contents from the rating alone. In any case, ratings (or research) should not be used or relied</t>
  </si>
  <si>
    <t>upon as investment advice. An investor's decision to buy or sell a stock should depend on individual</t>
  </si>
  <si>
    <t>circumstances (such as the investor's existing holdings) and other considerations.</t>
  </si>
  <si>
    <t>Global Stock Ratings Distribution</t>
  </si>
  <si>
    <t>(as of December 31, 2025)</t>
  </si>
  <si>
    <t>The Stock Ratings described below apply to Morgan Stanley's Fundamental Equity Research and do not apply</t>
  </si>
  <si>
    <t>to Debt Research produced by the Firm.</t>
  </si>
  <si>
    <t>For disclosure purposes only (in accordance with FINRA requirements), we include the category headings</t>
  </si>
  <si>
    <t>of Buy, Hold, and Sell alongside our ratings of Overweight, Equal-weight, Not-Rated and Underweight.</t>
  </si>
  <si>
    <t>Morgan Stanley does not assign ratings of Buy, Hold or Sell to the stocks we cover. Overweight,</t>
  </si>
  <si>
    <t>Equal-weight, Not-Rated and Underweight are not the equivalent of buy, hold, and sell but represent</t>
  </si>
  <si>
    <t>recommended relative weightings (see definitions below). To satisfy regulatory requirements, we</t>
  </si>
  <si>
    <t>correspond Overweight, our most positive stock rating, with a buy recommendation; we correspond</t>
  </si>
  <si>
    <t>Equal-weight and Not-Rated to hold and Underweight to sell recommendations, respectively.</t>
  </si>
  <si>
    <t>Coverage Universe</t>
  </si>
  <si>
    <t>Investment Banking Clients (IBC)</t>
  </si>
  <si>
    <t>Other Material Investment Services Clients (MISC)</t>
  </si>
  <si>
    <t>Stock Rating Category</t>
  </si>
  <si>
    <t>Count</t>
  </si>
  <si>
    <t>% of Total</t>
  </si>
  <si>
    <t>% of Total IBC</t>
  </si>
  <si>
    <t>% of Rating Category</t>
  </si>
  <si>
    <t>% of Total Other MISC</t>
  </si>
  <si>
    <t>Overweight/Buy</t>
  </si>
  <si>
    <t>Equal-weight/Hold</t>
  </si>
  <si>
    <t>Not-Rated/Hold</t>
  </si>
  <si>
    <t>Underweight/Sell</t>
  </si>
  <si>
    <t>Data include common stock and ADRs currently assigned ratings. Investment Banking Clients are companies</t>
  </si>
  <si>
    <t>from whom Morgan Stanley received investment banking compensation in the last 12 months. Due to rounding</t>
  </si>
  <si>
    <t>off of decimals, the percentages provided in the "% of total" column may not add up to exactly 100</t>
  </si>
  <si>
    <t>percent.</t>
  </si>
  <si>
    <t>Analyst Stock Ratings</t>
  </si>
  <si>
    <t>Overweight (O). The stock's total return is expected to exceed the average total return of the analyst's</t>
  </si>
  <si>
    <t>industry (or industry team's) coverage universe, on a risk-adjusted basis, over the next 12-18 months.</t>
  </si>
  <si>
    <t>Equal-weight (E). The stock's total return is expected to be in line with the average total return of</t>
  </si>
  <si>
    <t>the analyst's industry (or industry team's) coverage universe, on a risk-adjusted basis, over the next</t>
  </si>
  <si>
    <t>12-18 months.</t>
  </si>
  <si>
    <t>Not-Rated (NR). Currently the analyst does not have adequate conviction about the stock's total return</t>
  </si>
  <si>
    <t>relative to the average total return of the analyst's industry (or industry team's) coverage universe,</t>
  </si>
  <si>
    <t>on a risk-adjusted basis, over the next 12-18 months.</t>
  </si>
  <si>
    <t>Underweight (U). The stock's total return is expected to be below the average total return of the</t>
  </si>
  <si>
    <t>analyst's industry (or industry team's) coverage universe, on a risk-adjusted basis, over the next 12-18</t>
  </si>
  <si>
    <t>months.</t>
  </si>
  <si>
    <t>Unless otherwise specified, the time frame for price targets included in Morgan Stanley Research is 12</t>
  </si>
  <si>
    <t>to 18 months.</t>
  </si>
  <si>
    <t>Analyst Industry Views</t>
  </si>
  <si>
    <t>Attractive (A): The analyst expects the performance of his or her industry coverage universe over the</t>
  </si>
  <si>
    <t>next 12-18 months to be attractive vs. the relevant broad market benchmark, as indicated below.</t>
  </si>
  <si>
    <t>In-Line (I): The analyst expects the performance of his or her industry coverage universe over the next</t>
  </si>
  <si>
    <t>12-18 months to be in line with the relevant broad market benchmark, as indicated below.</t>
  </si>
  <si>
    <t>Cautious (C): The analyst views the performance of his or her industry coverage universe over the next</t>
  </si>
  <si>
    <t>12-18 months with caution vs. the relevant broad market benchmark, as indicated below.</t>
  </si>
  <si>
    <t>Benchmarks for each region are as follows: North America - S&amp;P 500; Latin America - relevant MSCI</t>
  </si>
  <si>
    <t>country index or MSCI Latin America Index; Europe - MSCI Europe; Japan - TOPIX; Asia - relevant MSCI</t>
  </si>
  <si>
    <t>country index or MSCI sub-regional index or MSCI AC Asia Pacific ex Japan Index.</t>
  </si>
  <si>
    <t>Stock Price, Price Target and Rating History (See Rating Definitions)</t>
  </si>
  <si>
    <t>Important Disclosures for Morgan Stanley Smith Barney LLC Customers</t>
  </si>
  <si>
    <t>Important disclosures regarding any material conflict of interest that can reasonably be expected to</t>
  </si>
  <si>
    <t>have influenced Morgan Stanley Smith Barney LLC's choice of a third-party research provider or the</t>
  </si>
  <si>
    <t>subject company of a third-party research report, are available on the Morgan Stanley Wealth Management</t>
  </si>
  <si>
    <t>disclosure website at www.morganstanley.com/online/researchdisclosures. For Morgan Stanley specific</t>
  </si>
  <si>
    <t>disclosures, you may refer to https://www.morganstanley.com/eqr/disclosures/webapp/generalresearch.</t>
  </si>
  <si>
    <t>Each Morgan Stanley research report is reviewed and approved on behalf of Morgan Stanley Smith Barney</t>
  </si>
  <si>
    <t>LLC. This review and approval is conducted by the same person who reviews the research report on behalf</t>
  </si>
  <si>
    <t>of Morgan Stanley. This could create a conflict of interest.</t>
  </si>
  <si>
    <t>Other Important Disclosures</t>
  </si>
  <si>
    <t>Morgan Stanley Research policy is to update research reports as and when the Research Analyst and</t>
  </si>
  <si>
    <t>Research Management deem appropriate, based on developments with the issuer, the sector, or the market</t>
  </si>
  <si>
    <t>that may have a material impact on the research views or opinions stated therein. In addition, certain</t>
  </si>
  <si>
    <t>Research publications are intended to be updated on a regular periodic basis</t>
  </si>
  <si>
    <t>(weekly/monthly/quarterly/annual) and will ordinarily be updated with that frequency, unless the</t>
  </si>
  <si>
    <t>Research Analyst and Research Management determine that a different publication schedule is appropriate</t>
  </si>
  <si>
    <t>based on current conditions.</t>
  </si>
  <si>
    <t>Morgan Stanley is not acting as a municipal advisor and the opinions or views contained herein are not</t>
  </si>
  <si>
    <t>intended to be, and do not constitute, advice within the meaning of Section 975 of the Dodd-Frank Wall</t>
  </si>
  <si>
    <t>Street Reform and Consumer Protection Act.</t>
  </si>
  <si>
    <t>Morgan Stanley produces an equity research product called a "Tactical Idea." Views contained in a</t>
  </si>
  <si>
    <t>"Tactical Idea" on a particular stock may be contrary to the recommendations or views expressed in</t>
  </si>
  <si>
    <t>research on the same stock. This may be the result of differing time horizons, methodologies, market</t>
  </si>
  <si>
    <t>events, or other factors. For all research available on a particular stock, please contact your sales</t>
  </si>
  <si>
    <t>representative or go to Matrix at http://www.morganstanley.com/matrix.</t>
  </si>
  <si>
    <t>Morgan Stanley Research is provided to our clients through our proprietary research portal on Matrix and</t>
  </si>
  <si>
    <t>also distributed electronically by Morgan Stanley to clients. Certain, but not all, Morgan Stanley</t>
  </si>
  <si>
    <t>Research products are also made available to clients through third-party vendors or redistributed to</t>
  </si>
  <si>
    <t>clients through alternate electronic means as a convenience. For access to all available Morgan Stanley</t>
  </si>
  <si>
    <t>Research, please contact your sales representative or go to Matrix at</t>
  </si>
  <si>
    <t>http://www.morganstanley.com/matrix.</t>
  </si>
  <si>
    <t>Any access and/or use of Morgan Stanley Research is subject to Morgan Stanley's Terms of Use</t>
  </si>
  <si>
    <t>(http://www.morganstanley.com/terms.html). By accessing and/or using Morgan Stanley Research, you are</t>
  </si>
  <si>
    <t>indicating that you have read and agree to be bound by our Terms of Use</t>
  </si>
  <si>
    <t>(http://www.morganstanley.com/terms.html). In addition you consent to Morgan Stanley processing your</t>
  </si>
  <si>
    <t>personal data and using cookies in accordance with our Privacy Policy and our Global Cookies Policy</t>
  </si>
  <si>
    <t>(http://www.morganstanley.com/privacy_pledge.html), including for the purposes of setting your</t>
  </si>
  <si>
    <t>preferences and to collect readership data so that we can deliver better and more personalized service</t>
  </si>
  <si>
    <t>and products to you. To find out more information about how Morgan Stanley processes personal data, how</t>
  </si>
  <si>
    <t>we use cookies and how to reject cookies see our Privacy Policy and our Global Cookies Policy</t>
  </si>
  <si>
    <t>(http://www.morganstanley.com/privacy_pledge.html). Please use the provided link to review the Terms and</t>
  </si>
  <si>
    <t>Conditions and Most Important Terms and Conditions for Morgan Stanley India Company Private Limited</t>
  </si>
  <si>
    <t>(https://www.morganstanley.com/assets/pdfs/about-us-global-offices/india/Terms_and_conditions.pdf) and</t>
  </si>
  <si>
    <t>the following link to review the audit report</t>
  </si>
  <si>
    <t>(https://www.morganstanley.com/assets/pdfs/about-us-global-offices/india/Research_Audit_Report.pdf).</t>
  </si>
  <si>
    <t>If you do not agree to our Terms of Use and/or if you do not wish to provide your consent to Morgan</t>
  </si>
  <si>
    <t>Stanley processing your personal data or using cookies please do not access our research.</t>
  </si>
  <si>
    <t>Morgan Stanley Research does not provide individually tailored investment advice. Morgan Stanley</t>
  </si>
  <si>
    <t>Research has been prepared without regard to the circumstances and objectives of those who receive it.</t>
  </si>
  <si>
    <t>Morgan Stanley recommends that investors independently evaluate particular investments and strategies,</t>
  </si>
  <si>
    <t>and encourages investors to seek the advice of a financial adviser. The appropriateness of an investment</t>
  </si>
  <si>
    <t>or strategy will depend on an investor's circumstances and objectives. The securities, instruments, or</t>
  </si>
  <si>
    <t>strategies discussed in Morgan Stanley Research may not be suitable for all investors, and certain</t>
  </si>
  <si>
    <t>investors may not be eligible to purchase or participate in some or all of them. Morgan Stanley Research</t>
  </si>
  <si>
    <t>is not an offer to buy or sell or the solicitation of an offer to buy or sell any security/instrument or</t>
  </si>
  <si>
    <t>to participate in any particular trading strategy. The value of and income from your investments may</t>
  </si>
  <si>
    <t>vary because of changes in interest rates, foreign exchange rates, default rates, prepayment rates,</t>
  </si>
  <si>
    <t>securities/instruments prices, market indexes, operational or financial conditions of companies or other</t>
  </si>
  <si>
    <t>factors. There may be time limitations on the exercise of options or other rights in</t>
  </si>
  <si>
    <t>securities/instruments transactions. Past performance is not necessarily a guide to future performance.</t>
  </si>
  <si>
    <t>Estimates of future performance are based on assumptions that may not be realized. If provided, and</t>
  </si>
  <si>
    <t>unless otherwise stated, the closing price on the cover page is that of the primary exchange for the</t>
  </si>
  <si>
    <t>subject company's securities/instruments.</t>
  </si>
  <si>
    <t>The fixed income research analysts, strategists or economists principally responsible for the</t>
  </si>
  <si>
    <t>preparation of Morgan Stanley Research have received compensation based upon various factors, including</t>
  </si>
  <si>
    <t>quality, accuracy and value of research, firm profitability or revenues (which include fixed income</t>
  </si>
  <si>
    <t>trading and capital markets profitability or revenues), client feedback and competitive factors. Fixed</t>
  </si>
  <si>
    <t>Income Research analysts', strategists' or economists' compensation is not linked to investment banking</t>
  </si>
  <si>
    <t>or capital markets transactions performed by Morgan Stanley or the profitability or revenues of</t>
  </si>
  <si>
    <t>The "Important Regulatory Disclosures on Subject Companies" section in Morgan Stanley Research lists all</t>
  </si>
  <si>
    <t>companies mentioned where Morgan Stanley owns 1% or more of a class of common equity securities of the</t>
  </si>
  <si>
    <t>companies. For all other companies mentioned in Morgan Stanley Research, Morgan Stanley may have an</t>
  </si>
  <si>
    <t>investment of less than 1% in securities/instruments or derivatives of securities/instruments of</t>
  </si>
  <si>
    <t>companies and may trade them in ways different from those discussed in Morgan Stanley Research.</t>
  </si>
  <si>
    <t>Employees of Morgan Stanley not involved in the preparation of Morgan Stanley Research may have</t>
  </si>
  <si>
    <t>investments in securities/instruments or derivatives of securities/instruments of companies mentioned</t>
  </si>
  <si>
    <t>and may trade them in ways different from those discussed in Morgan Stanley Research. Derivatives may be</t>
  </si>
  <si>
    <t>issued by Morgan Stanley or associated persons.</t>
  </si>
  <si>
    <t>With the exception of information regarding Morgan Stanley, Morgan Stanley Research is based on public</t>
  </si>
  <si>
    <t>information. Morgan Stanley makes every effort to use reliable, comprehensive information, but we make</t>
  </si>
  <si>
    <t>no representation that it is accurate or complete. We have no obligation to tell you when opinions or</t>
  </si>
  <si>
    <t>information in Morgan Stanley Research change apart from when we intend to discontinue equity research</t>
  </si>
  <si>
    <t>coverage of a subject company. Facts and views presented in Morgan Stanley Research have not been</t>
  </si>
  <si>
    <t>reviewed by, and may not reflect information known to, professionals in other Morgan Stanley business</t>
  </si>
  <si>
    <t>areas, including investment banking personnel.</t>
  </si>
  <si>
    <t>Morgan Stanley Research personnel may participate in company events such as site visits and are</t>
  </si>
  <si>
    <t>generally prohibited from accepting payment by the company of associated expenses unless pre-approved by</t>
  </si>
  <si>
    <t>authorized members of Research management.</t>
  </si>
  <si>
    <t>Morgan Stanley may make investment decisions that are inconsistent with the recommendations or views in</t>
  </si>
  <si>
    <t>this report.</t>
  </si>
  <si>
    <t>To our readers based in Taiwan or trading in Taiwan securities/instruments: Information on</t>
  </si>
  <si>
    <t>securities/instruments that trade in Taiwan is distributed by Morgan Stanley Taiwan Limited ("MSTL").</t>
  </si>
  <si>
    <t>Such information is for your reference only. The reader should independently evaluate the investment</t>
  </si>
  <si>
    <t>risks and is solely responsible for their investment decisions. Morgan Stanley Research may not be</t>
  </si>
  <si>
    <t>distributed to the public media or quoted or used by the public media without the express written</t>
  </si>
  <si>
    <t>consent of Morgan Stanley. Any non-customer reader within the scope of Article 7-1 of the Taiwan Stock</t>
  </si>
  <si>
    <t>Exchange Recommendation Regulations accessing and/or receiving Morgan Stanley Research is not permitted</t>
  </si>
  <si>
    <t>to provide Morgan Stanley Research to any third party (including but not limited to related parties,</t>
  </si>
  <si>
    <t>affiliated companies and any other third parties) or engage in any activities regarding Morgan Stanley</t>
  </si>
  <si>
    <t>Research which may create or give the appearance of creating a conflict of interest. Information on</t>
  </si>
  <si>
    <t>securities/instruments that do not trade in Taiwan is for informational purposes only and is not to be</t>
  </si>
  <si>
    <t>construed as a recommendation or a solicitation to trade in such securities/instruments. MSTL may not</t>
  </si>
  <si>
    <t>execute transactions for clients in these securities/instruments.</t>
  </si>
  <si>
    <t>Morgan Stanley is not incorporated under PRC law and the research in relation to this report is</t>
  </si>
  <si>
    <t>conducted outside the PRC. Morgan Stanley Research does not constitute an offer to sell or the</t>
  </si>
  <si>
    <t>solicitation of an offer to buy any securities in the PRC. PRC investors shall have the relevant</t>
  </si>
  <si>
    <t>qualifications to invest in such securities and shall be responsible for obtaining all relevant</t>
  </si>
  <si>
    <t>approvals, licenses, verifications and/or registrations from the relevant governmental authorities</t>
  </si>
  <si>
    <t>themselves. Neither this report nor any part of it is intended as, or shall constitute, provision of any</t>
  </si>
  <si>
    <t>consultancy or advisory service of securities investment as defined under PRC law. Such information is</t>
  </si>
  <si>
    <t>provided for your reference only.</t>
  </si>
  <si>
    <t>Morgan Stanley Research is disseminated in Brazil by Morgan Stanley C.T.V.M. S.A. located at Av.</t>
  </si>
  <si>
    <t>Brigadeiro Faria Lima, 3600, 6th floor, São Paulo - SP, Brazil; and is regulated by the Comissão de</t>
  </si>
  <si>
    <t>Valores Mobiliários; in Mexico by Morgan Stanley México, Casa de Bolsa, S.A. de C.V which is regulated</t>
  </si>
  <si>
    <t>by Comision Nacional Bancaria y de Valores. Paseo de los Tamarindos 90, Torre 1, Col. Bosques de las</t>
  </si>
  <si>
    <t>Lomas Floor 29, 05120 Mexico City; in Japan by Morgan Stanley MUFG Securities Co., Ltd. and, for</t>
  </si>
  <si>
    <t>Commodities related research reports only, Morgan Stanley Capital Group Japan Co., Ltd; in Hong Kong by</t>
  </si>
  <si>
    <t>Morgan Stanley Asia Limited (which accepts responsibility for its contents) and by Morgan Stanley Bank</t>
  </si>
  <si>
    <t>Asia Limited; in Singapore by Morgan Stanley Asia (Singapore) Pte. (Registration number 199206298Z)</t>
  </si>
  <si>
    <t>and/or Morgan Stanley Asia (Singapore) Securities Pte Ltd (Registration number 200008434H), regulated by</t>
  </si>
  <si>
    <t>the Monetary Authority of Singapore (which accepts legal responsibility for its contents and should be</t>
  </si>
  <si>
    <t>contacted with respect to any matters arising from, or in connection with, Morgan Stanley Research) and</t>
  </si>
  <si>
    <t>by Morgan Stanley Bank Asia Limited, Singapore Branch (Registration number T14FC0118J); in Australia to</t>
  </si>
  <si>
    <t>"wholesale clients" within the meaning of the Australian Corporations Act by Morgan Stanley Australia</t>
  </si>
  <si>
    <t>Limited A.B.N. 67 003 734 576, holder of Australian financial services license No. 233742, which accepts</t>
  </si>
  <si>
    <t>responsibility for its contents; in Australia to "wholesale clients" and "retail clients" within the</t>
  </si>
  <si>
    <t>meaning of the Australian Corporations Act by Morgan Stanley Wealth Management Australia Pty Ltd (A.B.N.</t>
  </si>
  <si>
    <t>19 009 145 555, holder of Australian financial services license No. 240813, which accepts responsibility</t>
  </si>
  <si>
    <t>for its contents; in Korea by Morgan Stanley &amp; Co International plc, Seoul Branch; in India by Morgan</t>
  </si>
  <si>
    <t>Stanley India Company Private Limited having Corporate Identification No (CIN) U22990MH1998PTC115305,</t>
  </si>
  <si>
    <t>regulated by the Securities and Exchange Board of India (“SEBI”) and holder of licenses as a Research</t>
  </si>
  <si>
    <t>Analyst (SEBI Registration No. INH000001105); Stock Broker (SEBI Stock Broker Registration No.</t>
  </si>
  <si>
    <t>INZ000244438), Merchant Banker (SEBI Registration No. INM000011203), and depository participant with</t>
  </si>
  <si>
    <t>National Securities Depository Limited (SEBI Registration No. IN-DP-NSDL-567-2021) having registered</t>
  </si>
  <si>
    <t>office at Altimus, Level 39 &amp; 40, Pandurang Budhkar Marg, Worli, Mumbai 400018, India; Telephone no.</t>
  </si>
  <si>
    <t>+91-22-61181000; Compliance Officer Details: Mr. Tejarshi Hardas, Tel. No.: +91-22-61181000 or Email:</t>
  </si>
  <si>
    <t>tejarshi.hardas@morganstanley.com; Grievance officer details: Mr. Tejarshi Hardas, Tel. No.:</t>
  </si>
  <si>
    <t>+91-22-61181000 or Email: msic-compliance@morganstanley.com. Morgan Stanley India Company Private</t>
  </si>
  <si>
    <t>Limited (MSICPL) may use AI tools in providing research services. All recommendations contained herein</t>
  </si>
  <si>
    <t>are made by the duly qualified research analysts; in Canada by Morgan Stanley Canada Limited; in Germany</t>
  </si>
  <si>
    <t>and the European Economic Area where required by Morgan Stanley Europe S.E., authorised and regulated by</t>
  </si>
  <si>
    <t>Bundesanstalt fuer Finanzdienstleistungsaufsicht (BaFin) under the reference number 149169; in the US by</t>
  </si>
  <si>
    <t>Morgan Stanley &amp; Co. LLC, which accepts responsibility for its contents. Morgan Stanley &amp; Co.</t>
  </si>
  <si>
    <t>International plc, authorized by the Prudential Regulation Authority and regulated by the Financial</t>
  </si>
  <si>
    <t>Conduct Authority and the Prudential Regulation Authority, disseminates in the UK research that it has</t>
  </si>
  <si>
    <t>prepared, and research which has been prepared by any of its affiliates, only to persons who (i) are</t>
  </si>
  <si>
    <t>investment professionals falling within Article 19(5) of the Financial Services and Markets Act 2000</t>
  </si>
  <si>
    <t>(Financial Promotion) Order 2005 (as amended, the “Order”); (ii) are persons who are high net worth</t>
  </si>
  <si>
    <t>entities falling within Article 49(2)(a) to (d) of the Order; or (iii) are persons to whom an invitation</t>
  </si>
  <si>
    <t>or inducement to engage in investment activity (within the meaning of section 21 of the Financial</t>
  </si>
  <si>
    <t>Services and Markets Act 2000, as amended) may otherwise lawfully be communicated or caused to be</t>
  </si>
  <si>
    <t>communicated. RMB Morgan Stanley Proprietary Limited is a member of the JSE Limited and A2X (Pty) Ltd.</t>
  </si>
  <si>
    <t>RMB Morgan Stanley Proprietary Limited is a joint venture owned equally by Morgan Stanley International</t>
  </si>
  <si>
    <t>Holdings Inc. and RMB Investment Advisory (Proprietary) Limited, which is wholly owned by FirstRand</t>
  </si>
  <si>
    <t>Limited. The information in Morgan Stanley Research is being disseminated by Morgan Stanley Saudi</t>
  </si>
  <si>
    <t>Arabia, regulated by the Capital Market Authority in the Kingdom of Saudi Arabia, and is directed at</t>
  </si>
  <si>
    <t>Sophisticated investors only.</t>
  </si>
  <si>
    <t>The information in Morgan Stanley Research is being communicated by Morgan Stanley &amp; Co. International</t>
  </si>
  <si>
    <t>plc (DIFC Branch), regulated by the Dubai Financial Services Authority (the DFSA) or by Morgan Stanley &amp;</t>
  </si>
  <si>
    <t>Co. International plc (ADGM Branch), regulated by the Financial Services Regulatory Authority Abu Dhabi</t>
  </si>
  <si>
    <t>(the FSRA), and is directed at Professional Clients only, as defined by the DFSA or the FSRA,</t>
  </si>
  <si>
    <t>respectively. The financial products or financial services to which this research relates will only be</t>
  </si>
  <si>
    <t>made available to a customer who we are satisfied meets the regulatory criteria of a Professional</t>
  </si>
  <si>
    <t>Client. A distribution of the different MS Research ratings or recommendations, in percentage terms for</t>
  </si>
  <si>
    <t>Investments in each sector covered, is available upon request from your sales representative.</t>
  </si>
  <si>
    <t>plc (QFC Branch), regulated by the Qatar Financial Centre Regulatory Authority (the QFCRA), and is</t>
  </si>
  <si>
    <t>directed at business customers and market counterparties only and is not intended for Retail Customers</t>
  </si>
  <si>
    <t>as defined by the QFCRA.</t>
  </si>
  <si>
    <t>As required by the Capital Markets Board of Turkey, investment information, comments and recommendations</t>
  </si>
  <si>
    <t>stated here, are not within the scope of investment advisory activity. Investment advisory service is</t>
  </si>
  <si>
    <t>provided exclusively to persons based on their risk and income preferences by the authorized firms.</t>
  </si>
  <si>
    <t>Comments and recommendations stated here are general in nature. These opinions may not fit to your</t>
  </si>
  <si>
    <t>financial status, risk and return preferences. For this reason, to make an investment decision by</t>
  </si>
  <si>
    <t>relying solely to this information stated here may not bring about outcomes that fit your expectations.</t>
  </si>
  <si>
    <t>The trademarks and service marks contained in Morgan Stanley Research are the property of their</t>
  </si>
  <si>
    <t>respective owners. Third-party data providers make no warranties or representations relating to the</t>
  </si>
  <si>
    <t>accuracy, completeness, or timeliness of the data they provide and shall not have liability for any</t>
  </si>
  <si>
    <t>damages relating to such data. The Global Industry Classification Standard (GICS) was developed by and</t>
  </si>
  <si>
    <t>is the exclusive property of MSCI and S&amp;P.</t>
  </si>
  <si>
    <t>Morgan Stanley Research, or any portion thereof may not be reprinted, sold or redistributed without the</t>
  </si>
  <si>
    <t>written consent of Morgan Stanley.</t>
  </si>
  <si>
    <t>Indicators and trackers referenced in Morgan Stanley Research may not be used as, or treated as, a</t>
  </si>
  <si>
    <t>benchmark under Regulation EU 2016/1011, or any other similar framework.</t>
  </si>
  <si>
    <t>The issuers and/or fixed income products recommended or discussed in certain fixed income research</t>
  </si>
  <si>
    <t>reports may not be continuously followed. Accordingly, investors should regard those fixed income</t>
  </si>
  <si>
    <t>research reports as providing stand-alone analysis and should not expect continuing analysis or</t>
  </si>
  <si>
    <t>additional reports relating to such issuers and/or individual fixed income products.</t>
  </si>
  <si>
    <t>Morgan Stanley may hold, from time to time, material financial and commercial interests regarding the</t>
  </si>
  <si>
    <t>company subject to the Research report.</t>
  </si>
  <si>
    <t>Registration granted by SEBI and certification from the National Institute of Securities Markets (NISM)</t>
  </si>
  <si>
    <t>in no way guarantee performance of the intermediary or provide any assurance of returns to investors.</t>
  </si>
  <si>
    <t>Investment in securities market are subject to market risks. Read all the related documents carefully</t>
  </si>
  <si>
    <t>before investing.</t>
  </si>
  <si>
    <t>© Copyright 2026 Morgan Stanley</t>
  </si>
  <si>
    <t>MacroVersion</t>
  </si>
  <si>
    <t>6.10</t>
  </si>
  <si>
    <t>PublishDate</t>
  </si>
  <si>
    <t>01/28/26 12:56</t>
  </si>
  <si>
    <t>Discipline</t>
  </si>
  <si>
    <t>Research</t>
  </si>
  <si>
    <t>ResearchTopic</t>
  </si>
  <si>
    <t>Company</t>
  </si>
  <si>
    <t>DocType</t>
  </si>
  <si>
    <t>Model</t>
  </si>
  <si>
    <t>SubjectCode</t>
  </si>
  <si>
    <t>Description</t>
  </si>
  <si>
    <t>KeepVersions</t>
  </si>
  <si>
    <t>All</t>
  </si>
  <si>
    <t>Rating</t>
  </si>
  <si>
    <t>Equal-weight / Attractive</t>
  </si>
  <si>
    <t>CurrYearTotalRevenue*</t>
  </si>
  <si>
    <t>CurrYearEPS*</t>
  </si>
  <si>
    <t>NextYearTotalRevenue*</t>
  </si>
  <si>
    <t>NextYearEPS*</t>
  </si>
  <si>
    <t>FollowingYearTotalRevenue*</t>
  </si>
  <si>
    <t>FollowingYearEPS*</t>
  </si>
  <si>
    <t>5YearGrowthRate</t>
  </si>
  <si>
    <t>UpdateReason</t>
  </si>
  <si>
    <t>Regular Update</t>
  </si>
  <si>
    <t>Authors</t>
  </si>
  <si>
    <t>MSA67VJY</t>
  </si>
  <si>
    <t>Tickers</t>
  </si>
  <si>
    <t>CUSIP</t>
  </si>
  <si>
    <t>097023105</t>
  </si>
  <si>
    <t>RIC</t>
  </si>
  <si>
    <t>SEDOL</t>
  </si>
  <si>
    <t>2108601</t>
  </si>
  <si>
    <t>Current Stock Price</t>
  </si>
  <si>
    <t>245.30</t>
  </si>
  <si>
    <t>Currency</t>
  </si>
  <si>
    <t>PathName</t>
  </si>
  <si>
    <t>L:\AERO\A&amp;D MODELS\BA.Model.2025_Pre3Q25.JasonUpdate_PreCall_Actuals.Jason_Rollover_Pre4Q25_Actuals.xlsm</t>
  </si>
  <si>
    <t>Distribution</t>
  </si>
  <si>
    <t>0</t>
  </si>
  <si>
    <t>Deleted</t>
  </si>
  <si>
    <t>NO</t>
  </si>
  <si>
    <t>EmailAlert</t>
  </si>
  <si>
    <t>YES</t>
  </si>
  <si>
    <t>CurrQtrEPS</t>
  </si>
  <si>
    <t>CYEnd</t>
  </si>
  <si>
    <t>CQEnd</t>
  </si>
  <si>
    <t>CurrYearTotalRevenueActual*</t>
  </si>
  <si>
    <t>NextYearTotalRevenueActual*</t>
  </si>
  <si>
    <t>FollowingYearTotalRevenueActual*</t>
  </si>
  <si>
    <t>Multiplier</t>
  </si>
  <si>
    <t>1000000</t>
  </si>
  <si>
    <t>TemplateRegion</t>
  </si>
  <si>
    <t>NorthAmerica</t>
  </si>
  <si>
    <t>ObjectType</t>
  </si>
  <si>
    <t>excel</t>
  </si>
  <si>
    <t>LanguageCode</t>
  </si>
  <si>
    <t>en-US</t>
  </si>
  <si>
    <t>SubmitterUserId</t>
  </si>
  <si>
    <t>knafegab</t>
  </si>
  <si>
    <t>IndustryId</t>
  </si>
  <si>
    <t>1500000156</t>
  </si>
  <si>
    <t>TickerRegion</t>
  </si>
  <si>
    <t>1</t>
  </si>
  <si>
    <t>AdditionalInstructions</t>
  </si>
  <si>
    <t>*Estimated</t>
  </si>
  <si>
    <t>OwnerTeam</t>
  </si>
  <si>
    <t>I1500005409</t>
  </si>
  <si>
    <t>[BRO MSA]</t>
  </si>
  <si>
    <t>[DOCDAT 2026-01-28]</t>
  </si>
  <si>
    <t>[DOCTIME 12:56]</t>
  </si>
  <si>
    <t>[PSYM BA.N(S&amp;P) (None)]</t>
  </si>
  <si>
    <t>[COU United States of America]</t>
  </si>
  <si>
    <t>[PRODUCT MODEL]</t>
  </si>
  <si>
    <t>[ANA ]</t>
  </si>
  <si>
    <t>[HL BA.N Model]</t>
  </si>
  <si>
    <t>[IND Aerospace &amp; Defense]</t>
  </si>
  <si>
    <t>[EMAIL_ALERT YES]</t>
  </si>
  <si>
    <t>[PANA  MSA67VJY]</t>
  </si>
  <si>
    <t>[DISCIPLINE Company]</t>
  </si>
  <si>
    <t>[SUPPRESSED NO]</t>
  </si>
  <si>
    <t>This workbook contains formulas which intentionally use circular reference calculation. These calculations can be resolved as intended by the originating analyst by applying the following settings in the File &gt;&gt; Options &gt;&gt; Formulas:</t>
  </si>
  <si>
    <t>1) Select the Enable iterative calculation check box</t>
  </si>
  <si>
    <t>2) Set Maximum Iterations = 100</t>
  </si>
  <si>
    <t>3) Set Maximum Change = 0.001</t>
  </si>
  <si>
    <t>Failure to apply these settings can result in incorrect calculation or unexpected termination of your Microsoft Excel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</si>
</sst>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7" formatCode="&quot;$&quot;#,##0.00_);\(&quot;$&quot;#,##0.00\)"/>
    <numFmt numFmtId="41" formatCode="_(* #,##0_);_(* \(#,##0\);_(* &quot;-&quot;_);_(@_)"/>
    <numFmt numFmtId="44" formatCode="_(&quot;$&quot;* #,##0.00_);_(&quot;$&quot;* \(#,##0.00\);_(&quot;$&quot;* &quot;-&quot;??_);_(@_)"/>
    <numFmt numFmtId="43" formatCode="_(* #,##0.00_);_(* \(#,##0.00\);_(* &quot;-&quot;??_);_(@_)"/>
    <numFmt numFmtId="164" formatCode="_ * #,##0.00_ ;_ * \-#,##0.00_ ;_ * &quot;-&quot;??_ ;_ @_ "/>
    <numFmt numFmtId="165" formatCode="0.0%"/>
    <numFmt numFmtId="166" formatCode="#,##0.0\x"/>
    <numFmt numFmtId="167" formatCode="#,##0.0"/>
    <numFmt numFmtId="168" formatCode="#,##0.0_);\(#,##0.0\)"/>
    <numFmt numFmtId="169" formatCode="#,##0.0\x_);\(#,##0.0\)\x"/>
    <numFmt numFmtId="170" formatCode="&quot;$&quot;#,##0.00"/>
    <numFmt numFmtId="171" formatCode="0.0"/>
    <numFmt numFmtId="172" formatCode="_(* #,##0_);_(* \(#,##0\);_(* &quot;-&quot;??_);_(@_)"/>
    <numFmt numFmtId="173" formatCode="&quot;$&quot;#,##0.0000_);\(&quot;$&quot;#,##0.0000\)"/>
    <numFmt numFmtId="174" formatCode="_(&quot;$&quot;* #,##0_);_(&quot;$&quot;* \(#,##0\);_(&quot;$&quot;* &quot;-&quot;??_);_(@_)"/>
    <numFmt numFmtId="175" formatCode="0.0000"/>
    <numFmt numFmtId="176" formatCode="#,##0.0000_);\(#,##0.0000\)"/>
  </numFmts>
  <fonts count="53">
    <font>
      <sz val="11"/>
      <color rgb="FF000000"/>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11"/>
      <color rgb="FF0000FF"/>
      <name val="Calibri"/>
      <family val="2"/>
      <scheme val="minor"/>
    </font>
    <font>
      <sz val="11"/>
      <color rgb="FF006600"/>
      <name val="Calibri"/>
      <family val="2"/>
      <scheme val="minor"/>
    </font>
    <font>
      <b/>
      <i/>
      <sz val="11"/>
      <color theme="1"/>
      <name val="Calibri"/>
      <family val="2"/>
      <scheme val="minor"/>
    </font>
    <font>
      <b/>
      <sz val="11"/>
      <name val="Calibri"/>
      <family val="2"/>
      <scheme val="minor"/>
    </font>
    <font>
      <b/>
      <sz val="11"/>
      <color rgb="FF0000FF"/>
      <name val="Calibri"/>
      <family val="2"/>
      <scheme val="minor"/>
    </font>
    <font>
      <sz val="11"/>
      <name val="Calibri"/>
      <family val="2"/>
      <scheme val="minor"/>
    </font>
    <font>
      <b/>
      <sz val="11"/>
      <color rgb="FF006600"/>
      <name val="Calibri"/>
      <family val="2"/>
      <scheme val="minor"/>
    </font>
    <font>
      <sz val="11"/>
      <color rgb="FFFF0000"/>
      <name val="Calibri"/>
      <family val="2"/>
      <scheme val="minor"/>
    </font>
    <font>
      <sz val="10"/>
      <name val="Arial"/>
      <family val="2"/>
    </font>
    <font>
      <sz val="10"/>
      <name val="Helv"/>
      <charset val="204"/>
    </font>
    <font>
      <sz val="10"/>
      <name val="MS Sans Serif"/>
      <family val="2"/>
    </font>
    <font>
      <b/>
      <sz val="10"/>
      <color indexed="8"/>
      <name val="Times New Roman"/>
      <family val="1"/>
    </font>
    <font>
      <sz val="9"/>
      <name val="Times New Roman"/>
      <family val="1"/>
    </font>
    <font>
      <sz val="10"/>
      <color indexed="8"/>
      <name val="Times New Roman"/>
      <family val="1"/>
    </font>
    <font>
      <i/>
      <sz val="8"/>
      <name val="Times New Roman"/>
      <family val="1"/>
    </font>
    <font>
      <sz val="12"/>
      <name val="바탕체"/>
      <family val="3"/>
    </font>
    <font>
      <sz val="9"/>
      <color indexed="81"/>
      <name val="Tahoma"/>
      <family val="2"/>
    </font>
    <font>
      <b/>
      <sz val="9"/>
      <color indexed="81"/>
      <name val="Tahoma"/>
      <family val="2"/>
    </font>
    <font>
      <i/>
      <sz val="11"/>
      <color rgb="FF0000FF"/>
      <name val="Calibri"/>
      <family val="2"/>
      <scheme val="minor"/>
    </font>
    <font>
      <i/>
      <sz val="11"/>
      <color rgb="FF006600"/>
      <name val="Calibri"/>
      <family val="2"/>
      <scheme val="minor"/>
    </font>
    <font>
      <i/>
      <sz val="11"/>
      <name val="Calibri"/>
      <family val="2"/>
      <scheme val="minor"/>
    </font>
    <font>
      <b/>
      <sz val="11"/>
      <color rgb="FFFF0000"/>
      <name val="Calibri"/>
      <family val="2"/>
      <scheme val="minor"/>
    </font>
    <font>
      <sz val="14"/>
      <color rgb="FF0000FF"/>
      <name val="Arial"/>
      <family val="2"/>
    </font>
    <font>
      <sz val="11"/>
      <color rgb="FF00B0F0"/>
      <name val="Calibri"/>
      <family val="2"/>
      <scheme val="minor"/>
    </font>
    <font>
      <sz val="11"/>
      <color rgb="FFFF00FF"/>
      <name val="Calibri"/>
      <family val="2"/>
      <scheme val="minor"/>
    </font>
    <font>
      <i/>
      <sz val="11"/>
      <color rgb="FF00B0F0"/>
      <name val="Calibri"/>
      <family val="2"/>
      <scheme val="minor"/>
    </font>
    <font>
      <b/>
      <i/>
      <sz val="11"/>
      <name val="Calibri"/>
      <family val="2"/>
      <scheme val="minor"/>
    </font>
    <font>
      <b/>
      <sz val="11"/>
      <color theme="0" tint="-0.499984740745262"/>
      <name val="Calibri"/>
      <family val="2"/>
      <scheme val="minor"/>
    </font>
    <font>
      <i/>
      <sz val="11"/>
      <color theme="0" tint="-0.499984740745262"/>
      <name val="Calibri"/>
      <family val="2"/>
      <scheme val="minor"/>
    </font>
    <font>
      <b/>
      <sz val="11"/>
      <color theme="0"/>
      <name val="Calibri"/>
      <family val="2"/>
      <scheme val="minor"/>
    </font>
    <font>
      <b/>
      <u/>
      <sz val="11"/>
      <color theme="1"/>
      <name val="Calibri"/>
      <family val="2"/>
      <scheme val="minor"/>
    </font>
    <font>
      <sz val="11"/>
      <color rgb="FF7030A0"/>
      <name val="Calibri"/>
      <family val="2"/>
      <scheme val="minor"/>
    </font>
    <font>
      <sz val="10"/>
      <color theme="1"/>
      <name val="Arial"/>
      <family val="2"/>
    </font>
    <font>
      <b/>
      <sz val="11"/>
      <color rgb="FFFF00FF"/>
      <name val="Calibri"/>
      <family val="2"/>
      <scheme val="minor"/>
    </font>
    <font>
      <sz val="10"/>
      <color theme="1"/>
      <name val="Times New Roman"/>
      <family val="1"/>
    </font>
    <font>
      <b/>
      <u/>
      <sz val="11"/>
      <color rgb="FF000000"/>
      <name val="Calibri"/>
      <family val="2"/>
    </font>
    <font>
      <sz val="11"/>
      <color rgb="FF000000"/>
      <name val="Calibri"/>
      <family val="2"/>
    </font>
    <font>
      <u/>
      <sz val="11"/>
      <color theme="1"/>
      <name val="Calibri"/>
      <family val="2"/>
      <scheme val="minor"/>
    </font>
    <font>
      <b/>
      <u/>
      <sz val="11"/>
      <color theme="0"/>
      <name val="Calibri"/>
      <family val="2"/>
      <scheme val="minor"/>
    </font>
    <font>
      <sz val="11"/>
      <color theme="0" tint="-0.34998626667073579"/>
      <name val="Calibri"/>
      <family val="2"/>
      <scheme val="minor"/>
    </font>
    <font>
      <sz val="8"/>
      <name val="Calibri"/>
      <family val="2"/>
      <scheme val="minor"/>
    </font>
    <font>
      <sz val="11"/>
      <color theme="1"/>
      <name val="Arial"/>
      <family val="2"/>
    </font>
    <font>
      <sz val="10"/>
      <color rgb="FF000000"/>
      <name val="Arial"/>
      <family val="2"/>
    </font>
    <font>
      <b/>
      <sz val="11"/>
      <color rgb="FF00B0F0"/>
      <name val="Calibri"/>
      <family val="2"/>
      <scheme val="minor"/>
    </font>
    <font>
      <sz val="11"/>
      <color rgb="FFE50000"/>
      <name val="Calibri"/>
      <family val="2"/>
      <scheme val="minor"/>
    </font>
    <font>
      <i/>
      <sz val="10"/>
      <color rgb="FF000000"/>
      <name val="Arial"/>
      <family val="2"/>
    </font>
    <font>
      <b/>
      <sz val="12"/>
      <color rgb="FF000080"/>
      <name val="Arial"/>
      <family val="2"/>
    </font>
    <font>
      <sz val="14"/>
      <color rgb="FF000000"/>
      <name val="Arial"/>
      <family val="2"/>
    </font>
    <font>
      <b/>
      <u/>
      <sz val="14"/>
      <color rgb="FFFF0000"/>
      <name val="Arial"/>
      <family val="2"/>
    </font>
  </fonts>
  <fills count="1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bgColor indexed="64"/>
      </patternFill>
    </fill>
    <fill>
      <patternFill patternType="solid">
        <fgColor rgb="FFFFFFCC"/>
        <bgColor indexed="64"/>
      </patternFill>
    </fill>
    <fill>
      <patternFill patternType="solid">
        <fgColor rgb="FF92D050"/>
        <bgColor indexed="64"/>
      </patternFill>
    </fill>
    <fill>
      <patternFill patternType="solid">
        <fgColor rgb="FFFF0000"/>
        <bgColor indexed="64"/>
      </patternFill>
    </fill>
    <fill>
      <patternFill patternType="solid">
        <fgColor indexed="65"/>
        <bgColor indexed="64"/>
      </patternFill>
    </fill>
  </fills>
  <borders count="19">
    <border>
      <left/>
      <right/>
      <top/>
      <bottom/>
      <diagonal/>
    </border>
    <border>
      <left style="hair">
        <color auto="1"/>
      </left>
      <right style="hair">
        <color auto="1"/>
      </right>
      <top/>
      <bottom/>
      <diagonal/>
    </border>
    <border>
      <left style="hair">
        <color auto="1"/>
      </left>
      <right/>
      <top/>
      <bottom/>
      <diagonal/>
    </border>
    <border>
      <left/>
      <right style="hair">
        <color auto="1"/>
      </right>
      <top/>
      <bottom/>
      <diagonal/>
    </border>
    <border>
      <left/>
      <right/>
      <top style="thin">
        <color indexed="64"/>
      </top>
      <bottom/>
      <diagonal/>
    </border>
    <border>
      <left/>
      <right/>
      <top/>
      <bottom style="thin">
        <color indexed="8"/>
      </bottom>
      <diagonal/>
    </border>
    <border>
      <left style="hair">
        <color auto="1"/>
      </left>
      <right style="hair">
        <color auto="1"/>
      </right>
      <top style="hair">
        <color auto="1"/>
      </top>
      <bottom style="hair">
        <color auto="1"/>
      </bottom>
      <diagonal/>
    </border>
    <border>
      <left/>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hair">
        <color auto="1"/>
      </right>
      <top/>
      <bottom/>
      <diagonal/>
    </border>
    <border>
      <left style="hair">
        <color auto="1"/>
      </left>
      <right style="thin">
        <color indexed="64"/>
      </right>
      <top/>
      <bottom/>
      <diagonal/>
    </border>
    <border>
      <left style="thin">
        <color indexed="64"/>
      </left>
      <right/>
      <top/>
      <bottom/>
      <diagonal/>
    </border>
    <border>
      <left style="hair">
        <color auto="1"/>
      </left>
      <right style="hair">
        <color auto="1"/>
      </right>
      <top/>
      <bottom style="thin">
        <color indexed="64"/>
      </bottom>
      <diagonal/>
    </border>
    <border>
      <left style="hair">
        <color indexed="64"/>
      </left>
      <right style="thin">
        <color indexed="64"/>
      </right>
      <top/>
      <bottom style="thin">
        <color indexed="64"/>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style="hair">
        <color auto="1"/>
      </right>
      <top/>
      <bottom style="thin">
        <color indexed="64"/>
      </bottom>
      <diagonal/>
    </border>
    <border>
      <left/>
      <right/>
      <top/>
      <bottom style="thin">
        <color indexed="64"/>
      </bottom>
      <diagonal/>
    </border>
  </borders>
  <cellStyleXfs count="24">
    <xf numFmtId="0" fontId="0" fillId="0" borderId="0"/>
    <xf numFmtId="9" fontId="1" fillId="0" borderId="0" applyFont="0" applyFill="0" applyBorder="0" applyAlignment="0" applyProtection="0"/>
    <xf numFmtId="43" fontId="1" fillId="0" borderId="0" applyFont="0" applyFill="0" applyBorder="0" applyAlignment="0" applyProtection="0"/>
    <xf numFmtId="0" fontId="13" fillId="0" borderId="0"/>
    <xf numFmtId="0" fontId="12" fillId="0" borderId="0"/>
    <xf numFmtId="0" fontId="12" fillId="0" borderId="0"/>
    <xf numFmtId="0" fontId="12" fillId="0" borderId="0"/>
    <xf numFmtId="0" fontId="12" fillId="0" borderId="0"/>
    <xf numFmtId="0" fontId="14" fillId="0" borderId="0"/>
    <xf numFmtId="0" fontId="14" fillId="0" borderId="0"/>
    <xf numFmtId="0" fontId="15" fillId="0" borderId="0"/>
    <xf numFmtId="164" fontId="12" fillId="0" borderId="0" applyFont="0" applyFill="0" applyBorder="0" applyAlignment="0" applyProtection="0"/>
    <xf numFmtId="0" fontId="12" fillId="0" borderId="0" applyFont="0" applyFill="0" applyBorder="0" applyAlignment="0" applyProtection="0"/>
    <xf numFmtId="0" fontId="16" fillId="0" borderId="0">
      <alignment vertical="center"/>
    </xf>
    <xf numFmtId="0" fontId="17" fillId="0" borderId="0"/>
    <xf numFmtId="0" fontId="17" fillId="0" borderId="5">
      <alignment horizontal="centerContinuous"/>
    </xf>
    <xf numFmtId="0" fontId="18" fillId="0" borderId="5"/>
    <xf numFmtId="0" fontId="19" fillId="0" borderId="0"/>
    <xf numFmtId="44" fontId="1" fillId="0" borderId="0" applyFont="0" applyFill="0" applyBorder="0" applyAlignment="0" applyProtection="0"/>
    <xf numFmtId="0" fontId="12" fillId="0" borderId="0"/>
    <xf numFmtId="9" fontId="12" fillId="0" borderId="0" applyFont="0" applyFill="0" applyBorder="0" applyAlignment="0" applyProtection="0"/>
    <xf numFmtId="0" fontId="12" fillId="0" borderId="18">
      <alignment horizontal="left" vertical="center"/>
    </xf>
    <xf numFmtId="43" fontId="12" fillId="0" borderId="0" applyFont="0" applyFill="0" applyBorder="0" applyAlignment="0" applyProtection="0"/>
    <xf numFmtId="0" fontId="1" fillId="0" borderId="0"/>
  </cellStyleXfs>
  <cellXfs count="596">
    <xf numFmtId="0" fontId="0" fillId="0" borderId="0" xfId="0"/>
    <xf numFmtId="0" fontId="0" fillId="0" borderId="0" xfId="0" applyAlignment="1">
      <alignment horizontal="left" indent="1"/>
    </xf>
    <xf numFmtId="0" fontId="3" fillId="0" borderId="0" xfId="0" applyFont="1" applyAlignment="1">
      <alignment horizontal="left" indent="1"/>
    </xf>
    <xf numFmtId="0" fontId="0" fillId="0" borderId="0" xfId="0" applyAlignment="1">
      <alignment horizontal="left" indent="2"/>
    </xf>
    <xf numFmtId="0" fontId="3" fillId="0" borderId="0" xfId="0" applyFont="1" applyAlignment="1">
      <alignment horizontal="left" indent="2"/>
    </xf>
    <xf numFmtId="0" fontId="2" fillId="0" borderId="0" xfId="0" applyFont="1"/>
    <xf numFmtId="0" fontId="3" fillId="0" borderId="0" xfId="0" applyFont="1" applyAlignment="1">
      <alignment horizontal="left"/>
    </xf>
    <xf numFmtId="0" fontId="0" fillId="3" borderId="0" xfId="0" applyFill="1"/>
    <xf numFmtId="0" fontId="2" fillId="3" borderId="0" xfId="0" applyFont="1" applyFill="1" applyAlignment="1">
      <alignment horizontal="right"/>
    </xf>
    <xf numFmtId="0" fontId="2" fillId="2" borderId="0" xfId="0" applyFont="1" applyFill="1"/>
    <xf numFmtId="37" fontId="2" fillId="3" borderId="0" xfId="0" applyNumberFormat="1" applyFont="1" applyFill="1"/>
    <xf numFmtId="0" fontId="2" fillId="3" borderId="1" xfId="0" applyFont="1" applyFill="1" applyBorder="1" applyAlignment="1">
      <alignment horizontal="right"/>
    </xf>
    <xf numFmtId="0" fontId="2" fillId="0" borderId="0" xfId="0" applyFont="1" applyAlignment="1">
      <alignment horizontal="left" indent="1"/>
    </xf>
    <xf numFmtId="0" fontId="0" fillId="0" borderId="0" xfId="0" applyAlignment="1">
      <alignment horizontal="left"/>
    </xf>
    <xf numFmtId="0" fontId="2" fillId="0" borderId="0" xfId="0" applyFont="1" applyAlignment="1">
      <alignment horizontal="left"/>
    </xf>
    <xf numFmtId="0" fontId="2" fillId="4" borderId="0" xfId="0" applyFont="1" applyFill="1"/>
    <xf numFmtId="0" fontId="2" fillId="2" borderId="0" xfId="0" applyFont="1" applyFill="1" applyAlignment="1">
      <alignment horizontal="left"/>
    </xf>
    <xf numFmtId="5" fontId="0" fillId="0" borderId="0" xfId="0" applyNumberFormat="1" applyAlignment="1">
      <alignment horizontal="left" indent="1"/>
    </xf>
    <xf numFmtId="0" fontId="6" fillId="0" borderId="0" xfId="0" applyFont="1"/>
    <xf numFmtId="37" fontId="4" fillId="3" borderId="0" xfId="0" applyNumberFormat="1" applyFont="1" applyFill="1" applyAlignment="1">
      <alignment horizontal="right"/>
    </xf>
    <xf numFmtId="37" fontId="0" fillId="3" borderId="0" xfId="0" applyNumberFormat="1" applyFill="1" applyAlignment="1">
      <alignment horizontal="right"/>
    </xf>
    <xf numFmtId="37" fontId="4" fillId="3" borderId="1" xfId="0" applyNumberFormat="1" applyFont="1" applyFill="1" applyBorder="1" applyAlignment="1">
      <alignment horizontal="right"/>
    </xf>
    <xf numFmtId="37" fontId="0" fillId="0" borderId="0" xfId="0" applyNumberFormat="1" applyAlignment="1">
      <alignment horizontal="right"/>
    </xf>
    <xf numFmtId="37" fontId="0" fillId="0" borderId="1" xfId="0" applyNumberFormat="1" applyBorder="1" applyAlignment="1">
      <alignment horizontal="right"/>
    </xf>
    <xf numFmtId="5" fontId="2" fillId="2" borderId="0" xfId="0" applyNumberFormat="1" applyFont="1" applyFill="1" applyAlignment="1">
      <alignment horizontal="right"/>
    </xf>
    <xf numFmtId="5" fontId="2" fillId="2" borderId="1" xfId="0" applyNumberFormat="1" applyFont="1" applyFill="1" applyBorder="1" applyAlignment="1">
      <alignment horizontal="right"/>
    </xf>
    <xf numFmtId="0" fontId="0" fillId="0" borderId="0" xfId="0" applyAlignment="1">
      <alignment horizontal="right"/>
    </xf>
    <xf numFmtId="0" fontId="0" fillId="0" borderId="1" xfId="0" applyBorder="1" applyAlignment="1">
      <alignment horizontal="right"/>
    </xf>
    <xf numFmtId="37" fontId="2" fillId="3" borderId="0" xfId="0" applyNumberFormat="1" applyFont="1" applyFill="1" applyAlignment="1">
      <alignment horizontal="right"/>
    </xf>
    <xf numFmtId="37" fontId="2" fillId="3" borderId="1" xfId="0" applyNumberFormat="1" applyFont="1" applyFill="1" applyBorder="1" applyAlignment="1">
      <alignment horizontal="right"/>
    </xf>
    <xf numFmtId="5" fontId="8" fillId="2" borderId="0" xfId="0" applyNumberFormat="1" applyFont="1" applyFill="1" applyAlignment="1">
      <alignment horizontal="right"/>
    </xf>
    <xf numFmtId="5" fontId="8" fillId="2" borderId="1" xfId="0" applyNumberFormat="1" applyFont="1" applyFill="1" applyBorder="1" applyAlignment="1">
      <alignment horizontal="right"/>
    </xf>
    <xf numFmtId="165" fontId="9" fillId="0" borderId="0" xfId="1" applyNumberFormat="1" applyFont="1" applyFill="1" applyBorder="1" applyAlignment="1">
      <alignment horizontal="right"/>
    </xf>
    <xf numFmtId="165" fontId="0" fillId="0" borderId="0" xfId="1" applyNumberFormat="1" applyFont="1" applyFill="1" applyAlignment="1">
      <alignment horizontal="right"/>
    </xf>
    <xf numFmtId="165" fontId="0" fillId="0" borderId="0" xfId="1" applyNumberFormat="1" applyFont="1" applyBorder="1" applyAlignment="1">
      <alignment horizontal="right"/>
    </xf>
    <xf numFmtId="165" fontId="0" fillId="0" borderId="0" xfId="1" applyNumberFormat="1" applyFont="1" applyAlignment="1">
      <alignment horizontal="right"/>
    </xf>
    <xf numFmtId="165" fontId="0" fillId="0" borderId="1" xfId="1" applyNumberFormat="1" applyFont="1" applyBorder="1" applyAlignment="1">
      <alignment horizontal="right"/>
    </xf>
    <xf numFmtId="37" fontId="5" fillId="0" borderId="0" xfId="0" applyNumberFormat="1" applyFont="1" applyAlignment="1">
      <alignment horizontal="right"/>
    </xf>
    <xf numFmtId="37" fontId="5" fillId="0" borderId="1" xfId="0" applyNumberFormat="1" applyFont="1" applyBorder="1" applyAlignment="1">
      <alignment horizontal="right"/>
    </xf>
    <xf numFmtId="37" fontId="2" fillId="0" borderId="0" xfId="0" applyNumberFormat="1" applyFont="1" applyAlignment="1">
      <alignment horizontal="right"/>
    </xf>
    <xf numFmtId="37" fontId="2" fillId="0" borderId="1" xfId="0" applyNumberFormat="1" applyFont="1" applyBorder="1" applyAlignment="1">
      <alignment horizontal="right"/>
    </xf>
    <xf numFmtId="37" fontId="4" fillId="0" borderId="0" xfId="0" applyNumberFormat="1" applyFont="1" applyAlignment="1">
      <alignment horizontal="right"/>
    </xf>
    <xf numFmtId="37" fontId="9" fillId="0" borderId="0" xfId="0" applyNumberFormat="1" applyFont="1" applyAlignment="1">
      <alignment horizontal="right"/>
    </xf>
    <xf numFmtId="37" fontId="4" fillId="0" borderId="1" xfId="0" applyNumberFormat="1" applyFont="1" applyBorder="1" applyAlignment="1">
      <alignment horizontal="right"/>
    </xf>
    <xf numFmtId="3" fontId="2" fillId="0" borderId="1" xfId="0" applyNumberFormat="1" applyFont="1" applyBorder="1" applyAlignment="1">
      <alignment horizontal="right"/>
    </xf>
    <xf numFmtId="37" fontId="2" fillId="0" borderId="0" xfId="1" applyNumberFormat="1" applyFont="1" applyBorder="1" applyAlignment="1">
      <alignment horizontal="right"/>
    </xf>
    <xf numFmtId="37" fontId="2" fillId="0" borderId="0" xfId="1" applyNumberFormat="1" applyFont="1" applyAlignment="1">
      <alignment horizontal="right"/>
    </xf>
    <xf numFmtId="7" fontId="2" fillId="2" borderId="0" xfId="0" applyNumberFormat="1" applyFont="1" applyFill="1" applyAlignment="1">
      <alignment horizontal="right"/>
    </xf>
    <xf numFmtId="7" fontId="2" fillId="2" borderId="1" xfId="0" applyNumberFormat="1" applyFont="1" applyFill="1" applyBorder="1" applyAlignment="1">
      <alignment horizontal="right"/>
    </xf>
    <xf numFmtId="7" fontId="0" fillId="0" borderId="0" xfId="0" applyNumberFormat="1" applyAlignment="1">
      <alignment horizontal="right"/>
    </xf>
    <xf numFmtId="7" fontId="0" fillId="0" borderId="1" xfId="0" applyNumberFormat="1" applyBorder="1" applyAlignment="1">
      <alignment horizontal="right"/>
    </xf>
    <xf numFmtId="7" fontId="2" fillId="0" borderId="0" xfId="0" applyNumberFormat="1" applyFont="1" applyAlignment="1">
      <alignment horizontal="right"/>
    </xf>
    <xf numFmtId="7" fontId="2" fillId="0" borderId="1" xfId="0" applyNumberFormat="1" applyFont="1" applyBorder="1" applyAlignment="1">
      <alignment horizontal="right"/>
    </xf>
    <xf numFmtId="168" fontId="8" fillId="0" borderId="0" xfId="0" applyNumberFormat="1" applyFont="1" applyAlignment="1">
      <alignment horizontal="right"/>
    </xf>
    <xf numFmtId="168" fontId="7" fillId="0" borderId="1" xfId="0" applyNumberFormat="1" applyFont="1" applyBorder="1" applyAlignment="1">
      <alignment horizontal="right"/>
    </xf>
    <xf numFmtId="167" fontId="4" fillId="0" borderId="0" xfId="0" applyNumberFormat="1" applyFont="1" applyAlignment="1">
      <alignment horizontal="right"/>
    </xf>
    <xf numFmtId="167" fontId="0" fillId="0" borderId="0" xfId="0" applyNumberFormat="1" applyAlignment="1">
      <alignment horizontal="right"/>
    </xf>
    <xf numFmtId="167" fontId="4" fillId="0" borderId="1" xfId="0" applyNumberFormat="1" applyFont="1" applyBorder="1" applyAlignment="1">
      <alignment horizontal="right"/>
    </xf>
    <xf numFmtId="168" fontId="2" fillId="0" borderId="1" xfId="0" applyNumberFormat="1" applyFont="1" applyBorder="1" applyAlignment="1">
      <alignment horizontal="right"/>
    </xf>
    <xf numFmtId="0" fontId="0" fillId="2" borderId="0" xfId="0" applyFill="1" applyAlignment="1">
      <alignment horizontal="right"/>
    </xf>
    <xf numFmtId="0" fontId="0" fillId="2" borderId="1" xfId="0" applyFill="1" applyBorder="1" applyAlignment="1">
      <alignment horizontal="right"/>
    </xf>
    <xf numFmtId="37" fontId="0" fillId="0" borderId="0" xfId="1" applyNumberFormat="1" applyFont="1" applyAlignment="1">
      <alignment horizontal="right"/>
    </xf>
    <xf numFmtId="37" fontId="4" fillId="0" borderId="0" xfId="1" applyNumberFormat="1" applyFont="1" applyBorder="1" applyAlignment="1">
      <alignment horizontal="right"/>
    </xf>
    <xf numFmtId="37" fontId="4" fillId="0" borderId="0" xfId="1" applyNumberFormat="1" applyFont="1" applyAlignment="1">
      <alignment horizontal="right"/>
    </xf>
    <xf numFmtId="37" fontId="4" fillId="0" borderId="1" xfId="1" applyNumberFormat="1" applyFont="1" applyBorder="1" applyAlignment="1">
      <alignment horizontal="right"/>
    </xf>
    <xf numFmtId="3" fontId="2" fillId="0" borderId="0" xfId="1" applyNumberFormat="1" applyFont="1" applyBorder="1" applyAlignment="1">
      <alignment horizontal="right"/>
    </xf>
    <xf numFmtId="3" fontId="2" fillId="0" borderId="0" xfId="1" applyNumberFormat="1" applyFont="1" applyAlignment="1">
      <alignment horizontal="right"/>
    </xf>
    <xf numFmtId="37" fontId="9" fillId="0" borderId="0" xfId="1" applyNumberFormat="1" applyFont="1" applyAlignment="1">
      <alignment horizontal="right"/>
    </xf>
    <xf numFmtId="0" fontId="0" fillId="4" borderId="0" xfId="0" applyFill="1" applyAlignment="1">
      <alignment horizontal="right"/>
    </xf>
    <xf numFmtId="37" fontId="10" fillId="0" borderId="0" xfId="0" applyNumberFormat="1" applyFont="1" applyAlignment="1">
      <alignment horizontal="right"/>
    </xf>
    <xf numFmtId="165" fontId="5" fillId="0" borderId="0" xfId="1" applyNumberFormat="1" applyFont="1" applyBorder="1" applyAlignment="1">
      <alignment horizontal="right"/>
    </xf>
    <xf numFmtId="5" fontId="10" fillId="2" borderId="0" xfId="0" applyNumberFormat="1" applyFont="1" applyFill="1" applyAlignment="1">
      <alignment horizontal="right"/>
    </xf>
    <xf numFmtId="37" fontId="9" fillId="0" borderId="1" xfId="0" applyNumberFormat="1" applyFont="1" applyBorder="1" applyAlignment="1">
      <alignment horizontal="right"/>
    </xf>
    <xf numFmtId="5" fontId="4" fillId="0" borderId="0" xfId="0" applyNumberFormat="1" applyFont="1" applyAlignment="1">
      <alignment horizontal="right"/>
    </xf>
    <xf numFmtId="5" fontId="0" fillId="0" borderId="0" xfId="0" applyNumberFormat="1" applyAlignment="1">
      <alignment horizontal="right"/>
    </xf>
    <xf numFmtId="5" fontId="4" fillId="0" borderId="1" xfId="0" applyNumberFormat="1" applyFont="1" applyBorder="1" applyAlignment="1">
      <alignment horizontal="right"/>
    </xf>
    <xf numFmtId="5" fontId="0" fillId="0" borderId="1" xfId="0" applyNumberFormat="1" applyBorder="1" applyAlignment="1">
      <alignment horizontal="right"/>
    </xf>
    <xf numFmtId="5" fontId="2" fillId="0" borderId="0" xfId="0" applyNumberFormat="1" applyFont="1" applyAlignment="1">
      <alignment horizontal="right"/>
    </xf>
    <xf numFmtId="5" fontId="2" fillId="0" borderId="1" xfId="0" applyNumberFormat="1" applyFont="1" applyBorder="1" applyAlignment="1">
      <alignment horizontal="right"/>
    </xf>
    <xf numFmtId="7" fontId="2" fillId="0" borderId="0" xfId="1" applyNumberFormat="1" applyFont="1" applyAlignment="1">
      <alignment horizontal="right"/>
    </xf>
    <xf numFmtId="7" fontId="2" fillId="0" borderId="1" xfId="1" applyNumberFormat="1" applyFont="1" applyBorder="1" applyAlignment="1">
      <alignment horizontal="right"/>
    </xf>
    <xf numFmtId="37" fontId="8" fillId="0" borderId="0" xfId="0" applyNumberFormat="1" applyFont="1" applyAlignment="1">
      <alignment horizontal="right"/>
    </xf>
    <xf numFmtId="37" fontId="8" fillId="0" borderId="1" xfId="0" applyNumberFormat="1" applyFont="1" applyBorder="1" applyAlignment="1">
      <alignment horizontal="right"/>
    </xf>
    <xf numFmtId="0" fontId="6" fillId="0" borderId="0" xfId="0" applyFont="1" applyAlignment="1">
      <alignment horizontal="right"/>
    </xf>
    <xf numFmtId="0" fontId="6" fillId="0" borderId="1" xfId="0" applyFont="1" applyBorder="1" applyAlignment="1">
      <alignment horizontal="right"/>
    </xf>
    <xf numFmtId="37" fontId="5" fillId="3" borderId="0" xfId="0" applyNumberFormat="1" applyFont="1" applyFill="1" applyAlignment="1">
      <alignment horizontal="right"/>
    </xf>
    <xf numFmtId="165" fontId="5" fillId="3" borderId="0" xfId="1" applyNumberFormat="1" applyFont="1" applyFill="1" applyBorder="1" applyAlignment="1">
      <alignment horizontal="right"/>
    </xf>
    <xf numFmtId="0" fontId="5" fillId="0" borderId="0" xfId="0" applyFont="1" applyAlignment="1">
      <alignment horizontal="right"/>
    </xf>
    <xf numFmtId="37" fontId="10" fillId="3" borderId="0" xfId="0" applyNumberFormat="1" applyFont="1" applyFill="1" applyAlignment="1">
      <alignment horizontal="right"/>
    </xf>
    <xf numFmtId="165" fontId="0" fillId="0" borderId="2" xfId="1" applyNumberFormat="1" applyFont="1" applyBorder="1" applyAlignment="1">
      <alignment horizontal="right"/>
    </xf>
    <xf numFmtId="37" fontId="0" fillId="4" borderId="0" xfId="0" applyNumberFormat="1" applyFill="1" applyAlignment="1">
      <alignment horizontal="right"/>
    </xf>
    <xf numFmtId="37" fontId="10" fillId="2" borderId="0" xfId="0" applyNumberFormat="1" applyFont="1" applyFill="1" applyAlignment="1">
      <alignment horizontal="right"/>
    </xf>
    <xf numFmtId="3" fontId="2" fillId="2" borderId="0" xfId="0" applyNumberFormat="1" applyFont="1" applyFill="1" applyAlignment="1">
      <alignment horizontal="right"/>
    </xf>
    <xf numFmtId="3" fontId="2" fillId="2" borderId="1" xfId="0" applyNumberFormat="1" applyFont="1" applyFill="1" applyBorder="1" applyAlignment="1">
      <alignment horizontal="right"/>
    </xf>
    <xf numFmtId="5" fontId="7" fillId="2" borderId="0" xfId="0" applyNumberFormat="1" applyFont="1" applyFill="1" applyAlignment="1">
      <alignment horizontal="right"/>
    </xf>
    <xf numFmtId="5" fontId="7" fillId="0" borderId="0" xfId="0" applyNumberFormat="1" applyFont="1" applyAlignment="1">
      <alignment horizontal="right"/>
    </xf>
    <xf numFmtId="5" fontId="7" fillId="0" borderId="1" xfId="0" applyNumberFormat="1" applyFont="1" applyBorder="1" applyAlignment="1">
      <alignment horizontal="right"/>
    </xf>
    <xf numFmtId="0" fontId="9" fillId="0" borderId="0" xfId="0" applyFont="1" applyAlignment="1">
      <alignment horizontal="right"/>
    </xf>
    <xf numFmtId="165" fontId="9" fillId="0" borderId="1" xfId="1" applyNumberFormat="1" applyFont="1" applyBorder="1" applyAlignment="1">
      <alignment horizontal="right"/>
    </xf>
    <xf numFmtId="0" fontId="9" fillId="0" borderId="1" xfId="0" applyFont="1" applyBorder="1" applyAlignment="1">
      <alignment horizontal="right"/>
    </xf>
    <xf numFmtId="0" fontId="5" fillId="0" borderId="1" xfId="0" applyFont="1" applyBorder="1" applyAlignment="1">
      <alignment horizontal="right"/>
    </xf>
    <xf numFmtId="0" fontId="10" fillId="0" borderId="0" xfId="0" applyFont="1" applyAlignment="1">
      <alignment horizontal="right"/>
    </xf>
    <xf numFmtId="0" fontId="7" fillId="0" borderId="0" xfId="0" applyFont="1" applyAlignment="1">
      <alignment horizontal="right"/>
    </xf>
    <xf numFmtId="0" fontId="10" fillId="0" borderId="1" xfId="0" applyFont="1" applyBorder="1" applyAlignment="1">
      <alignment horizontal="right"/>
    </xf>
    <xf numFmtId="37" fontId="7" fillId="0" borderId="0" xfId="0" applyNumberFormat="1" applyFont="1" applyAlignment="1">
      <alignment horizontal="right"/>
    </xf>
    <xf numFmtId="165" fontId="9" fillId="0" borderId="0" xfId="1" applyNumberFormat="1" applyFont="1" applyAlignment="1">
      <alignment horizontal="right"/>
    </xf>
    <xf numFmtId="0" fontId="10" fillId="3" borderId="0" xfId="0" applyFont="1" applyFill="1" applyAlignment="1">
      <alignment horizontal="right"/>
    </xf>
    <xf numFmtId="0" fontId="10" fillId="3" borderId="1" xfId="0" applyFont="1" applyFill="1" applyBorder="1" applyAlignment="1">
      <alignment horizontal="right"/>
    </xf>
    <xf numFmtId="37" fontId="7" fillId="0" borderId="1" xfId="0" applyNumberFormat="1" applyFont="1" applyBorder="1" applyAlignment="1">
      <alignment horizontal="right"/>
    </xf>
    <xf numFmtId="37" fontId="0" fillId="0" borderId="0" xfId="0" applyNumberFormat="1"/>
    <xf numFmtId="165" fontId="1" fillId="0" borderId="0" xfId="1" applyNumberFormat="1" applyFont="1" applyBorder="1" applyAlignment="1">
      <alignment horizontal="right"/>
    </xf>
    <xf numFmtId="165" fontId="1" fillId="0" borderId="0" xfId="1" applyNumberFormat="1" applyFont="1" applyAlignment="1">
      <alignment horizontal="right"/>
    </xf>
    <xf numFmtId="165" fontId="1" fillId="0" borderId="1" xfId="1" applyNumberFormat="1" applyFont="1" applyBorder="1" applyAlignment="1">
      <alignment horizontal="right"/>
    </xf>
    <xf numFmtId="0" fontId="2" fillId="4" borderId="0" xfId="0" applyFont="1" applyFill="1" applyAlignment="1">
      <alignment horizontal="left"/>
    </xf>
    <xf numFmtId="0" fontId="0" fillId="4" borderId="1" xfId="0" applyFill="1" applyBorder="1" applyAlignment="1">
      <alignment horizontal="right"/>
    </xf>
    <xf numFmtId="41" fontId="1" fillId="0" borderId="1" xfId="1" applyNumberFormat="1" applyFont="1" applyBorder="1" applyAlignment="1">
      <alignment horizontal="right"/>
    </xf>
    <xf numFmtId="165" fontId="1" fillId="0" borderId="0" xfId="1" applyNumberFormat="1" applyFont="1" applyFill="1" applyBorder="1" applyAlignment="1">
      <alignment horizontal="right"/>
    </xf>
    <xf numFmtId="165" fontId="1" fillId="0" borderId="0" xfId="1" applyNumberFormat="1" applyFont="1" applyFill="1" applyAlignment="1">
      <alignment horizontal="right"/>
    </xf>
    <xf numFmtId="165" fontId="2" fillId="2" borderId="0" xfId="1" applyNumberFormat="1" applyFont="1" applyFill="1" applyBorder="1" applyAlignment="1">
      <alignment horizontal="right"/>
    </xf>
    <xf numFmtId="165" fontId="2" fillId="2" borderId="1" xfId="1" applyNumberFormat="1" applyFont="1" applyFill="1" applyBorder="1" applyAlignment="1">
      <alignment horizontal="right"/>
    </xf>
    <xf numFmtId="3" fontId="7" fillId="2" borderId="0" xfId="0" applyNumberFormat="1" applyFont="1" applyFill="1" applyAlignment="1">
      <alignment horizontal="right"/>
    </xf>
    <xf numFmtId="3" fontId="7" fillId="2" borderId="1" xfId="0" applyNumberFormat="1" applyFont="1" applyFill="1" applyBorder="1" applyAlignment="1">
      <alignment horizontal="right"/>
    </xf>
    <xf numFmtId="5" fontId="2" fillId="0" borderId="2" xfId="0" applyNumberFormat="1" applyFont="1" applyBorder="1" applyAlignment="1">
      <alignment horizontal="right"/>
    </xf>
    <xf numFmtId="37" fontId="5" fillId="0" borderId="2" xfId="0" applyNumberFormat="1" applyFont="1" applyBorder="1" applyAlignment="1">
      <alignment horizontal="right"/>
    </xf>
    <xf numFmtId="37" fontId="10" fillId="0" borderId="2" xfId="0" applyNumberFormat="1" applyFont="1" applyBorder="1" applyAlignment="1">
      <alignment horizontal="right"/>
    </xf>
    <xf numFmtId="5" fontId="10" fillId="0" borderId="2" xfId="0" applyNumberFormat="1" applyFont="1" applyBorder="1" applyAlignment="1">
      <alignment horizontal="right"/>
    </xf>
    <xf numFmtId="165" fontId="5" fillId="0" borderId="2" xfId="1" applyNumberFormat="1" applyFont="1" applyBorder="1" applyAlignment="1">
      <alignment horizontal="right"/>
    </xf>
    <xf numFmtId="5" fontId="5" fillId="0" borderId="2" xfId="0" applyNumberFormat="1" applyFont="1" applyBorder="1" applyAlignment="1">
      <alignment horizontal="right"/>
    </xf>
    <xf numFmtId="5" fontId="10" fillId="2" borderId="2" xfId="0" applyNumberFormat="1" applyFont="1" applyFill="1" applyBorder="1" applyAlignment="1">
      <alignment horizontal="right"/>
    </xf>
    <xf numFmtId="166" fontId="5" fillId="0" borderId="2" xfId="0" applyNumberFormat="1" applyFont="1" applyBorder="1" applyAlignment="1">
      <alignment horizontal="right"/>
    </xf>
    <xf numFmtId="0" fontId="2" fillId="5" borderId="0" xfId="0" applyFont="1" applyFill="1" applyAlignment="1">
      <alignment horizontal="left"/>
    </xf>
    <xf numFmtId="0" fontId="0" fillId="5" borderId="0" xfId="0" applyFill="1" applyAlignment="1">
      <alignment horizontal="right"/>
    </xf>
    <xf numFmtId="0" fontId="0" fillId="5" borderId="1" xfId="0" applyFill="1" applyBorder="1" applyAlignment="1">
      <alignment horizontal="right"/>
    </xf>
    <xf numFmtId="165" fontId="0" fillId="0" borderId="1" xfId="1" applyNumberFormat="1" applyFont="1" applyFill="1" applyBorder="1" applyAlignment="1">
      <alignment horizontal="right"/>
    </xf>
    <xf numFmtId="169" fontId="0" fillId="0" borderId="0" xfId="0" applyNumberFormat="1" applyAlignment="1">
      <alignment horizontal="right"/>
    </xf>
    <xf numFmtId="169" fontId="0" fillId="0" borderId="1" xfId="0" applyNumberFormat="1" applyBorder="1" applyAlignment="1">
      <alignment horizontal="right"/>
    </xf>
    <xf numFmtId="169" fontId="4" fillId="0" borderId="0" xfId="0" applyNumberFormat="1" applyFont="1" applyAlignment="1">
      <alignment horizontal="right"/>
    </xf>
    <xf numFmtId="169" fontId="4" fillId="0" borderId="1" xfId="0" applyNumberFormat="1" applyFont="1" applyBorder="1" applyAlignment="1">
      <alignment horizontal="right"/>
    </xf>
    <xf numFmtId="165" fontId="4" fillId="0" borderId="0" xfId="0" applyNumberFormat="1" applyFont="1" applyAlignment="1">
      <alignment horizontal="right"/>
    </xf>
    <xf numFmtId="169" fontId="0" fillId="4" borderId="0" xfId="0" applyNumberFormat="1" applyFill="1" applyAlignment="1">
      <alignment horizontal="right"/>
    </xf>
    <xf numFmtId="169" fontId="0" fillId="4" borderId="1" xfId="0" applyNumberFormat="1" applyFill="1" applyBorder="1" applyAlignment="1">
      <alignment horizontal="right"/>
    </xf>
    <xf numFmtId="0" fontId="2" fillId="2" borderId="0" xfId="0" applyFont="1" applyFill="1" applyAlignment="1">
      <alignment horizontal="left" indent="1"/>
    </xf>
    <xf numFmtId="165" fontId="4" fillId="0" borderId="1" xfId="0" applyNumberFormat="1" applyFont="1" applyBorder="1" applyAlignment="1">
      <alignment horizontal="right"/>
    </xf>
    <xf numFmtId="169" fontId="5" fillId="0" borderId="2" xfId="0" applyNumberFormat="1" applyFont="1" applyBorder="1" applyAlignment="1">
      <alignment horizontal="right"/>
    </xf>
    <xf numFmtId="169" fontId="5" fillId="4" borderId="2" xfId="0" applyNumberFormat="1" applyFont="1" applyFill="1" applyBorder="1" applyAlignment="1">
      <alignment horizontal="right"/>
    </xf>
    <xf numFmtId="165" fontId="5" fillId="0" borderId="2" xfId="0" applyNumberFormat="1" applyFont="1" applyBorder="1" applyAlignment="1">
      <alignment horizontal="right"/>
    </xf>
    <xf numFmtId="7" fontId="10" fillId="2" borderId="2" xfId="0" applyNumberFormat="1" applyFont="1" applyFill="1" applyBorder="1" applyAlignment="1">
      <alignment horizontal="right"/>
    </xf>
    <xf numFmtId="7" fontId="5" fillId="0" borderId="2" xfId="0" applyNumberFormat="1" applyFont="1" applyBorder="1" applyAlignment="1">
      <alignment horizontal="right"/>
    </xf>
    <xf numFmtId="165" fontId="5" fillId="0" borderId="2" xfId="1" applyNumberFormat="1" applyFont="1" applyFill="1" applyBorder="1" applyAlignment="1">
      <alignment horizontal="right"/>
    </xf>
    <xf numFmtId="0" fontId="2" fillId="3" borderId="2" xfId="0" applyFont="1" applyFill="1" applyBorder="1" applyAlignment="1">
      <alignment horizontal="right"/>
    </xf>
    <xf numFmtId="5" fontId="2" fillId="2" borderId="2" xfId="0" applyNumberFormat="1" applyFont="1" applyFill="1" applyBorder="1" applyAlignment="1">
      <alignment horizontal="right"/>
    </xf>
    <xf numFmtId="0" fontId="0" fillId="0" borderId="2" xfId="0" applyBorder="1" applyAlignment="1">
      <alignment horizontal="right"/>
    </xf>
    <xf numFmtId="37" fontId="2" fillId="0" borderId="2" xfId="0" applyNumberFormat="1" applyFont="1" applyBorder="1" applyAlignment="1">
      <alignment horizontal="right"/>
    </xf>
    <xf numFmtId="37" fontId="5" fillId="0" borderId="2" xfId="1" applyNumberFormat="1" applyFont="1" applyBorder="1" applyAlignment="1">
      <alignment horizontal="right"/>
    </xf>
    <xf numFmtId="37" fontId="4" fillId="0" borderId="2" xfId="0" applyNumberFormat="1" applyFont="1" applyBorder="1" applyAlignment="1">
      <alignment horizontal="right"/>
    </xf>
    <xf numFmtId="3" fontId="2" fillId="0" borderId="2" xfId="0" applyNumberFormat="1" applyFont="1" applyBorder="1" applyAlignment="1">
      <alignment horizontal="right"/>
    </xf>
    <xf numFmtId="7" fontId="2" fillId="2" borderId="2" xfId="0" applyNumberFormat="1" applyFont="1" applyFill="1" applyBorder="1" applyAlignment="1">
      <alignment horizontal="right"/>
    </xf>
    <xf numFmtId="7" fontId="0" fillId="0" borderId="2" xfId="0" applyNumberFormat="1" applyBorder="1" applyAlignment="1">
      <alignment horizontal="right"/>
    </xf>
    <xf numFmtId="7" fontId="2" fillId="0" borderId="2" xfId="0" applyNumberFormat="1" applyFont="1" applyBorder="1" applyAlignment="1">
      <alignment horizontal="right"/>
    </xf>
    <xf numFmtId="168" fontId="7" fillId="0" borderId="2" xfId="0" applyNumberFormat="1" applyFont="1" applyBorder="1" applyAlignment="1">
      <alignment horizontal="right"/>
    </xf>
    <xf numFmtId="167" fontId="4" fillId="0" borderId="2" xfId="0" applyNumberFormat="1" applyFont="1" applyBorder="1" applyAlignment="1">
      <alignment horizontal="right"/>
    </xf>
    <xf numFmtId="0" fontId="0" fillId="4" borderId="2" xfId="0" applyFill="1" applyBorder="1" applyAlignment="1">
      <alignment horizontal="right"/>
    </xf>
    <xf numFmtId="165" fontId="1" fillId="0" borderId="2" xfId="1" applyNumberFormat="1" applyFont="1" applyBorder="1" applyAlignment="1">
      <alignment horizontal="right"/>
    </xf>
    <xf numFmtId="5" fontId="7" fillId="0" borderId="2" xfId="0" applyNumberFormat="1" applyFont="1" applyBorder="1" applyAlignment="1">
      <alignment horizontal="right"/>
    </xf>
    <xf numFmtId="5" fontId="5" fillId="0" borderId="0" xfId="0" applyNumberFormat="1" applyFont="1" applyAlignment="1">
      <alignment horizontal="right"/>
    </xf>
    <xf numFmtId="5" fontId="5" fillId="0" borderId="3" xfId="0" applyNumberFormat="1" applyFont="1" applyBorder="1" applyAlignment="1">
      <alignment horizontal="right"/>
    </xf>
    <xf numFmtId="5" fontId="5" fillId="0" borderId="1" xfId="0" applyNumberFormat="1" applyFont="1" applyBorder="1" applyAlignment="1">
      <alignment horizontal="right"/>
    </xf>
    <xf numFmtId="5" fontId="2" fillId="0" borderId="0" xfId="1" applyNumberFormat="1" applyFont="1" applyBorder="1" applyAlignment="1">
      <alignment horizontal="right"/>
    </xf>
    <xf numFmtId="5" fontId="2" fillId="0" borderId="0" xfId="1" applyNumberFormat="1" applyFont="1" applyAlignment="1">
      <alignment horizontal="right"/>
    </xf>
    <xf numFmtId="5" fontId="7" fillId="0" borderId="0" xfId="1" applyNumberFormat="1" applyFont="1" applyAlignment="1">
      <alignment horizontal="right"/>
    </xf>
    <xf numFmtId="5" fontId="9" fillId="0" borderId="0" xfId="0" applyNumberFormat="1" applyFont="1" applyAlignment="1">
      <alignment horizontal="right"/>
    </xf>
    <xf numFmtId="5" fontId="9" fillId="0" borderId="1" xfId="0" applyNumberFormat="1" applyFont="1" applyBorder="1" applyAlignment="1">
      <alignment horizontal="right"/>
    </xf>
    <xf numFmtId="0" fontId="10" fillId="3" borderId="2" xfId="0" applyFont="1" applyFill="1" applyBorder="1" applyAlignment="1">
      <alignment horizontal="right"/>
    </xf>
    <xf numFmtId="37" fontId="4" fillId="0" borderId="2" xfId="1" applyNumberFormat="1" applyFont="1" applyBorder="1" applyAlignment="1">
      <alignment horizontal="right"/>
    </xf>
    <xf numFmtId="165" fontId="4" fillId="0" borderId="2" xfId="1" applyNumberFormat="1" applyFont="1" applyBorder="1" applyAlignment="1">
      <alignment horizontal="right"/>
    </xf>
    <xf numFmtId="37" fontId="8" fillId="0" borderId="2" xfId="0" applyNumberFormat="1" applyFont="1" applyBorder="1" applyAlignment="1">
      <alignment horizontal="right"/>
    </xf>
    <xf numFmtId="5" fontId="0" fillId="0" borderId="2" xfId="0" applyNumberFormat="1" applyBorder="1" applyAlignment="1">
      <alignment horizontal="right"/>
    </xf>
    <xf numFmtId="37" fontId="5" fillId="0" borderId="3" xfId="0" applyNumberFormat="1" applyFont="1" applyBorder="1" applyAlignment="1">
      <alignment horizontal="right"/>
    </xf>
    <xf numFmtId="5" fontId="10" fillId="2" borderId="1" xfId="0" applyNumberFormat="1" applyFont="1" applyFill="1" applyBorder="1" applyAlignment="1">
      <alignment horizontal="right"/>
    </xf>
    <xf numFmtId="37" fontId="10" fillId="0" borderId="1" xfId="0" applyNumberFormat="1" applyFont="1" applyBorder="1" applyAlignment="1">
      <alignment horizontal="right"/>
    </xf>
    <xf numFmtId="37" fontId="6" fillId="0" borderId="1" xfId="0" applyNumberFormat="1" applyFont="1" applyBorder="1" applyAlignment="1">
      <alignment horizontal="right"/>
    </xf>
    <xf numFmtId="37" fontId="0" fillId="4" borderId="1" xfId="0" applyNumberFormat="1" applyFill="1" applyBorder="1" applyAlignment="1">
      <alignment horizontal="right"/>
    </xf>
    <xf numFmtId="165" fontId="5" fillId="0" borderId="1" xfId="1" applyNumberFormat="1" applyFont="1" applyBorder="1" applyAlignment="1">
      <alignment horizontal="right"/>
    </xf>
    <xf numFmtId="0" fontId="0" fillId="3" borderId="0" xfId="0" applyFill="1" applyAlignment="1">
      <alignment horizontal="left" indent="1"/>
    </xf>
    <xf numFmtId="5" fontId="10" fillId="0" borderId="1" xfId="0" applyNumberFormat="1" applyFont="1" applyBorder="1" applyAlignment="1">
      <alignment horizontal="right"/>
    </xf>
    <xf numFmtId="7" fontId="10" fillId="0" borderId="1" xfId="1" applyNumberFormat="1" applyFont="1" applyBorder="1" applyAlignment="1">
      <alignment horizontal="right"/>
    </xf>
    <xf numFmtId="5" fontId="2" fillId="2" borderId="3" xfId="0" applyNumberFormat="1" applyFont="1" applyFill="1" applyBorder="1" applyAlignment="1">
      <alignment horizontal="right"/>
    </xf>
    <xf numFmtId="168" fontId="8" fillId="0" borderId="2" xfId="0" applyNumberFormat="1" applyFont="1" applyBorder="1" applyAlignment="1">
      <alignment horizontal="right"/>
    </xf>
    <xf numFmtId="168" fontId="8" fillId="0" borderId="1" xfId="0" applyNumberFormat="1" applyFont="1" applyBorder="1" applyAlignment="1">
      <alignment horizontal="right"/>
    </xf>
    <xf numFmtId="37" fontId="4" fillId="0" borderId="2" xfId="1" applyNumberFormat="1" applyFont="1" applyFill="1" applyBorder="1" applyAlignment="1">
      <alignment horizontal="right"/>
    </xf>
    <xf numFmtId="165" fontId="4" fillId="0" borderId="0" xfId="1" applyNumberFormat="1" applyFont="1" applyAlignment="1">
      <alignment horizontal="right"/>
    </xf>
    <xf numFmtId="37" fontId="0" fillId="3" borderId="1" xfId="0" applyNumberFormat="1" applyFill="1" applyBorder="1" applyAlignment="1">
      <alignment horizontal="right"/>
    </xf>
    <xf numFmtId="165" fontId="8" fillId="2" borderId="0" xfId="1" applyNumberFormat="1" applyFont="1" applyFill="1" applyBorder="1" applyAlignment="1">
      <alignment horizontal="right"/>
    </xf>
    <xf numFmtId="165" fontId="4" fillId="0" borderId="0" xfId="1" applyNumberFormat="1" applyFont="1" applyBorder="1" applyAlignment="1">
      <alignment horizontal="right"/>
    </xf>
    <xf numFmtId="43" fontId="0" fillId="0" borderId="0" xfId="2" applyFont="1" applyAlignment="1">
      <alignment horizontal="right"/>
    </xf>
    <xf numFmtId="43" fontId="0" fillId="0" borderId="0" xfId="2" applyFont="1" applyBorder="1" applyAlignment="1">
      <alignment horizontal="right"/>
    </xf>
    <xf numFmtId="37" fontId="5" fillId="3" borderId="1" xfId="0" applyNumberFormat="1" applyFont="1" applyFill="1" applyBorder="1" applyAlignment="1">
      <alignment horizontal="right"/>
    </xf>
    <xf numFmtId="165" fontId="5" fillId="3" borderId="1" xfId="1" applyNumberFormat="1" applyFont="1" applyFill="1" applyBorder="1" applyAlignment="1">
      <alignment horizontal="right"/>
    </xf>
    <xf numFmtId="37" fontId="10" fillId="3" borderId="1" xfId="0" applyNumberFormat="1" applyFont="1" applyFill="1" applyBorder="1" applyAlignment="1">
      <alignment horizontal="right"/>
    </xf>
    <xf numFmtId="5" fontId="7" fillId="2" borderId="1" xfId="0" applyNumberFormat="1" applyFont="1" applyFill="1" applyBorder="1" applyAlignment="1">
      <alignment horizontal="right"/>
    </xf>
    <xf numFmtId="165" fontId="4" fillId="3" borderId="1" xfId="1" applyNumberFormat="1" applyFont="1" applyFill="1" applyBorder="1" applyAlignment="1">
      <alignment horizontal="right"/>
    </xf>
    <xf numFmtId="0" fontId="0" fillId="0" borderId="1" xfId="0" applyBorder="1"/>
    <xf numFmtId="165" fontId="0" fillId="0" borderId="1" xfId="1" applyNumberFormat="1" applyFont="1" applyBorder="1"/>
    <xf numFmtId="165" fontId="8" fillId="2" borderId="1" xfId="1" applyNumberFormat="1" applyFont="1" applyFill="1" applyBorder="1" applyAlignment="1">
      <alignment horizontal="right"/>
    </xf>
    <xf numFmtId="165" fontId="1" fillId="3" borderId="1" xfId="1" applyNumberFormat="1" applyFont="1" applyFill="1" applyBorder="1" applyAlignment="1">
      <alignment horizontal="right"/>
    </xf>
    <xf numFmtId="37" fontId="5" fillId="3" borderId="3" xfId="0" applyNumberFormat="1" applyFont="1" applyFill="1" applyBorder="1" applyAlignment="1">
      <alignment horizontal="right"/>
    </xf>
    <xf numFmtId="165" fontId="5" fillId="3" borderId="3" xfId="1" applyNumberFormat="1" applyFont="1" applyFill="1" applyBorder="1" applyAlignment="1">
      <alignment horizontal="right"/>
    </xf>
    <xf numFmtId="37" fontId="10" fillId="3" borderId="3" xfId="0" applyNumberFormat="1" applyFont="1" applyFill="1" applyBorder="1" applyAlignment="1">
      <alignment horizontal="right"/>
    </xf>
    <xf numFmtId="5" fontId="7" fillId="2" borderId="3" xfId="0" applyNumberFormat="1" applyFont="1" applyFill="1" applyBorder="1" applyAlignment="1">
      <alignment horizontal="right"/>
    </xf>
    <xf numFmtId="165" fontId="2" fillId="2" borderId="3" xfId="1" applyNumberFormat="1" applyFont="1" applyFill="1" applyBorder="1" applyAlignment="1">
      <alignment horizontal="right"/>
    </xf>
    <xf numFmtId="37" fontId="0" fillId="0" borderId="2" xfId="0" applyNumberFormat="1" applyBorder="1" applyAlignment="1">
      <alignment horizontal="right"/>
    </xf>
    <xf numFmtId="165" fontId="4" fillId="0" borderId="0" xfId="1" applyNumberFormat="1" applyFont="1" applyFill="1" applyBorder="1" applyAlignment="1">
      <alignment horizontal="right"/>
    </xf>
    <xf numFmtId="165" fontId="4" fillId="0" borderId="1" xfId="1" applyNumberFormat="1" applyFont="1" applyFill="1" applyBorder="1" applyAlignment="1">
      <alignment horizontal="right"/>
    </xf>
    <xf numFmtId="5" fontId="10" fillId="0" borderId="0" xfId="0" applyNumberFormat="1" applyFont="1" applyAlignment="1">
      <alignment horizontal="right"/>
    </xf>
    <xf numFmtId="165" fontId="9" fillId="0" borderId="1" xfId="1" applyNumberFormat="1" applyFont="1" applyFill="1" applyBorder="1" applyAlignment="1">
      <alignment horizontal="right"/>
    </xf>
    <xf numFmtId="169" fontId="5" fillId="0" borderId="1" xfId="0" applyNumberFormat="1" applyFont="1" applyBorder="1" applyAlignment="1">
      <alignment horizontal="right"/>
    </xf>
    <xf numFmtId="169" fontId="5" fillId="4" borderId="1" xfId="0" applyNumberFormat="1" applyFont="1" applyFill="1" applyBorder="1" applyAlignment="1">
      <alignment horizontal="right"/>
    </xf>
    <xf numFmtId="165" fontId="5" fillId="0" borderId="1" xfId="0" applyNumberFormat="1" applyFont="1" applyBorder="1" applyAlignment="1">
      <alignment horizontal="right"/>
    </xf>
    <xf numFmtId="7" fontId="10" fillId="2" borderId="1" xfId="0" applyNumberFormat="1" applyFont="1" applyFill="1" applyBorder="1" applyAlignment="1">
      <alignment horizontal="right"/>
    </xf>
    <xf numFmtId="7" fontId="5" fillId="0" borderId="1" xfId="0" applyNumberFormat="1" applyFont="1" applyBorder="1" applyAlignment="1">
      <alignment horizontal="right"/>
    </xf>
    <xf numFmtId="165" fontId="5" fillId="0" borderId="1" xfId="1" applyNumberFormat="1" applyFont="1" applyFill="1" applyBorder="1" applyAlignment="1">
      <alignment horizontal="right"/>
    </xf>
    <xf numFmtId="0" fontId="0" fillId="0" borderId="4" xfId="0" applyBorder="1"/>
    <xf numFmtId="0" fontId="0" fillId="0" borderId="4" xfId="0" applyBorder="1" applyAlignment="1">
      <alignment horizontal="right"/>
    </xf>
    <xf numFmtId="165" fontId="1" fillId="0" borderId="1" xfId="1" applyNumberFormat="1" applyFont="1" applyFill="1" applyBorder="1" applyAlignment="1">
      <alignment horizontal="right"/>
    </xf>
    <xf numFmtId="168" fontId="2" fillId="0" borderId="0" xfId="0" applyNumberFormat="1" applyFont="1" applyAlignment="1">
      <alignment horizontal="right"/>
    </xf>
    <xf numFmtId="7" fontId="8" fillId="0" borderId="0" xfId="1" applyNumberFormat="1" applyFont="1" applyAlignment="1">
      <alignment horizontal="right"/>
    </xf>
    <xf numFmtId="165" fontId="4" fillId="0" borderId="1" xfId="1" applyNumberFormat="1" applyFont="1" applyBorder="1" applyAlignment="1">
      <alignment horizontal="right"/>
    </xf>
    <xf numFmtId="165" fontId="0" fillId="0" borderId="0" xfId="1" applyNumberFormat="1" applyFont="1" applyFill="1" applyBorder="1" applyAlignment="1">
      <alignment horizontal="right"/>
    </xf>
    <xf numFmtId="165" fontId="0" fillId="0" borderId="3" xfId="1" applyNumberFormat="1" applyFont="1" applyBorder="1" applyAlignment="1">
      <alignment horizontal="right"/>
    </xf>
    <xf numFmtId="37" fontId="0" fillId="0" borderId="1" xfId="0" applyNumberFormat="1" applyBorder="1"/>
    <xf numFmtId="37" fontId="4" fillId="0" borderId="3" xfId="0" applyNumberFormat="1" applyFont="1" applyBorder="1" applyAlignment="1">
      <alignment horizontal="right"/>
    </xf>
    <xf numFmtId="0" fontId="10" fillId="3" borderId="3" xfId="0" applyFont="1" applyFill="1" applyBorder="1" applyAlignment="1">
      <alignment horizontal="right"/>
    </xf>
    <xf numFmtId="165" fontId="2" fillId="2" borderId="2" xfId="1" applyNumberFormat="1" applyFont="1" applyFill="1" applyBorder="1" applyAlignment="1">
      <alignment horizontal="right"/>
    </xf>
    <xf numFmtId="5" fontId="8" fillId="2" borderId="3" xfId="0" applyNumberFormat="1" applyFont="1" applyFill="1" applyBorder="1" applyAlignment="1">
      <alignment horizontal="right"/>
    </xf>
    <xf numFmtId="37" fontId="4" fillId="3" borderId="3" xfId="0" applyNumberFormat="1" applyFont="1" applyFill="1" applyBorder="1" applyAlignment="1">
      <alignment horizontal="right"/>
    </xf>
    <xf numFmtId="165" fontId="1" fillId="3" borderId="3" xfId="1" applyNumberFormat="1" applyFont="1" applyFill="1" applyBorder="1" applyAlignment="1">
      <alignment horizontal="right"/>
    </xf>
    <xf numFmtId="0" fontId="5" fillId="0" borderId="3" xfId="0" applyFont="1" applyBorder="1" applyAlignment="1">
      <alignment horizontal="right"/>
    </xf>
    <xf numFmtId="0" fontId="0" fillId="0" borderId="3" xfId="0" applyBorder="1" applyAlignment="1">
      <alignment horizontal="right"/>
    </xf>
    <xf numFmtId="0" fontId="0" fillId="4" borderId="1" xfId="0" applyFill="1" applyBorder="1"/>
    <xf numFmtId="37" fontId="2" fillId="0" borderId="3" xfId="0" applyNumberFormat="1" applyFont="1" applyBorder="1" applyAlignment="1">
      <alignment horizontal="right"/>
    </xf>
    <xf numFmtId="165" fontId="4" fillId="0" borderId="1" xfId="1" applyNumberFormat="1" applyFont="1" applyBorder="1"/>
    <xf numFmtId="168" fontId="10" fillId="0" borderId="2" xfId="0" applyNumberFormat="1" applyFont="1" applyBorder="1" applyAlignment="1">
      <alignment horizontal="right"/>
    </xf>
    <xf numFmtId="168" fontId="10" fillId="0" borderId="0" xfId="0" applyNumberFormat="1" applyFont="1" applyAlignment="1">
      <alignment horizontal="right"/>
    </xf>
    <xf numFmtId="43" fontId="0" fillId="0" borderId="1" xfId="2" applyFont="1" applyBorder="1" applyAlignment="1">
      <alignment horizontal="right"/>
    </xf>
    <xf numFmtId="37" fontId="11" fillId="0" borderId="1" xfId="0" applyNumberFormat="1" applyFont="1" applyBorder="1" applyAlignment="1">
      <alignment horizontal="right"/>
    </xf>
    <xf numFmtId="37" fontId="11" fillId="0" borderId="0" xfId="0" applyNumberFormat="1" applyFont="1" applyAlignment="1">
      <alignment horizontal="right"/>
    </xf>
    <xf numFmtId="5" fontId="11" fillId="0" borderId="1" xfId="0" applyNumberFormat="1" applyFont="1" applyBorder="1" applyAlignment="1">
      <alignment horizontal="right"/>
    </xf>
    <xf numFmtId="165" fontId="1" fillId="0" borderId="2" xfId="1" applyNumberFormat="1" applyFont="1" applyFill="1" applyBorder="1" applyAlignment="1">
      <alignment horizontal="right"/>
    </xf>
    <xf numFmtId="7" fontId="8" fillId="0" borderId="1" xfId="1" applyNumberFormat="1" applyFont="1" applyBorder="1" applyAlignment="1">
      <alignment horizontal="right"/>
    </xf>
    <xf numFmtId="43" fontId="0" fillId="0" borderId="2" xfId="2" applyFont="1" applyBorder="1" applyAlignment="1">
      <alignment horizontal="right"/>
    </xf>
    <xf numFmtId="166" fontId="5" fillId="0" borderId="1" xfId="0" applyNumberFormat="1" applyFont="1" applyBorder="1" applyAlignment="1">
      <alignment horizontal="right"/>
    </xf>
    <xf numFmtId="37" fontId="4" fillId="0" borderId="0" xfId="1" applyNumberFormat="1" applyFont="1" applyFill="1" applyBorder="1" applyAlignment="1">
      <alignment horizontal="right"/>
    </xf>
    <xf numFmtId="165" fontId="4" fillId="0" borderId="0" xfId="1" applyNumberFormat="1" applyFont="1" applyFill="1" applyAlignment="1">
      <alignment horizontal="right"/>
    </xf>
    <xf numFmtId="37" fontId="10" fillId="2" borderId="1" xfId="0" applyNumberFormat="1" applyFont="1" applyFill="1" applyBorder="1" applyAlignment="1">
      <alignment horizontal="right"/>
    </xf>
    <xf numFmtId="9" fontId="2" fillId="0" borderId="1" xfId="1" applyFont="1" applyFill="1" applyBorder="1" applyAlignment="1">
      <alignment horizontal="right"/>
    </xf>
    <xf numFmtId="9" fontId="7" fillId="0" borderId="0" xfId="1" applyFont="1" applyFill="1" applyBorder="1" applyAlignment="1">
      <alignment horizontal="right"/>
    </xf>
    <xf numFmtId="0" fontId="9" fillId="0" borderId="0" xfId="0" applyFont="1"/>
    <xf numFmtId="37" fontId="0" fillId="0" borderId="0" xfId="0" applyNumberFormat="1" applyAlignment="1">
      <alignment horizontal="right" vertical="center"/>
    </xf>
    <xf numFmtId="0" fontId="0" fillId="0" borderId="0" xfId="0" applyAlignment="1">
      <alignment horizontal="right" vertical="center"/>
    </xf>
    <xf numFmtId="0" fontId="5" fillId="0" borderId="0" xfId="0" applyFont="1"/>
    <xf numFmtId="37" fontId="4" fillId="0" borderId="1" xfId="1" applyNumberFormat="1" applyFont="1" applyFill="1" applyBorder="1" applyAlignment="1">
      <alignment horizontal="right"/>
    </xf>
    <xf numFmtId="37" fontId="4" fillId="0" borderId="0" xfId="1" applyNumberFormat="1" applyFont="1" applyFill="1" applyAlignment="1">
      <alignment horizontal="right"/>
    </xf>
    <xf numFmtId="7" fontId="10" fillId="0" borderId="2" xfId="0" applyNumberFormat="1" applyFont="1" applyBorder="1" applyAlignment="1">
      <alignment horizontal="right"/>
    </xf>
    <xf numFmtId="7" fontId="10" fillId="0" borderId="0" xfId="0" applyNumberFormat="1" applyFont="1" applyAlignment="1">
      <alignment horizontal="right"/>
    </xf>
    <xf numFmtId="7" fontId="8" fillId="0" borderId="0" xfId="0" applyNumberFormat="1" applyFont="1" applyAlignment="1">
      <alignment horizontal="right"/>
    </xf>
    <xf numFmtId="37" fontId="0" fillId="0" borderId="0" xfId="0" applyNumberFormat="1" applyAlignment="1">
      <alignment horizontal="left" indent="1"/>
    </xf>
    <xf numFmtId="5" fontId="8" fillId="0" borderId="1" xfId="0" applyNumberFormat="1" applyFont="1" applyBorder="1" applyAlignment="1">
      <alignment horizontal="right"/>
    </xf>
    <xf numFmtId="0" fontId="7" fillId="0" borderId="0" xfId="0" applyFont="1"/>
    <xf numFmtId="165" fontId="9" fillId="3" borderId="1" xfId="1" applyNumberFormat="1" applyFont="1" applyFill="1" applyBorder="1" applyAlignment="1">
      <alignment horizontal="right"/>
    </xf>
    <xf numFmtId="7" fontId="10" fillId="0" borderId="1" xfId="0" applyNumberFormat="1" applyFont="1" applyBorder="1" applyAlignment="1">
      <alignment horizontal="right"/>
    </xf>
    <xf numFmtId="37" fontId="4" fillId="0" borderId="1" xfId="0" applyNumberFormat="1" applyFont="1" applyBorder="1"/>
    <xf numFmtId="5" fontId="10" fillId="2" borderId="3" xfId="0" applyNumberFormat="1" applyFont="1" applyFill="1" applyBorder="1" applyAlignment="1">
      <alignment horizontal="right"/>
    </xf>
    <xf numFmtId="165" fontId="5" fillId="0" borderId="0" xfId="1" applyNumberFormat="1" applyFont="1" applyAlignment="1">
      <alignment horizontal="right"/>
    </xf>
    <xf numFmtId="9" fontId="9" fillId="0" borderId="1" xfId="1" applyFont="1" applyFill="1" applyBorder="1" applyAlignment="1">
      <alignment horizontal="right"/>
    </xf>
    <xf numFmtId="37" fontId="9" fillId="0" borderId="1" xfId="0" applyNumberFormat="1" applyFont="1" applyBorder="1"/>
    <xf numFmtId="9" fontId="4" fillId="0" borderId="0" xfId="1" applyFont="1" applyBorder="1" applyAlignment="1">
      <alignment horizontal="right"/>
    </xf>
    <xf numFmtId="9" fontId="4" fillId="0" borderId="1" xfId="1" applyFont="1" applyBorder="1" applyAlignment="1">
      <alignment horizontal="right"/>
    </xf>
    <xf numFmtId="9" fontId="0" fillId="0" borderId="0" xfId="1" applyFont="1"/>
    <xf numFmtId="0" fontId="3" fillId="0" borderId="0" xfId="0" applyFont="1"/>
    <xf numFmtId="5" fontId="2" fillId="0" borderId="0" xfId="0" applyNumberFormat="1" applyFont="1" applyAlignment="1">
      <alignment horizontal="left"/>
    </xf>
    <xf numFmtId="5" fontId="2" fillId="0" borderId="0" xfId="0" applyNumberFormat="1" applyFont="1"/>
    <xf numFmtId="37" fontId="24" fillId="0" borderId="1" xfId="0" applyNumberFormat="1" applyFont="1" applyBorder="1" applyAlignment="1">
      <alignment horizontal="right"/>
    </xf>
    <xf numFmtId="0" fontId="9" fillId="0" borderId="0" xfId="0" applyFont="1" applyAlignment="1">
      <alignment horizontal="left" indent="1"/>
    </xf>
    <xf numFmtId="165" fontId="2" fillId="0" borderId="1" xfId="1" applyNumberFormat="1" applyFont="1" applyFill="1" applyBorder="1" applyAlignment="1">
      <alignment horizontal="right"/>
    </xf>
    <xf numFmtId="39" fontId="4" fillId="0" borderId="0" xfId="1" applyNumberFormat="1" applyFont="1" applyBorder="1" applyAlignment="1">
      <alignment horizontal="right"/>
    </xf>
    <xf numFmtId="7" fontId="0" fillId="0" borderId="2" xfId="1" applyNumberFormat="1" applyFont="1" applyBorder="1" applyAlignment="1">
      <alignment horizontal="right"/>
    </xf>
    <xf numFmtId="39" fontId="2" fillId="0" borderId="2" xfId="0" applyNumberFormat="1" applyFont="1" applyBorder="1" applyAlignment="1">
      <alignment horizontal="right"/>
    </xf>
    <xf numFmtId="2" fontId="0" fillId="0" borderId="2" xfId="0" applyNumberFormat="1" applyBorder="1" applyAlignment="1">
      <alignment horizontal="right"/>
    </xf>
    <xf numFmtId="7" fontId="2" fillId="0" borderId="0" xfId="1" applyNumberFormat="1" applyFont="1" applyBorder="1" applyAlignment="1">
      <alignment horizontal="right"/>
    </xf>
    <xf numFmtId="37" fontId="9" fillId="3" borderId="1" xfId="0" applyNumberFormat="1" applyFont="1" applyFill="1" applyBorder="1" applyAlignment="1">
      <alignment horizontal="right"/>
    </xf>
    <xf numFmtId="37" fontId="5" fillId="0" borderId="0" xfId="1" applyNumberFormat="1" applyFont="1" applyBorder="1" applyAlignment="1">
      <alignment horizontal="right"/>
    </xf>
    <xf numFmtId="37" fontId="5" fillId="0" borderId="0" xfId="1" applyNumberFormat="1" applyFont="1" applyAlignment="1">
      <alignment horizontal="right"/>
    </xf>
    <xf numFmtId="37" fontId="4" fillId="0" borderId="0" xfId="0" applyNumberFormat="1" applyFont="1" applyAlignment="1">
      <alignment horizontal="right" vertical="center"/>
    </xf>
    <xf numFmtId="0" fontId="4" fillId="0" borderId="0" xfId="0" applyFont="1" applyAlignment="1">
      <alignment horizontal="right" vertical="center"/>
    </xf>
    <xf numFmtId="165" fontId="9" fillId="0" borderId="2" xfId="1" applyNumberFormat="1" applyFont="1" applyFill="1" applyBorder="1" applyAlignment="1">
      <alignment horizontal="right"/>
    </xf>
    <xf numFmtId="165" fontId="7" fillId="0" borderId="1" xfId="1" applyNumberFormat="1" applyFont="1" applyFill="1" applyBorder="1" applyAlignment="1">
      <alignment horizontal="right"/>
    </xf>
    <xf numFmtId="1" fontId="2" fillId="2" borderId="0" xfId="0" applyNumberFormat="1" applyFont="1" applyFill="1" applyAlignment="1">
      <alignment horizontal="right"/>
    </xf>
    <xf numFmtId="5" fontId="0" fillId="0" borderId="0" xfId="0" applyNumberFormat="1"/>
    <xf numFmtId="165" fontId="10" fillId="3" borderId="1" xfId="1" applyNumberFormat="1" applyFont="1" applyFill="1" applyBorder="1" applyAlignment="1">
      <alignment horizontal="right"/>
    </xf>
    <xf numFmtId="5" fontId="2" fillId="3" borderId="1" xfId="0" applyNumberFormat="1" applyFont="1" applyFill="1" applyBorder="1" applyAlignment="1">
      <alignment horizontal="right"/>
    </xf>
    <xf numFmtId="165" fontId="0" fillId="0" borderId="0" xfId="1" applyNumberFormat="1" applyFont="1"/>
    <xf numFmtId="165" fontId="9" fillId="0" borderId="1" xfId="1" applyNumberFormat="1" applyFont="1" applyBorder="1"/>
    <xf numFmtId="165" fontId="7" fillId="3" borderId="1" xfId="1" applyNumberFormat="1" applyFont="1" applyFill="1" applyBorder="1" applyAlignment="1">
      <alignment horizontal="right"/>
    </xf>
    <xf numFmtId="5" fontId="0" fillId="3" borderId="1" xfId="0" applyNumberFormat="1" applyFill="1" applyBorder="1" applyAlignment="1">
      <alignment horizontal="right"/>
    </xf>
    <xf numFmtId="5" fontId="10" fillId="3" borderId="1" xfId="0" applyNumberFormat="1" applyFont="1" applyFill="1" applyBorder="1" applyAlignment="1">
      <alignment horizontal="right"/>
    </xf>
    <xf numFmtId="165" fontId="0" fillId="0" borderId="0" xfId="0" applyNumberFormat="1" applyAlignment="1">
      <alignment horizontal="right"/>
    </xf>
    <xf numFmtId="165" fontId="4" fillId="6" borderId="1" xfId="1" applyNumberFormat="1" applyFont="1" applyFill="1" applyBorder="1" applyAlignment="1">
      <alignment horizontal="right"/>
    </xf>
    <xf numFmtId="0" fontId="2" fillId="0" borderId="0" xfId="0" applyFont="1" applyAlignment="1">
      <alignment horizontal="right"/>
    </xf>
    <xf numFmtId="0" fontId="2" fillId="0" borderId="1" xfId="0" applyFont="1" applyBorder="1" applyAlignment="1">
      <alignment horizontal="right"/>
    </xf>
    <xf numFmtId="0" fontId="8" fillId="0" borderId="0" xfId="0" applyFont="1" applyAlignment="1">
      <alignment horizontal="right"/>
    </xf>
    <xf numFmtId="1" fontId="2" fillId="0" borderId="0" xfId="0" applyNumberFormat="1" applyFont="1" applyAlignment="1">
      <alignment horizontal="right"/>
    </xf>
    <xf numFmtId="0" fontId="25" fillId="0" borderId="0" xfId="0" applyFont="1"/>
    <xf numFmtId="37" fontId="4" fillId="0" borderId="0" xfId="0" applyNumberFormat="1" applyFont="1"/>
    <xf numFmtId="37" fontId="26" fillId="0" borderId="0" xfId="0" applyNumberFormat="1" applyFont="1"/>
    <xf numFmtId="1" fontId="2" fillId="0" borderId="1" xfId="0" applyNumberFormat="1" applyFont="1" applyBorder="1" applyAlignment="1">
      <alignment horizontal="right"/>
    </xf>
    <xf numFmtId="9" fontId="5" fillId="0" borderId="1" xfId="1" applyFont="1" applyBorder="1" applyAlignment="1">
      <alignment horizontal="right"/>
    </xf>
    <xf numFmtId="0" fontId="4" fillId="0" borderId="1" xfId="0" applyFont="1" applyBorder="1" applyAlignment="1">
      <alignment horizontal="right"/>
    </xf>
    <xf numFmtId="0" fontId="9" fillId="2" borderId="1" xfId="0" applyFont="1" applyFill="1" applyBorder="1" applyAlignment="1">
      <alignment horizontal="right"/>
    </xf>
    <xf numFmtId="0" fontId="7" fillId="0" borderId="1" xfId="0" applyFont="1" applyBorder="1" applyAlignment="1">
      <alignment horizontal="right"/>
    </xf>
    <xf numFmtId="165" fontId="0" fillId="0" borderId="1" xfId="0" applyNumberFormat="1" applyBorder="1" applyAlignment="1">
      <alignment horizontal="right"/>
    </xf>
    <xf numFmtId="165" fontId="5" fillId="7" borderId="1" xfId="1" applyNumberFormat="1" applyFont="1" applyFill="1" applyBorder="1" applyAlignment="1">
      <alignment horizontal="right"/>
    </xf>
    <xf numFmtId="165" fontId="0" fillId="7" borderId="1" xfId="0" applyNumberFormat="1" applyFill="1" applyBorder="1" applyAlignment="1">
      <alignment horizontal="right"/>
    </xf>
    <xf numFmtId="37" fontId="8" fillId="0" borderId="1" xfId="0" applyNumberFormat="1" applyFont="1" applyBorder="1"/>
    <xf numFmtId="37" fontId="10" fillId="0" borderId="1" xfId="0" applyNumberFormat="1" applyFont="1" applyBorder="1"/>
    <xf numFmtId="1" fontId="7" fillId="0" borderId="1" xfId="0" applyNumberFormat="1" applyFont="1" applyBorder="1" applyAlignment="1">
      <alignment horizontal="right"/>
    </xf>
    <xf numFmtId="0" fontId="7" fillId="7" borderId="0" xfId="0" applyFont="1" applyFill="1" applyAlignment="1">
      <alignment horizontal="left" indent="1"/>
    </xf>
    <xf numFmtId="9" fontId="7" fillId="0" borderId="1" xfId="1" applyFont="1" applyBorder="1" applyAlignment="1">
      <alignment horizontal="right"/>
    </xf>
    <xf numFmtId="37" fontId="0" fillId="2" borderId="1" xfId="0" applyNumberFormat="1" applyFill="1" applyBorder="1" applyAlignment="1">
      <alignment horizontal="right"/>
    </xf>
    <xf numFmtId="37" fontId="25" fillId="0" borderId="1" xfId="0" applyNumberFormat="1" applyFont="1" applyBorder="1" applyAlignment="1">
      <alignment horizontal="right"/>
    </xf>
    <xf numFmtId="0" fontId="2" fillId="0" borderId="0" xfId="0" applyFont="1" applyAlignment="1">
      <alignment horizontal="left" indent="2"/>
    </xf>
    <xf numFmtId="37" fontId="7" fillId="3" borderId="1" xfId="0" applyNumberFormat="1" applyFont="1" applyFill="1" applyBorder="1" applyAlignment="1">
      <alignment horizontal="right"/>
    </xf>
    <xf numFmtId="37" fontId="7" fillId="3" borderId="0" xfId="0" applyNumberFormat="1" applyFont="1" applyFill="1" applyAlignment="1">
      <alignment horizontal="right"/>
    </xf>
    <xf numFmtId="165" fontId="2" fillId="0" borderId="0" xfId="1" applyNumberFormat="1" applyFont="1" applyAlignment="1">
      <alignment horizontal="right"/>
    </xf>
    <xf numFmtId="165" fontId="2" fillId="0" borderId="1" xfId="1" applyNumberFormat="1" applyFont="1" applyBorder="1" applyAlignment="1">
      <alignment horizontal="right"/>
    </xf>
    <xf numFmtId="165" fontId="7" fillId="0" borderId="0" xfId="1" applyNumberFormat="1" applyFont="1"/>
    <xf numFmtId="165" fontId="7" fillId="0" borderId="0" xfId="1" applyNumberFormat="1" applyFont="1" applyAlignment="1">
      <alignment horizontal="right"/>
    </xf>
    <xf numFmtId="165" fontId="10" fillId="0" borderId="1" xfId="1" applyNumberFormat="1" applyFont="1" applyBorder="1" applyAlignment="1">
      <alignment horizontal="right"/>
    </xf>
    <xf numFmtId="165" fontId="10" fillId="0" borderId="0" xfId="1" applyNumberFormat="1" applyFont="1"/>
    <xf numFmtId="37" fontId="4" fillId="8" borderId="0" xfId="0" applyNumberFormat="1" applyFont="1" applyFill="1" applyAlignment="1">
      <alignment horizontal="right"/>
    </xf>
    <xf numFmtId="0" fontId="3" fillId="9" borderId="0" xfId="0" applyFont="1" applyFill="1" applyAlignment="1">
      <alignment horizontal="left" indent="1"/>
    </xf>
    <xf numFmtId="37" fontId="23" fillId="9" borderId="1" xfId="0" applyNumberFormat="1" applyFont="1" applyFill="1" applyBorder="1" applyAlignment="1">
      <alignment horizontal="right"/>
    </xf>
    <xf numFmtId="9" fontId="29" fillId="9" borderId="1" xfId="1" applyFont="1" applyFill="1" applyBorder="1" applyAlignment="1">
      <alignment horizontal="right"/>
    </xf>
    <xf numFmtId="0" fontId="6" fillId="9" borderId="0" xfId="0" applyFont="1" applyFill="1" applyAlignment="1">
      <alignment horizontal="left" indent="1"/>
    </xf>
    <xf numFmtId="37" fontId="30" fillId="9" borderId="1" xfId="0" applyNumberFormat="1" applyFont="1" applyFill="1" applyBorder="1" applyAlignment="1">
      <alignment horizontal="right"/>
    </xf>
    <xf numFmtId="0" fontId="6" fillId="9" borderId="1" xfId="0" applyFont="1" applyFill="1" applyBorder="1" applyAlignment="1">
      <alignment horizontal="right"/>
    </xf>
    <xf numFmtId="37" fontId="6" fillId="9" borderId="1" xfId="0" applyNumberFormat="1" applyFont="1" applyFill="1" applyBorder="1" applyAlignment="1">
      <alignment horizontal="right"/>
    </xf>
    <xf numFmtId="37" fontId="22" fillId="9" borderId="1" xfId="0" applyNumberFormat="1" applyFont="1" applyFill="1" applyBorder="1" applyAlignment="1">
      <alignment horizontal="right"/>
    </xf>
    <xf numFmtId="0" fontId="31" fillId="0" borderId="0" xfId="0" applyFont="1" applyAlignment="1">
      <alignment horizontal="left" indent="1"/>
    </xf>
    <xf numFmtId="0" fontId="31" fillId="0" borderId="1" xfId="0" applyFont="1" applyBorder="1" applyAlignment="1">
      <alignment horizontal="right"/>
    </xf>
    <xf numFmtId="37" fontId="32" fillId="0" borderId="1" xfId="0" applyNumberFormat="1" applyFont="1" applyBorder="1" applyAlignment="1">
      <alignment horizontal="right"/>
    </xf>
    <xf numFmtId="37" fontId="31" fillId="0" borderId="1" xfId="0" applyNumberFormat="1" applyFont="1" applyBorder="1" applyAlignment="1">
      <alignment horizontal="right"/>
    </xf>
    <xf numFmtId="0" fontId="31" fillId="0" borderId="0" xfId="0" applyFont="1"/>
    <xf numFmtId="166" fontId="2" fillId="0" borderId="1" xfId="0" applyNumberFormat="1" applyFont="1" applyBorder="1" applyAlignment="1">
      <alignment horizontal="right"/>
    </xf>
    <xf numFmtId="166" fontId="8" fillId="0" borderId="1" xfId="0" applyNumberFormat="1" applyFont="1" applyBorder="1" applyAlignment="1">
      <alignment horizontal="right"/>
    </xf>
    <xf numFmtId="37" fontId="24" fillId="9" borderId="1" xfId="0" applyNumberFormat="1" applyFont="1" applyFill="1" applyBorder="1" applyAlignment="1">
      <alignment horizontal="right"/>
    </xf>
    <xf numFmtId="0" fontId="6" fillId="9" borderId="0" xfId="0" applyFont="1" applyFill="1" applyAlignment="1">
      <alignment horizontal="left"/>
    </xf>
    <xf numFmtId="0" fontId="3" fillId="9" borderId="1" xfId="0" applyFont="1" applyFill="1" applyBorder="1" applyAlignment="1">
      <alignment horizontal="right"/>
    </xf>
    <xf numFmtId="37" fontId="3" fillId="9" borderId="1" xfId="0" applyNumberFormat="1" applyFont="1" applyFill="1" applyBorder="1" applyAlignment="1">
      <alignment horizontal="right"/>
    </xf>
    <xf numFmtId="37" fontId="29" fillId="9" borderId="1" xfId="0" applyNumberFormat="1" applyFont="1" applyFill="1" applyBorder="1" applyAlignment="1">
      <alignment horizontal="right"/>
    </xf>
    <xf numFmtId="0" fontId="24" fillId="9" borderId="1" xfId="0" applyFont="1" applyFill="1" applyBorder="1" applyAlignment="1">
      <alignment horizontal="right"/>
    </xf>
    <xf numFmtId="0" fontId="30" fillId="9" borderId="1" xfId="0" applyFont="1" applyFill="1" applyBorder="1" applyAlignment="1">
      <alignment horizontal="right"/>
    </xf>
    <xf numFmtId="0" fontId="22" fillId="9" borderId="1" xfId="0" applyFont="1" applyFill="1" applyBorder="1" applyAlignment="1">
      <alignment horizontal="right"/>
    </xf>
    <xf numFmtId="0" fontId="2" fillId="5" borderId="7" xfId="0" applyFont="1" applyFill="1" applyBorder="1" applyAlignment="1">
      <alignment horizontal="left" indent="1"/>
    </xf>
    <xf numFmtId="37" fontId="7" fillId="5" borderId="6" xfId="0" applyNumberFormat="1" applyFont="1" applyFill="1" applyBorder="1" applyAlignment="1">
      <alignment horizontal="right"/>
    </xf>
    <xf numFmtId="0" fontId="0" fillId="10" borderId="1" xfId="0" applyFill="1" applyBorder="1" applyAlignment="1">
      <alignment horizontal="right"/>
    </xf>
    <xf numFmtId="0" fontId="9" fillId="10" borderId="1" xfId="0" applyFont="1" applyFill="1" applyBorder="1" applyAlignment="1">
      <alignment horizontal="right"/>
    </xf>
    <xf numFmtId="37" fontId="5" fillId="9" borderId="1" xfId="0" applyNumberFormat="1" applyFont="1" applyFill="1" applyBorder="1" applyAlignment="1">
      <alignment horizontal="right"/>
    </xf>
    <xf numFmtId="37" fontId="0" fillId="9" borderId="1" xfId="0" applyNumberFormat="1" applyFill="1" applyBorder="1" applyAlignment="1">
      <alignment horizontal="right"/>
    </xf>
    <xf numFmtId="165" fontId="27" fillId="9" borderId="1" xfId="1" applyNumberFormat="1" applyFont="1" applyFill="1" applyBorder="1" applyAlignment="1">
      <alignment horizontal="right"/>
    </xf>
    <xf numFmtId="165" fontId="0" fillId="9" borderId="1" xfId="0" applyNumberFormat="1" applyFill="1" applyBorder="1" applyAlignment="1">
      <alignment horizontal="right"/>
    </xf>
    <xf numFmtId="1" fontId="2" fillId="9" borderId="1" xfId="0" applyNumberFormat="1" applyFont="1" applyFill="1" applyBorder="1" applyAlignment="1">
      <alignment horizontal="right"/>
    </xf>
    <xf numFmtId="0" fontId="2" fillId="9" borderId="1" xfId="0" applyFont="1" applyFill="1" applyBorder="1" applyAlignment="1">
      <alignment horizontal="right"/>
    </xf>
    <xf numFmtId="0" fontId="7" fillId="9" borderId="1" xfId="0" applyFont="1" applyFill="1" applyBorder="1" applyAlignment="1">
      <alignment horizontal="right"/>
    </xf>
    <xf numFmtId="37" fontId="2" fillId="9" borderId="1" xfId="0" applyNumberFormat="1" applyFont="1" applyFill="1" applyBorder="1" applyAlignment="1">
      <alignment horizontal="right"/>
    </xf>
    <xf numFmtId="37" fontId="7" fillId="9" borderId="1" xfId="0" applyNumberFormat="1" applyFont="1" applyFill="1" applyBorder="1" applyAlignment="1">
      <alignment horizontal="right"/>
    </xf>
    <xf numFmtId="37" fontId="8" fillId="9" borderId="1" xfId="0" applyNumberFormat="1" applyFont="1" applyFill="1" applyBorder="1" applyAlignment="1">
      <alignment horizontal="right"/>
    </xf>
    <xf numFmtId="5" fontId="0" fillId="8" borderId="1" xfId="0" applyNumberFormat="1" applyFill="1" applyBorder="1" applyAlignment="1">
      <alignment horizontal="right"/>
    </xf>
    <xf numFmtId="37" fontId="7" fillId="4" borderId="8" xfId="0" applyNumberFormat="1" applyFont="1" applyFill="1" applyBorder="1" applyAlignment="1">
      <alignment horizontal="left"/>
    </xf>
    <xf numFmtId="37" fontId="0" fillId="4" borderId="4" xfId="0" applyNumberFormat="1" applyFill="1" applyBorder="1" applyAlignment="1">
      <alignment horizontal="right"/>
    </xf>
    <xf numFmtId="37" fontId="0" fillId="4" borderId="9" xfId="0" applyNumberFormat="1" applyFill="1" applyBorder="1" applyAlignment="1">
      <alignment horizontal="right"/>
    </xf>
    <xf numFmtId="37" fontId="10" fillId="0" borderId="10" xfId="0" applyNumberFormat="1" applyFont="1" applyBorder="1" applyAlignment="1">
      <alignment horizontal="right"/>
    </xf>
    <xf numFmtId="37" fontId="10" fillId="0" borderId="11" xfId="0" applyNumberFormat="1" applyFont="1" applyBorder="1" applyAlignment="1">
      <alignment horizontal="right"/>
    </xf>
    <xf numFmtId="37" fontId="5" fillId="0" borderId="1" xfId="0" applyNumberFormat="1" applyFont="1" applyBorder="1"/>
    <xf numFmtId="9" fontId="4" fillId="0" borderId="1" xfId="0" applyNumberFormat="1" applyFont="1" applyBorder="1" applyAlignment="1">
      <alignment horizontal="right"/>
    </xf>
    <xf numFmtId="9" fontId="5" fillId="0" borderId="2" xfId="1" applyFont="1" applyBorder="1" applyAlignment="1">
      <alignment horizontal="right"/>
    </xf>
    <xf numFmtId="5" fontId="5" fillId="3" borderId="1" xfId="0" applyNumberFormat="1" applyFont="1" applyFill="1" applyBorder="1" applyAlignment="1">
      <alignment horizontal="right"/>
    </xf>
    <xf numFmtId="9" fontId="7" fillId="0" borderId="0" xfId="1" applyFont="1" applyBorder="1" applyAlignment="1">
      <alignment horizontal="right"/>
    </xf>
    <xf numFmtId="0" fontId="33" fillId="10" borderId="0" xfId="0" applyFont="1" applyFill="1" applyAlignment="1">
      <alignment horizontal="left"/>
    </xf>
    <xf numFmtId="0" fontId="9" fillId="7" borderId="0" xfId="0" applyFont="1" applyFill="1" applyAlignment="1">
      <alignment horizontal="left" indent="1"/>
    </xf>
    <xf numFmtId="44" fontId="0" fillId="0" borderId="1" xfId="18" applyFont="1" applyBorder="1" applyAlignment="1">
      <alignment horizontal="right"/>
    </xf>
    <xf numFmtId="9" fontId="9" fillId="0" borderId="1" xfId="0" applyNumberFormat="1" applyFont="1" applyBorder="1" applyAlignment="1">
      <alignment horizontal="right"/>
    </xf>
    <xf numFmtId="37" fontId="4" fillId="0" borderId="10" xfId="0" applyNumberFormat="1" applyFont="1" applyBorder="1" applyAlignment="1">
      <alignment horizontal="right"/>
    </xf>
    <xf numFmtId="37" fontId="4" fillId="0" borderId="11" xfId="0" applyNumberFormat="1" applyFont="1" applyBorder="1" applyAlignment="1">
      <alignment horizontal="right"/>
    </xf>
    <xf numFmtId="1" fontId="2" fillId="2" borderId="12" xfId="0" applyNumberFormat="1" applyFont="1" applyFill="1" applyBorder="1" applyAlignment="1">
      <alignment horizontal="right"/>
    </xf>
    <xf numFmtId="1" fontId="2" fillId="2" borderId="15" xfId="0" applyNumberFormat="1" applyFont="1" applyFill="1" applyBorder="1" applyAlignment="1">
      <alignment horizontal="right"/>
    </xf>
    <xf numFmtId="37" fontId="2" fillId="0" borderId="17" xfId="0" applyNumberFormat="1" applyFont="1" applyBorder="1" applyAlignment="1">
      <alignment horizontal="right"/>
    </xf>
    <xf numFmtId="37" fontId="2" fillId="0" borderId="13" xfId="0" applyNumberFormat="1" applyFont="1" applyBorder="1" applyAlignment="1">
      <alignment horizontal="right"/>
    </xf>
    <xf numFmtId="37" fontId="2" fillId="0" borderId="14" xfId="0" applyNumberFormat="1" applyFont="1" applyBorder="1" applyAlignment="1">
      <alignment horizontal="right"/>
    </xf>
    <xf numFmtId="165" fontId="28" fillId="3" borderId="1" xfId="1" applyNumberFormat="1" applyFont="1" applyFill="1" applyBorder="1" applyAlignment="1">
      <alignment horizontal="right"/>
    </xf>
    <xf numFmtId="165" fontId="11" fillId="0" borderId="1" xfId="1" applyNumberFormat="1" applyFont="1" applyFill="1" applyBorder="1" applyAlignment="1">
      <alignment horizontal="right"/>
    </xf>
    <xf numFmtId="165" fontId="28" fillId="0" borderId="0" xfId="1" applyNumberFormat="1" applyFont="1" applyFill="1" applyBorder="1" applyAlignment="1">
      <alignment horizontal="right"/>
    </xf>
    <xf numFmtId="37" fontId="2" fillId="0" borderId="0" xfId="0" applyNumberFormat="1" applyFont="1"/>
    <xf numFmtId="9" fontId="5" fillId="0" borderId="1" xfId="1" applyFont="1" applyFill="1" applyBorder="1" applyAlignment="1">
      <alignment horizontal="right"/>
    </xf>
    <xf numFmtId="0" fontId="0" fillId="9" borderId="0" xfId="0" applyFill="1" applyAlignment="1">
      <alignment horizontal="left" indent="2"/>
    </xf>
    <xf numFmtId="37" fontId="9" fillId="9" borderId="1" xfId="0" applyNumberFormat="1" applyFont="1" applyFill="1" applyBorder="1" applyAlignment="1">
      <alignment horizontal="right"/>
    </xf>
    <xf numFmtId="165" fontId="8" fillId="0" borderId="1" xfId="1" applyNumberFormat="1" applyFont="1" applyBorder="1" applyAlignment="1">
      <alignment horizontal="right"/>
    </xf>
    <xf numFmtId="37" fontId="0" fillId="0" borderId="0" xfId="0" applyNumberFormat="1" applyAlignment="1">
      <alignment horizontal="left"/>
    </xf>
    <xf numFmtId="165" fontId="28" fillId="0" borderId="1" xfId="1" applyNumberFormat="1" applyFont="1" applyBorder="1" applyAlignment="1">
      <alignment horizontal="right"/>
    </xf>
    <xf numFmtId="165" fontId="7" fillId="0" borderId="0" xfId="1" applyNumberFormat="1" applyFont="1" applyFill="1" applyAlignment="1">
      <alignment horizontal="right"/>
    </xf>
    <xf numFmtId="165" fontId="8" fillId="0" borderId="0" xfId="1" applyNumberFormat="1" applyFont="1" applyFill="1" applyAlignment="1">
      <alignment horizontal="right"/>
    </xf>
    <xf numFmtId="168" fontId="7" fillId="0" borderId="0" xfId="0" applyNumberFormat="1" applyFont="1" applyAlignment="1">
      <alignment horizontal="right"/>
    </xf>
    <xf numFmtId="37" fontId="5" fillId="0" borderId="2" xfId="1" applyNumberFormat="1" applyFont="1" applyFill="1" applyBorder="1" applyAlignment="1">
      <alignment horizontal="right"/>
    </xf>
    <xf numFmtId="168" fontId="7" fillId="0" borderId="3" xfId="0" applyNumberFormat="1" applyFont="1" applyBorder="1" applyAlignment="1">
      <alignment horizontal="right"/>
    </xf>
    <xf numFmtId="0" fontId="35" fillId="0" borderId="0" xfId="0" applyFont="1"/>
    <xf numFmtId="7" fontId="0" fillId="0" borderId="0" xfId="0" applyNumberFormat="1"/>
    <xf numFmtId="0" fontId="2" fillId="2" borderId="1" xfId="0" applyFont="1" applyFill="1" applyBorder="1" applyAlignment="1">
      <alignment horizontal="right"/>
    </xf>
    <xf numFmtId="37" fontId="25" fillId="0" borderId="0" xfId="0" applyNumberFormat="1" applyFont="1" applyAlignment="1">
      <alignment horizontal="right"/>
    </xf>
    <xf numFmtId="168" fontId="7" fillId="8" borderId="0" xfId="0" applyNumberFormat="1" applyFont="1" applyFill="1" applyAlignment="1">
      <alignment horizontal="right"/>
    </xf>
    <xf numFmtId="172" fontId="0" fillId="0" borderId="0" xfId="2" applyNumberFormat="1" applyFont="1" applyAlignment="1">
      <alignment horizontal="right"/>
    </xf>
    <xf numFmtId="0" fontId="34" fillId="0" borderId="0" xfId="0" applyFont="1" applyAlignment="1">
      <alignment horizontal="left"/>
    </xf>
    <xf numFmtId="37" fontId="2" fillId="0" borderId="0" xfId="0" applyNumberFormat="1" applyFont="1" applyAlignment="1">
      <alignment horizontal="left"/>
    </xf>
    <xf numFmtId="37" fontId="28" fillId="0" borderId="2" xfId="0" applyNumberFormat="1" applyFont="1" applyBorder="1" applyAlignment="1">
      <alignment horizontal="right"/>
    </xf>
    <xf numFmtId="37" fontId="28" fillId="0" borderId="1" xfId="0" applyNumberFormat="1" applyFont="1" applyBorder="1" applyAlignment="1">
      <alignment horizontal="right"/>
    </xf>
    <xf numFmtId="37" fontId="0" fillId="0" borderId="3" xfId="0" applyNumberFormat="1" applyBorder="1" applyAlignment="1">
      <alignment horizontal="right"/>
    </xf>
    <xf numFmtId="5" fontId="28" fillId="0" borderId="1" xfId="0" applyNumberFormat="1" applyFont="1" applyBorder="1" applyAlignment="1">
      <alignment horizontal="right"/>
    </xf>
    <xf numFmtId="37" fontId="9" fillId="0" borderId="0" xfId="1" applyNumberFormat="1" applyFont="1" applyFill="1" applyAlignment="1">
      <alignment horizontal="right"/>
    </xf>
    <xf numFmtId="168" fontId="0" fillId="0" borderId="0" xfId="0" applyNumberFormat="1"/>
    <xf numFmtId="7" fontId="8" fillId="0" borderId="0" xfId="1" applyNumberFormat="1" applyFont="1" applyFill="1" applyAlignment="1">
      <alignment horizontal="right"/>
    </xf>
    <xf numFmtId="10" fontId="0" fillId="0" borderId="0" xfId="0" applyNumberFormat="1" applyAlignment="1">
      <alignment horizontal="left" indent="2"/>
    </xf>
    <xf numFmtId="37" fontId="5" fillId="0" borderId="0" xfId="1" applyNumberFormat="1" applyFont="1" applyFill="1" applyBorder="1" applyAlignment="1">
      <alignment horizontal="right"/>
    </xf>
    <xf numFmtId="170" fontId="28" fillId="0" borderId="2" xfId="0" applyNumberFormat="1" applyFont="1" applyBorder="1" applyAlignment="1">
      <alignment horizontal="right"/>
    </xf>
    <xf numFmtId="170" fontId="28" fillId="0" borderId="1" xfId="0" applyNumberFormat="1" applyFont="1" applyBorder="1" applyAlignment="1">
      <alignment horizontal="right"/>
    </xf>
    <xf numFmtId="37" fontId="37" fillId="0" borderId="0" xfId="0" applyNumberFormat="1" applyFont="1" applyAlignment="1">
      <alignment horizontal="left"/>
    </xf>
    <xf numFmtId="37" fontId="37" fillId="0" borderId="0" xfId="0" applyNumberFormat="1" applyFont="1" applyAlignment="1">
      <alignment horizontal="right"/>
    </xf>
    <xf numFmtId="0" fontId="39" fillId="0" borderId="0" xfId="0" applyFont="1" applyAlignment="1">
      <alignment vertical="center"/>
    </xf>
    <xf numFmtId="10" fontId="0" fillId="0" borderId="0" xfId="1" applyNumberFormat="1" applyFont="1" applyBorder="1"/>
    <xf numFmtId="5" fontId="0" fillId="0" borderId="3" xfId="0" applyNumberFormat="1" applyBorder="1" applyAlignment="1">
      <alignment horizontal="right"/>
    </xf>
    <xf numFmtId="5" fontId="2" fillId="0" borderId="3" xfId="0" applyNumberFormat="1" applyFont="1" applyBorder="1" applyAlignment="1">
      <alignment horizontal="right"/>
    </xf>
    <xf numFmtId="5" fontId="2" fillId="3" borderId="0" xfId="0" applyNumberFormat="1" applyFont="1" applyFill="1" applyAlignment="1">
      <alignment horizontal="right"/>
    </xf>
    <xf numFmtId="5" fontId="2" fillId="3" borderId="3" xfId="0" applyNumberFormat="1" applyFont="1" applyFill="1" applyBorder="1" applyAlignment="1">
      <alignment horizontal="right"/>
    </xf>
    <xf numFmtId="0" fontId="38" fillId="0" borderId="0" xfId="0" applyFont="1"/>
    <xf numFmtId="0" fontId="40" fillId="0" borderId="0" xfId="0" applyFont="1" applyAlignment="1">
      <alignment horizontal="right" vertical="center"/>
    </xf>
    <xf numFmtId="0" fontId="40" fillId="0" borderId="0" xfId="0" applyFont="1" applyAlignment="1">
      <alignment vertical="center"/>
    </xf>
    <xf numFmtId="5" fontId="2" fillId="3" borderId="2" xfId="0" applyNumberFormat="1" applyFont="1" applyFill="1" applyBorder="1" applyAlignment="1">
      <alignment horizontal="right"/>
    </xf>
    <xf numFmtId="0" fontId="0" fillId="0" borderId="0" xfId="0" quotePrefix="1"/>
    <xf numFmtId="7" fontId="2" fillId="0" borderId="1" xfId="1" applyNumberFormat="1" applyFont="1" applyFill="1" applyBorder="1" applyAlignment="1">
      <alignment horizontal="right"/>
    </xf>
    <xf numFmtId="37" fontId="28" fillId="0" borderId="0" xfId="0" applyNumberFormat="1" applyFont="1" applyAlignment="1">
      <alignment horizontal="right"/>
    </xf>
    <xf numFmtId="10" fontId="0" fillId="0" borderId="0" xfId="0" applyNumberFormat="1"/>
    <xf numFmtId="174" fontId="0" fillId="0" borderId="0" xfId="18" applyNumberFormat="1" applyFont="1" applyFill="1" applyBorder="1" applyAlignment="1">
      <alignment horizontal="right"/>
    </xf>
    <xf numFmtId="0" fontId="5" fillId="0" borderId="1" xfId="0" applyFont="1" applyBorder="1"/>
    <xf numFmtId="1" fontId="0" fillId="0" borderId="0" xfId="0" applyNumberFormat="1" applyAlignment="1">
      <alignment horizontal="right"/>
    </xf>
    <xf numFmtId="0" fontId="41" fillId="0" borderId="0" xfId="0" applyFont="1"/>
    <xf numFmtId="9" fontId="0" fillId="0" borderId="2" xfId="1" applyFont="1" applyBorder="1" applyAlignment="1">
      <alignment horizontal="right"/>
    </xf>
    <xf numFmtId="37" fontId="9" fillId="3" borderId="0" xfId="0" applyNumberFormat="1" applyFont="1" applyFill="1" applyAlignment="1">
      <alignment horizontal="right"/>
    </xf>
    <xf numFmtId="165" fontId="5" fillId="0" borderId="1" xfId="1" applyNumberFormat="1" applyFont="1" applyBorder="1"/>
    <xf numFmtId="165" fontId="10" fillId="2" borderId="1" xfId="1" applyNumberFormat="1" applyFont="1" applyFill="1" applyBorder="1" applyAlignment="1">
      <alignment horizontal="right"/>
    </xf>
    <xf numFmtId="165" fontId="7" fillId="2" borderId="0" xfId="1" applyNumberFormat="1" applyFont="1" applyFill="1" applyBorder="1" applyAlignment="1">
      <alignment horizontal="right"/>
    </xf>
    <xf numFmtId="5" fontId="2" fillId="0" borderId="13" xfId="0" applyNumberFormat="1" applyFont="1" applyBorder="1" applyAlignment="1">
      <alignment horizontal="right"/>
    </xf>
    <xf numFmtId="37" fontId="9" fillId="8" borderId="1" xfId="0" applyNumberFormat="1" applyFont="1" applyFill="1" applyBorder="1"/>
    <xf numFmtId="0" fontId="2" fillId="8" borderId="1" xfId="0" applyFont="1" applyFill="1" applyBorder="1" applyAlignment="1">
      <alignment horizontal="right"/>
    </xf>
    <xf numFmtId="0" fontId="7" fillId="8" borderId="1" xfId="0" applyFont="1" applyFill="1" applyBorder="1" applyAlignment="1">
      <alignment horizontal="right"/>
    </xf>
    <xf numFmtId="5" fontId="8" fillId="2" borderId="2" xfId="0" applyNumberFormat="1" applyFont="1" applyFill="1" applyBorder="1" applyAlignment="1">
      <alignment horizontal="right"/>
    </xf>
    <xf numFmtId="37" fontId="2" fillId="3" borderId="2" xfId="0" applyNumberFormat="1" applyFont="1" applyFill="1" applyBorder="1" applyAlignment="1">
      <alignment horizontal="right"/>
    </xf>
    <xf numFmtId="37" fontId="4" fillId="3" borderId="2" xfId="0" applyNumberFormat="1" applyFont="1" applyFill="1" applyBorder="1" applyAlignment="1">
      <alignment horizontal="right"/>
    </xf>
    <xf numFmtId="41" fontId="1" fillId="0" borderId="2" xfId="1" applyNumberFormat="1" applyFont="1" applyBorder="1" applyAlignment="1">
      <alignment horizontal="right"/>
    </xf>
    <xf numFmtId="37" fontId="2" fillId="3" borderId="3" xfId="0" applyNumberFormat="1" applyFont="1" applyFill="1" applyBorder="1" applyAlignment="1">
      <alignment horizontal="right"/>
    </xf>
    <xf numFmtId="37" fontId="0" fillId="3" borderId="3" xfId="0" applyNumberFormat="1" applyFill="1" applyBorder="1" applyAlignment="1">
      <alignment horizontal="right"/>
    </xf>
    <xf numFmtId="165" fontId="1" fillId="0" borderId="3" xfId="1" applyNumberFormat="1" applyFont="1" applyFill="1" applyBorder="1" applyAlignment="1">
      <alignment horizontal="right"/>
    </xf>
    <xf numFmtId="165" fontId="1" fillId="0" borderId="3" xfId="1" applyNumberFormat="1" applyFont="1" applyBorder="1" applyAlignment="1">
      <alignment horizontal="right"/>
    </xf>
    <xf numFmtId="165" fontId="5" fillId="3" borderId="2" xfId="1" applyNumberFormat="1" applyFont="1" applyFill="1" applyBorder="1" applyAlignment="1">
      <alignment horizontal="right"/>
    </xf>
    <xf numFmtId="168" fontId="8" fillId="3" borderId="0" xfId="0" applyNumberFormat="1" applyFont="1" applyFill="1" applyAlignment="1">
      <alignment horizontal="right"/>
    </xf>
    <xf numFmtId="165" fontId="1" fillId="3" borderId="0" xfId="1" quotePrefix="1" applyNumberFormat="1" applyFont="1" applyFill="1" applyAlignment="1">
      <alignment horizontal="right"/>
    </xf>
    <xf numFmtId="7" fontId="2" fillId="0" borderId="0" xfId="1" applyNumberFormat="1" applyFont="1" applyFill="1" applyAlignment="1">
      <alignment horizontal="right"/>
    </xf>
    <xf numFmtId="165" fontId="7" fillId="3" borderId="0" xfId="1" applyNumberFormat="1" applyFont="1" applyFill="1" applyBorder="1" applyAlignment="1">
      <alignment horizontal="right"/>
    </xf>
    <xf numFmtId="37" fontId="9" fillId="3" borderId="2" xfId="0" applyNumberFormat="1" applyFont="1" applyFill="1" applyBorder="1" applyAlignment="1">
      <alignment horizontal="right"/>
    </xf>
    <xf numFmtId="7" fontId="10" fillId="3" borderId="0" xfId="0" applyNumberFormat="1" applyFont="1" applyFill="1" applyAlignment="1">
      <alignment horizontal="right"/>
    </xf>
    <xf numFmtId="37" fontId="0" fillId="3" borderId="0" xfId="0" applyNumberFormat="1" applyFill="1"/>
    <xf numFmtId="37" fontId="11" fillId="4" borderId="0" xfId="0" applyNumberFormat="1" applyFont="1" applyFill="1" applyAlignment="1">
      <alignment horizontal="right"/>
    </xf>
    <xf numFmtId="0" fontId="0" fillId="3" borderId="0" xfId="0" applyFill="1" applyAlignment="1">
      <alignment horizontal="left" indent="2"/>
    </xf>
    <xf numFmtId="165" fontId="1" fillId="3" borderId="0" xfId="1" applyNumberFormat="1" applyFont="1" applyFill="1" applyAlignment="1">
      <alignment horizontal="right"/>
    </xf>
    <xf numFmtId="5" fontId="0" fillId="3" borderId="0" xfId="0" applyNumberFormat="1" applyFill="1" applyAlignment="1">
      <alignment horizontal="right"/>
    </xf>
    <xf numFmtId="168" fontId="10" fillId="3" borderId="0" xfId="0" applyNumberFormat="1" applyFont="1" applyFill="1" applyAlignment="1">
      <alignment horizontal="right"/>
    </xf>
    <xf numFmtId="165" fontId="0" fillId="3" borderId="0" xfId="1" applyNumberFormat="1" applyFont="1" applyFill="1" applyBorder="1" applyAlignment="1">
      <alignment horizontal="right"/>
    </xf>
    <xf numFmtId="168" fontId="7" fillId="3" borderId="2" xfId="0" applyNumberFormat="1" applyFont="1" applyFill="1" applyBorder="1" applyAlignment="1">
      <alignment horizontal="right"/>
    </xf>
    <xf numFmtId="37" fontId="2" fillId="3" borderId="0" xfId="1" applyNumberFormat="1" applyFont="1" applyFill="1" applyBorder="1" applyAlignment="1">
      <alignment horizontal="right"/>
    </xf>
    <xf numFmtId="7" fontId="8" fillId="3" borderId="0" xfId="0" applyNumberFormat="1" applyFont="1" applyFill="1" applyAlignment="1">
      <alignment horizontal="right"/>
    </xf>
    <xf numFmtId="0" fontId="0" fillId="3" borderId="0" xfId="0" applyFill="1" applyAlignment="1">
      <alignment horizontal="right"/>
    </xf>
    <xf numFmtId="10" fontId="0" fillId="0" borderId="0" xfId="1" applyNumberFormat="1" applyFont="1" applyAlignment="1">
      <alignment horizontal="right"/>
    </xf>
    <xf numFmtId="37" fontId="39" fillId="0" borderId="0" xfId="0" applyNumberFormat="1" applyFont="1" applyAlignment="1">
      <alignment vertical="center"/>
    </xf>
    <xf numFmtId="1" fontId="40" fillId="0" borderId="0" xfId="0" applyNumberFormat="1" applyFont="1" applyAlignment="1">
      <alignment horizontal="center" vertical="center"/>
    </xf>
    <xf numFmtId="165" fontId="2" fillId="0" borderId="0" xfId="1" applyNumberFormat="1" applyFont="1" applyFill="1" applyAlignment="1">
      <alignment horizontal="right"/>
    </xf>
    <xf numFmtId="165" fontId="4" fillId="6" borderId="0" xfId="1" applyNumberFormat="1" applyFont="1" applyFill="1" applyBorder="1" applyAlignment="1">
      <alignment horizontal="right"/>
    </xf>
    <xf numFmtId="171" fontId="0" fillId="0" borderId="0" xfId="0" applyNumberFormat="1"/>
    <xf numFmtId="37" fontId="5" fillId="0" borderId="0" xfId="0" applyNumberFormat="1" applyFont="1"/>
    <xf numFmtId="37" fontId="7" fillId="0" borderId="0" xfId="0" applyNumberFormat="1" applyFont="1"/>
    <xf numFmtId="0" fontId="43" fillId="0" borderId="0" xfId="0" applyFont="1"/>
    <xf numFmtId="0" fontId="43" fillId="0" borderId="0" xfId="0" applyFont="1" applyAlignment="1">
      <alignment horizontal="right"/>
    </xf>
    <xf numFmtId="37" fontId="43" fillId="0" borderId="0" xfId="0" applyNumberFormat="1" applyFont="1"/>
    <xf numFmtId="0" fontId="3" fillId="0" borderId="0" xfId="0" applyFont="1" applyAlignment="1">
      <alignment horizontal="right"/>
    </xf>
    <xf numFmtId="0" fontId="2" fillId="0" borderId="0" xfId="0" applyFont="1" applyAlignment="1">
      <alignment horizontal="center"/>
    </xf>
    <xf numFmtId="0" fontId="0" fillId="8" borderId="0" xfId="0" applyFill="1" applyAlignment="1">
      <alignment horizontal="right"/>
    </xf>
    <xf numFmtId="165" fontId="37" fillId="0" borderId="1" xfId="1" applyNumberFormat="1" applyFont="1" applyBorder="1" applyAlignment="1">
      <alignment horizontal="right"/>
    </xf>
    <xf numFmtId="165" fontId="2" fillId="3" borderId="0" xfId="1" applyNumberFormat="1" applyFont="1" applyFill="1" applyAlignment="1">
      <alignment horizontal="right"/>
    </xf>
    <xf numFmtId="165" fontId="7" fillId="3" borderId="0" xfId="1" applyNumberFormat="1" applyFont="1" applyFill="1" applyAlignment="1">
      <alignment horizontal="right"/>
    </xf>
    <xf numFmtId="173" fontId="0" fillId="0" borderId="0" xfId="0" applyNumberFormat="1" applyAlignment="1">
      <alignment horizontal="right"/>
    </xf>
    <xf numFmtId="44" fontId="7" fillId="3" borderId="2" xfId="18" applyFont="1" applyFill="1" applyBorder="1" applyAlignment="1">
      <alignment horizontal="right"/>
    </xf>
    <xf numFmtId="37" fontId="9" fillId="3" borderId="3" xfId="0" applyNumberFormat="1" applyFont="1" applyFill="1" applyBorder="1" applyAlignment="1">
      <alignment horizontal="right"/>
    </xf>
    <xf numFmtId="5" fontId="4" fillId="2" borderId="0" xfId="0" applyNumberFormat="1" applyFont="1" applyFill="1" applyAlignment="1">
      <alignment horizontal="right"/>
    </xf>
    <xf numFmtId="5" fontId="5" fillId="2" borderId="0" xfId="0" applyNumberFormat="1" applyFont="1" applyFill="1" applyAlignment="1">
      <alignment horizontal="right"/>
    </xf>
    <xf numFmtId="5" fontId="27" fillId="0" borderId="0" xfId="0" applyNumberFormat="1" applyFont="1" applyAlignment="1">
      <alignment horizontal="right"/>
    </xf>
    <xf numFmtId="44" fontId="7" fillId="3" borderId="0" xfId="18" applyFont="1" applyFill="1" applyBorder="1" applyAlignment="1">
      <alignment horizontal="right"/>
    </xf>
    <xf numFmtId="9" fontId="9" fillId="3" borderId="1" xfId="1" applyFont="1" applyFill="1" applyBorder="1" applyAlignment="1">
      <alignment horizontal="right"/>
    </xf>
    <xf numFmtId="5" fontId="4" fillId="3" borderId="1" xfId="0" applyNumberFormat="1" applyFont="1" applyFill="1" applyBorder="1" applyAlignment="1">
      <alignment horizontal="right"/>
    </xf>
    <xf numFmtId="7" fontId="9" fillId="0" borderId="0" xfId="0" applyNumberFormat="1" applyFont="1" applyAlignment="1">
      <alignment horizontal="right"/>
    </xf>
    <xf numFmtId="7" fontId="7" fillId="0" borderId="0" xfId="0" applyNumberFormat="1" applyFont="1" applyAlignment="1">
      <alignment horizontal="right"/>
    </xf>
    <xf numFmtId="0" fontId="36" fillId="0" borderId="0" xfId="0" applyFont="1"/>
    <xf numFmtId="37" fontId="0" fillId="0" borderId="1" xfId="0" quotePrefix="1" applyNumberFormat="1" applyBorder="1" applyAlignment="1">
      <alignment horizontal="right"/>
    </xf>
    <xf numFmtId="175" fontId="0" fillId="0" borderId="0" xfId="0" applyNumberFormat="1" applyAlignment="1">
      <alignment horizontal="right"/>
    </xf>
    <xf numFmtId="175" fontId="0" fillId="0" borderId="1" xfId="0" applyNumberFormat="1" applyBorder="1" applyAlignment="1">
      <alignment horizontal="right"/>
    </xf>
    <xf numFmtId="5" fontId="37" fillId="0" borderId="0" xfId="0" applyNumberFormat="1" applyFont="1"/>
    <xf numFmtId="37" fontId="0" fillId="0" borderId="0" xfId="0" applyNumberFormat="1" applyAlignment="1">
      <alignment horizontal="center"/>
    </xf>
    <xf numFmtId="37" fontId="28" fillId="3" borderId="0" xfId="0" applyNumberFormat="1" applyFont="1" applyFill="1" applyAlignment="1">
      <alignment horizontal="right"/>
    </xf>
    <xf numFmtId="37" fontId="28" fillId="3" borderId="1" xfId="0" applyNumberFormat="1" applyFont="1" applyFill="1" applyBorder="1" applyAlignment="1">
      <alignment horizontal="right"/>
    </xf>
    <xf numFmtId="166" fontId="8" fillId="11" borderId="1" xfId="0" applyNumberFormat="1" applyFont="1" applyFill="1" applyBorder="1" applyAlignment="1">
      <alignment horizontal="right"/>
    </xf>
    <xf numFmtId="165" fontId="37" fillId="11" borderId="1" xfId="1" applyNumberFormat="1" applyFont="1" applyFill="1" applyBorder="1" applyAlignment="1">
      <alignment horizontal="right"/>
    </xf>
    <xf numFmtId="37" fontId="8" fillId="11" borderId="1" xfId="0" applyNumberFormat="1" applyFont="1" applyFill="1" applyBorder="1" applyAlignment="1">
      <alignment horizontal="right"/>
    </xf>
    <xf numFmtId="39" fontId="37" fillId="0" borderId="0" xfId="0" applyNumberFormat="1" applyFont="1" applyAlignment="1">
      <alignment horizontal="right"/>
    </xf>
    <xf numFmtId="39" fontId="37" fillId="0" borderId="1" xfId="0" applyNumberFormat="1" applyFont="1" applyBorder="1" applyAlignment="1">
      <alignment horizontal="right"/>
    </xf>
    <xf numFmtId="37" fontId="4" fillId="12" borderId="0" xfId="0" applyNumberFormat="1" applyFont="1" applyFill="1" applyAlignment="1">
      <alignment horizontal="right"/>
    </xf>
    <xf numFmtId="0" fontId="42" fillId="0" borderId="0" xfId="0" applyFont="1"/>
    <xf numFmtId="1" fontId="0" fillId="0" borderId="0" xfId="0" applyNumberFormat="1" applyAlignment="1">
      <alignment horizontal="center"/>
    </xf>
    <xf numFmtId="0" fontId="0" fillId="0" borderId="0" xfId="0" applyAlignment="1">
      <alignment horizontal="center"/>
    </xf>
    <xf numFmtId="5" fontId="2" fillId="0" borderId="0" xfId="0" applyNumberFormat="1" applyFont="1" applyAlignment="1">
      <alignment horizontal="center"/>
    </xf>
    <xf numFmtId="165" fontId="0" fillId="0" borderId="0" xfId="1" applyNumberFormat="1" applyFont="1" applyFill="1" applyBorder="1" applyAlignment="1">
      <alignment horizontal="center"/>
    </xf>
    <xf numFmtId="0" fontId="33" fillId="0" borderId="0" xfId="0" applyFont="1"/>
    <xf numFmtId="0" fontId="33" fillId="0" borderId="0" xfId="0" applyFont="1" applyAlignment="1">
      <alignment horizontal="center"/>
    </xf>
    <xf numFmtId="0" fontId="33" fillId="0" borderId="0" xfId="0" applyFont="1" applyAlignment="1">
      <alignment horizontal="left" indent="1"/>
    </xf>
    <xf numFmtId="1" fontId="28" fillId="0" borderId="1" xfId="0" applyNumberFormat="1" applyFont="1" applyBorder="1" applyAlignment="1">
      <alignment horizontal="right"/>
    </xf>
    <xf numFmtId="0" fontId="28" fillId="0" borderId="0" xfId="0" applyFont="1" applyAlignment="1">
      <alignment horizontal="right"/>
    </xf>
    <xf numFmtId="37" fontId="47" fillId="0" borderId="1" xfId="0" applyNumberFormat="1" applyFont="1" applyBorder="1" applyAlignment="1">
      <alignment horizontal="right"/>
    </xf>
    <xf numFmtId="1" fontId="0" fillId="0" borderId="1" xfId="0" applyNumberFormat="1" applyBorder="1" applyAlignment="1">
      <alignment horizontal="right"/>
    </xf>
    <xf numFmtId="7" fontId="7" fillId="0" borderId="1" xfId="0" applyNumberFormat="1" applyFont="1" applyBorder="1" applyAlignment="1">
      <alignment horizontal="right"/>
    </xf>
    <xf numFmtId="168" fontId="37" fillId="0" borderId="0" xfId="0" applyNumberFormat="1" applyFont="1" applyAlignment="1">
      <alignment horizontal="right"/>
    </xf>
    <xf numFmtId="37" fontId="4" fillId="11" borderId="0" xfId="0" applyNumberFormat="1" applyFont="1" applyFill="1" applyAlignment="1">
      <alignment horizontal="right"/>
    </xf>
    <xf numFmtId="37" fontId="27" fillId="0" borderId="0" xfId="0" applyNumberFormat="1" applyFont="1" applyAlignment="1">
      <alignment horizontal="right"/>
    </xf>
    <xf numFmtId="165" fontId="9" fillId="0" borderId="0" xfId="1" applyNumberFormat="1" applyFont="1" applyFill="1" applyAlignment="1">
      <alignment horizontal="right"/>
    </xf>
    <xf numFmtId="5" fontId="27" fillId="13" borderId="0" xfId="0" applyNumberFormat="1" applyFont="1" applyFill="1" applyAlignment="1">
      <alignment horizontal="right"/>
    </xf>
    <xf numFmtId="2" fontId="0" fillId="0" borderId="0" xfId="0" applyNumberFormat="1"/>
    <xf numFmtId="9" fontId="2" fillId="2" borderId="0" xfId="1" applyFont="1" applyFill="1" applyBorder="1" applyAlignment="1">
      <alignment horizontal="right"/>
    </xf>
    <xf numFmtId="168" fontId="2" fillId="11" borderId="1" xfId="0" applyNumberFormat="1" applyFont="1" applyFill="1" applyBorder="1" applyAlignment="1">
      <alignment horizontal="right"/>
    </xf>
    <xf numFmtId="37" fontId="48" fillId="0" borderId="0" xfId="0" applyNumberFormat="1" applyFont="1" applyAlignment="1">
      <alignment horizontal="right"/>
    </xf>
    <xf numFmtId="176" fontId="0" fillId="0" borderId="0" xfId="0" applyNumberFormat="1"/>
    <xf numFmtId="39" fontId="7" fillId="0" borderId="0" xfId="0" applyNumberFormat="1" applyFont="1" applyAlignment="1">
      <alignment horizontal="right"/>
    </xf>
    <xf numFmtId="5" fontId="27" fillId="11" borderId="0" xfId="0" applyNumberFormat="1" applyFont="1" applyFill="1" applyAlignment="1">
      <alignment horizontal="right"/>
    </xf>
    <xf numFmtId="37" fontId="4" fillId="11" borderId="3" xfId="0" applyNumberFormat="1" applyFont="1" applyFill="1" applyBorder="1" applyAlignment="1">
      <alignment horizontal="right"/>
    </xf>
    <xf numFmtId="0" fontId="10" fillId="11" borderId="1" xfId="0" applyFont="1" applyFill="1" applyBorder="1" applyAlignment="1">
      <alignment horizontal="right"/>
    </xf>
    <xf numFmtId="165" fontId="5" fillId="9" borderId="1" xfId="1" applyNumberFormat="1" applyFont="1" applyFill="1" applyBorder="1" applyAlignment="1">
      <alignment horizontal="right"/>
    </xf>
    <xf numFmtId="165" fontId="5" fillId="9" borderId="1" xfId="0" applyNumberFormat="1" applyFont="1" applyFill="1" applyBorder="1" applyAlignment="1">
      <alignment horizontal="right"/>
    </xf>
    <xf numFmtId="39" fontId="0" fillId="0" borderId="0" xfId="0" applyNumberFormat="1" applyAlignment="1">
      <alignment horizontal="center"/>
    </xf>
    <xf numFmtId="1" fontId="5" fillId="0" borderId="1" xfId="1" applyNumberFormat="1" applyFont="1" applyBorder="1" applyAlignment="1">
      <alignment horizontal="right"/>
    </xf>
    <xf numFmtId="9" fontId="0" fillId="0" borderId="0" xfId="0" applyNumberFormat="1"/>
    <xf numFmtId="171" fontId="0" fillId="0" borderId="1" xfId="0" applyNumberFormat="1" applyBorder="1" applyAlignment="1">
      <alignment horizontal="right"/>
    </xf>
    <xf numFmtId="37" fontId="9" fillId="11" borderId="1" xfId="0" applyNumberFormat="1" applyFont="1" applyFill="1" applyBorder="1" applyAlignment="1">
      <alignment horizontal="right"/>
    </xf>
    <xf numFmtId="1" fontId="0" fillId="0" borderId="0" xfId="0" applyNumberFormat="1"/>
    <xf numFmtId="5" fontId="2" fillId="2" borderId="0" xfId="1" applyNumberFormat="1" applyFont="1" applyFill="1" applyBorder="1" applyAlignment="1">
      <alignment horizontal="right"/>
    </xf>
    <xf numFmtId="165" fontId="4" fillId="11" borderId="0" xfId="1" applyNumberFormat="1" applyFont="1" applyFill="1" applyBorder="1" applyAlignment="1">
      <alignment horizontal="right"/>
    </xf>
    <xf numFmtId="37" fontId="4" fillId="11" borderId="1" xfId="0" applyNumberFormat="1" applyFont="1" applyFill="1" applyBorder="1" applyAlignment="1">
      <alignment horizontal="right"/>
    </xf>
    <xf numFmtId="9" fontId="29" fillId="11" borderId="1" xfId="1" applyFont="1" applyFill="1" applyBorder="1" applyAlignment="1">
      <alignment horizontal="right"/>
    </xf>
    <xf numFmtId="37" fontId="5" fillId="11" borderId="1" xfId="0" applyNumberFormat="1" applyFont="1" applyFill="1" applyBorder="1" applyAlignment="1">
      <alignment horizontal="right"/>
    </xf>
    <xf numFmtId="37" fontId="10" fillId="11" borderId="1" xfId="0" applyNumberFormat="1" applyFont="1" applyFill="1" applyBorder="1" applyAlignment="1">
      <alignment horizontal="right"/>
    </xf>
    <xf numFmtId="5" fontId="4" fillId="11" borderId="0" xfId="0" applyNumberFormat="1" applyFont="1" applyFill="1" applyAlignment="1">
      <alignment horizontal="right"/>
    </xf>
    <xf numFmtId="37" fontId="5" fillId="11" borderId="0" xfId="0" applyNumberFormat="1" applyFont="1" applyFill="1" applyAlignment="1">
      <alignment horizontal="right"/>
    </xf>
    <xf numFmtId="37" fontId="37" fillId="8" borderId="1" xfId="0" applyNumberFormat="1" applyFont="1" applyFill="1" applyBorder="1" applyAlignment="1">
      <alignment horizontal="right"/>
    </xf>
    <xf numFmtId="37" fontId="37" fillId="0" borderId="1" xfId="0" applyNumberFormat="1" applyFont="1" applyBorder="1" applyAlignment="1">
      <alignment horizontal="right"/>
    </xf>
    <xf numFmtId="165" fontId="2" fillId="0" borderId="0" xfId="1" applyNumberFormat="1" applyFont="1"/>
    <xf numFmtId="168" fontId="37" fillId="0" borderId="1" xfId="0" applyNumberFormat="1" applyFont="1" applyBorder="1" applyAlignment="1">
      <alignment horizontal="right"/>
    </xf>
    <xf numFmtId="37" fontId="9" fillId="11" borderId="0" xfId="0" applyNumberFormat="1" applyFont="1" applyFill="1" applyAlignment="1">
      <alignment horizontal="right"/>
    </xf>
    <xf numFmtId="7" fontId="5" fillId="0" borderId="1" xfId="0" applyNumberFormat="1" applyFont="1" applyBorder="1"/>
    <xf numFmtId="9" fontId="1" fillId="0" borderId="0" xfId="1" applyFont="1" applyBorder="1" applyAlignment="1">
      <alignment horizontal="right"/>
    </xf>
    <xf numFmtId="9" fontId="2" fillId="0" borderId="0" xfId="1" applyFont="1" applyAlignment="1">
      <alignment horizontal="right"/>
    </xf>
    <xf numFmtId="5" fontId="0" fillId="0" borderId="0" xfId="0" applyNumberFormat="1" applyAlignment="1">
      <alignment horizontal="left"/>
    </xf>
    <xf numFmtId="0" fontId="0" fillId="8" borderId="0" xfId="0" applyFill="1" applyAlignment="1">
      <alignment horizontal="left"/>
    </xf>
    <xf numFmtId="49" fontId="46" fillId="0" borderId="0" xfId="0" applyNumberFormat="1" applyFont="1"/>
    <xf numFmtId="49" fontId="46" fillId="0" borderId="0" xfId="0" applyNumberFormat="1" applyFont="1" applyAlignment="1"/>
    <xf numFmtId="49" fontId="49" fillId="0" borderId="0" xfId="0" applyNumberFormat="1" applyFont="1" applyAlignment="1"/>
    <xf numFmtId="49" fontId="45" fillId="0" borderId="0" xfId="0" applyNumberFormat="1" applyFont="1" applyAlignment="1">
      <alignment horizontal="left" vertical="center"/>
    </xf>
    <xf numFmtId="49" fontId="45" fillId="0" borderId="0" xfId="0" applyNumberFormat="1" applyFont="1" applyAlignment="1"/>
    <xf numFmtId="49" fontId="36" fillId="0" borderId="0" xfId="0" applyNumberFormat="1" applyFont="1" applyAlignment="1"/>
    <xf numFmtId="49" fontId="50" fillId="0" borderId="0" xfId="0" applyNumberFormat="1" applyFont="1" applyAlignment="1"/>
    <xf numFmtId="49" fontId="36" fillId="0" borderId="16" xfId="0" applyNumberFormat="1" applyFont="1" applyBorder="1" applyAlignment="1"/>
    <xf numFmtId="2" fontId="46" fillId="0" borderId="0" xfId="0" applyNumberFormat="1" applyFont="1"/>
    <xf numFmtId="49" fontId="51" fillId="14" borderId="0" xfId="0" applyNumberFormat="1" applyFont="1" applyFill="1" applyAlignment="1">
      <alignment wrapText="1"/>
    </xf>
    <xf numFmtId="0" fontId="0" fillId="14" borderId="0" xfId="0" applyFill="1"/>
    <xf numFmtId="49" fontId="52" fillId="14" borderId="0" xfId="0" applyNumberFormat="1" applyFont="1" applyFill="1" applyAlignment="1">
      <alignment wrapText="1"/>
    </xf>
    <xf numFmtId="49" fontId="36" fillId="0" borderId="16" xfId="0" applyNumberFormat="1" applyFont="1" applyBorder="1" applyAlignment="1"/>
    <xf numFmtId="0" fontId="42" fillId="0" borderId="0" xfId="0" applyFont="1" applyAlignment="1">
      <alignment horizontal="center"/>
    </xf>
  </cellXfs>
  <cellStyles count="24">
    <cellStyle name="_MWA RR_1-pager " xfId="3" xr:uid="{00000000-0005-0000-0000-000000000000}"/>
    <cellStyle name="_RRS1_1_1-pager " xfId="4" xr:uid="{00000000-0005-0000-0000-000001000000}"/>
    <cellStyle name="_RRS10_1_1-pager " xfId="5" xr:uid="{00000000-0005-0000-0000-000002000000}"/>
    <cellStyle name="_SUMMARY " xfId="6" xr:uid="{00000000-0005-0000-0000-000003000000}"/>
    <cellStyle name="_SUMMARY _1-pager " xfId="7" xr:uid="{00000000-0005-0000-0000-000004000000}"/>
    <cellStyle name="0_Capex &amp; Depreciation " xfId="8" xr:uid="{00000000-0005-0000-0000-000005000000}"/>
    <cellStyle name="0_Valuing BP " xfId="9" xr:uid="{00000000-0005-0000-0000-000006000000}"/>
    <cellStyle name="c_HardInc " xfId="10" xr:uid="{00000000-0005-0000-0000-000007000000}"/>
    <cellStyle name="Comma" xfId="2" builtinId="3"/>
    <cellStyle name="Comma 10 2 2 2" xfId="22" xr:uid="{00000000-0005-0000-0000-000009000000}"/>
    <cellStyle name="Currency" xfId="18" builtinId="4"/>
    <cellStyle name="Heading 1 2" xfId="21" xr:uid="{00000000-0005-0000-0000-00000B000000}"/>
    <cellStyle name="Millares_2AV_M_M " xfId="11" xr:uid="{00000000-0005-0000-0000-00000D000000}"/>
    <cellStyle name="Moneda [0]_2AV_M_M " xfId="12" xr:uid="{00000000-0005-0000-0000-00000E000000}"/>
    <cellStyle name="Normal" xfId="0" builtinId="0" customBuiltin="1"/>
    <cellStyle name="Normal - Style1 17 2" xfId="19" xr:uid="{00000000-0005-0000-0000-000010000000}"/>
    <cellStyle name="Normal 2 2" xfId="23" xr:uid="{00000000-0005-0000-0000-000011000000}"/>
    <cellStyle name="p " xfId="13" xr:uid="{00000000-0005-0000-0000-000012000000}"/>
    <cellStyle name="Percent" xfId="1" builtinId="5"/>
    <cellStyle name="Percent 10 2 2" xfId="20" xr:uid="{00000000-0005-0000-0000-000014000000}"/>
    <cellStyle name="s_HardInc " xfId="14" xr:uid="{00000000-0005-0000-0000-000015000000}"/>
    <cellStyle name="s_Valuation " xfId="15" xr:uid="{00000000-0005-0000-0000-000016000000}"/>
    <cellStyle name="ssp " xfId="16" xr:uid="{00000000-0005-0000-0000-000017000000}"/>
    <cellStyle name="표준_0N-HANDLING " xfId="17" xr:uid="{00000000-0005-0000-0000-000018000000}"/>
  </cellStyles>
  <dxfs count="0"/>
  <tableStyles count="0" defaultTableStyle="TableStyleMedium2" defaultPivotStyle="PivotStyleLight16"/>
  <colors>
    <mruColors>
      <color rgb="FF0000FF"/>
      <color rgb="FFFF00FF"/>
      <color rgb="FF006600"/>
      <color rgb="FFFFFFCC"/>
      <color rgb="FFE50000"/>
      <color rgb="FFA8D7E2"/>
      <color rgb="FFEACC80"/>
      <color rgb="FF4AAC6B"/>
      <color rgb="FFE58061"/>
      <color rgb="FF137C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4.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Inventory!$A$17</c:f>
              <c:strCache>
                <c:ptCount val="1"/>
                <c:pt idx="0">
                  <c:v>Deferred Production Cost Balance</c:v>
                </c:pt>
              </c:strCache>
            </c:strRef>
          </c:tx>
          <c:invertIfNegative val="0"/>
          <c:cat>
            <c:strRef>
              <c:f>Inventory!$D$2:$Q$2</c:f>
              <c:strCache>
                <c:ptCount val="14"/>
                <c:pt idx="0">
                  <c:v>CY2012A</c:v>
                </c:pt>
                <c:pt idx="1">
                  <c:v>CY2013A</c:v>
                </c:pt>
                <c:pt idx="2">
                  <c:v>CY2014A</c:v>
                </c:pt>
                <c:pt idx="3">
                  <c:v>CY2015A</c:v>
                </c:pt>
                <c:pt idx="4">
                  <c:v>CY2016A</c:v>
                </c:pt>
                <c:pt idx="5">
                  <c:v>CY2017A</c:v>
                </c:pt>
                <c:pt idx="6">
                  <c:v>CY2018A</c:v>
                </c:pt>
                <c:pt idx="7">
                  <c:v>CY2019A</c:v>
                </c:pt>
                <c:pt idx="8">
                  <c:v>CY2020A</c:v>
                </c:pt>
                <c:pt idx="9">
                  <c:v>CY2021A</c:v>
                </c:pt>
                <c:pt idx="10">
                  <c:v>CY2022A</c:v>
                </c:pt>
                <c:pt idx="11">
                  <c:v>CY2023A</c:v>
                </c:pt>
                <c:pt idx="12">
                  <c:v>CY2024A</c:v>
                </c:pt>
                <c:pt idx="13">
                  <c:v>CY2025A</c:v>
                </c:pt>
              </c:strCache>
            </c:strRef>
          </c:cat>
          <c:val>
            <c:numRef>
              <c:f>Inventory!$D$17:$Q$17</c:f>
              <c:numCache>
                <c:formatCode>#,##0_);\(#,##0\)</c:formatCode>
                <c:ptCount val="14"/>
                <c:pt idx="0">
                  <c:v>15929</c:v>
                </c:pt>
                <c:pt idx="1">
                  <c:v>21620</c:v>
                </c:pt>
                <c:pt idx="2">
                  <c:v>26149</c:v>
                </c:pt>
                <c:pt idx="3">
                  <c:v>28510</c:v>
                </c:pt>
                <c:pt idx="4">
                  <c:v>27308</c:v>
                </c:pt>
                <c:pt idx="5">
                  <c:v>25358</c:v>
                </c:pt>
                <c:pt idx="6">
                  <c:v>22967</c:v>
                </c:pt>
                <c:pt idx="7">
                  <c:v>18716</c:v>
                </c:pt>
                <c:pt idx="8">
                  <c:v>14976</c:v>
                </c:pt>
                <c:pt idx="9">
                  <c:v>11693</c:v>
                </c:pt>
                <c:pt idx="10">
                  <c:v>12689</c:v>
                </c:pt>
                <c:pt idx="11">
                  <c:v>12384</c:v>
                </c:pt>
                <c:pt idx="12">
                  <c:v>13178</c:v>
                </c:pt>
                <c:pt idx="13">
                  <c:v>13859</c:v>
                </c:pt>
              </c:numCache>
            </c:numRef>
          </c:val>
          <c:extLst>
            <c:ext xmlns:c16="http://schemas.microsoft.com/office/drawing/2014/chart" uri="{C3380CC4-5D6E-409C-BE32-E72D297353CC}">
              <c16:uniqueId val="{00000000-9B16-43E9-9E01-C1A5BEDCF7AA}"/>
            </c:ext>
          </c:extLst>
        </c:ser>
        <c:ser>
          <c:idx val="1"/>
          <c:order val="1"/>
          <c:tx>
            <c:strRef>
              <c:f>Inventory!$A$18</c:f>
              <c:strCache>
                <c:ptCount val="1"/>
                <c:pt idx="0">
                  <c:v>Unamortized Tooling &amp; Other Non-Recurring Cost Balance</c:v>
                </c:pt>
              </c:strCache>
            </c:strRef>
          </c:tx>
          <c:invertIfNegative val="0"/>
          <c:cat>
            <c:strRef>
              <c:f>Inventory!$D$2:$Q$2</c:f>
              <c:strCache>
                <c:ptCount val="14"/>
                <c:pt idx="0">
                  <c:v>CY2012A</c:v>
                </c:pt>
                <c:pt idx="1">
                  <c:v>CY2013A</c:v>
                </c:pt>
                <c:pt idx="2">
                  <c:v>CY2014A</c:v>
                </c:pt>
                <c:pt idx="3">
                  <c:v>CY2015A</c:v>
                </c:pt>
                <c:pt idx="4">
                  <c:v>CY2016A</c:v>
                </c:pt>
                <c:pt idx="5">
                  <c:v>CY2017A</c:v>
                </c:pt>
                <c:pt idx="6">
                  <c:v>CY2018A</c:v>
                </c:pt>
                <c:pt idx="7">
                  <c:v>CY2019A</c:v>
                </c:pt>
                <c:pt idx="8">
                  <c:v>CY2020A</c:v>
                </c:pt>
                <c:pt idx="9">
                  <c:v>CY2021A</c:v>
                </c:pt>
                <c:pt idx="10">
                  <c:v>CY2022A</c:v>
                </c:pt>
                <c:pt idx="11">
                  <c:v>CY2023A</c:v>
                </c:pt>
                <c:pt idx="12">
                  <c:v>CY2024A</c:v>
                </c:pt>
                <c:pt idx="13">
                  <c:v>CY2025A</c:v>
                </c:pt>
              </c:strCache>
            </c:strRef>
          </c:cat>
          <c:val>
            <c:numRef>
              <c:f>Inventory!$D$18:$Q$18</c:f>
              <c:numCache>
                <c:formatCode>#,##0_);\(#,##0\)</c:formatCode>
                <c:ptCount val="14"/>
                <c:pt idx="0">
                  <c:v>2339</c:v>
                </c:pt>
                <c:pt idx="1">
                  <c:v>3377</c:v>
                </c:pt>
                <c:pt idx="2">
                  <c:v>3801</c:v>
                </c:pt>
                <c:pt idx="3">
                  <c:v>3890</c:v>
                </c:pt>
                <c:pt idx="4">
                  <c:v>3625</c:v>
                </c:pt>
                <c:pt idx="5">
                  <c:v>3173</c:v>
                </c:pt>
                <c:pt idx="6">
                  <c:v>2638</c:v>
                </c:pt>
                <c:pt idx="7">
                  <c:v>2092</c:v>
                </c:pt>
                <c:pt idx="8">
                  <c:v>1863</c:v>
                </c:pt>
                <c:pt idx="9">
                  <c:v>1815</c:v>
                </c:pt>
                <c:pt idx="10">
                  <c:v>1722</c:v>
                </c:pt>
                <c:pt idx="11">
                  <c:v>1480</c:v>
                </c:pt>
                <c:pt idx="12">
                  <c:v>1370</c:v>
                </c:pt>
                <c:pt idx="13">
                  <c:v>1366</c:v>
                </c:pt>
              </c:numCache>
            </c:numRef>
          </c:val>
          <c:extLst>
            <c:ext xmlns:c16="http://schemas.microsoft.com/office/drawing/2014/chart" uri="{C3380CC4-5D6E-409C-BE32-E72D297353CC}">
              <c16:uniqueId val="{00000001-9B16-43E9-9E01-C1A5BEDCF7AA}"/>
            </c:ext>
          </c:extLst>
        </c:ser>
        <c:dLbls>
          <c:showLegendKey val="0"/>
          <c:showVal val="0"/>
          <c:showCatName val="0"/>
          <c:showSerName val="0"/>
          <c:showPercent val="0"/>
          <c:showBubbleSize val="0"/>
        </c:dLbls>
        <c:gapWidth val="50"/>
        <c:overlap val="100"/>
        <c:axId val="409772848"/>
        <c:axId val="409765792"/>
      </c:barChart>
      <c:lineChart>
        <c:grouping val="standard"/>
        <c:varyColors val="0"/>
        <c:ser>
          <c:idx val="2"/>
          <c:order val="2"/>
          <c:tx>
            <c:strRef>
              <c:f>Inventory!$A$130</c:f>
              <c:strCache>
                <c:ptCount val="1"/>
                <c:pt idx="0">
                  <c:v>Program Accounting Quantities</c:v>
                </c:pt>
              </c:strCache>
            </c:strRef>
          </c:tx>
          <c:marker>
            <c:symbol val="none"/>
          </c:marker>
          <c:val>
            <c:numRef>
              <c:f>Inventory!$D$130:$Q$130</c:f>
              <c:numCache>
                <c:formatCode>#,##0_);\(#,##0\)</c:formatCode>
                <c:ptCount val="14"/>
                <c:pt idx="0">
                  <c:v>1100</c:v>
                </c:pt>
                <c:pt idx="1">
                  <c:v>1300</c:v>
                </c:pt>
                <c:pt idx="2">
                  <c:v>1300</c:v>
                </c:pt>
                <c:pt idx="3">
                  <c:v>1300</c:v>
                </c:pt>
                <c:pt idx="4">
                  <c:v>1300</c:v>
                </c:pt>
                <c:pt idx="5">
                  <c:v>1400</c:v>
                </c:pt>
                <c:pt idx="6">
                  <c:v>1600</c:v>
                </c:pt>
                <c:pt idx="7">
                  <c:v>1600</c:v>
                </c:pt>
                <c:pt idx="8">
                  <c:v>1500</c:v>
                </c:pt>
                <c:pt idx="9">
                  <c:v>1500</c:v>
                </c:pt>
                <c:pt idx="10">
                  <c:v>1500</c:v>
                </c:pt>
                <c:pt idx="11">
                  <c:v>1500</c:v>
                </c:pt>
                <c:pt idx="12">
                  <c:v>1500</c:v>
                </c:pt>
                <c:pt idx="13">
                  <c:v>1500</c:v>
                </c:pt>
              </c:numCache>
            </c:numRef>
          </c:val>
          <c:smooth val="0"/>
          <c:extLst>
            <c:ext xmlns:c16="http://schemas.microsoft.com/office/drawing/2014/chart" uri="{C3380CC4-5D6E-409C-BE32-E72D297353CC}">
              <c16:uniqueId val="{00000002-9B16-43E9-9E01-C1A5BEDCF7AA}"/>
            </c:ext>
          </c:extLst>
        </c:ser>
        <c:dLbls>
          <c:showLegendKey val="0"/>
          <c:showVal val="0"/>
          <c:showCatName val="0"/>
          <c:showSerName val="0"/>
          <c:showPercent val="0"/>
          <c:showBubbleSize val="0"/>
        </c:dLbls>
        <c:marker val="1"/>
        <c:smooth val="0"/>
        <c:axId val="409765008"/>
        <c:axId val="409773632"/>
      </c:lineChart>
      <c:catAx>
        <c:axId val="409772848"/>
        <c:scaling>
          <c:orientation val="minMax"/>
        </c:scaling>
        <c:delete val="0"/>
        <c:axPos val="b"/>
        <c:numFmt formatCode="General" sourceLinked="0"/>
        <c:majorTickMark val="out"/>
        <c:minorTickMark val="none"/>
        <c:tickLblPos val="nextTo"/>
        <c:txPr>
          <a:bodyPr rot="-5400000" vert="horz"/>
          <a:lstStyle/>
          <a:p>
            <a:pPr>
              <a:defRPr/>
            </a:pPr>
            <a:endParaRPr lang="en-US"/>
          </a:p>
        </c:txPr>
        <c:crossAx val="409765792"/>
        <c:crosses val="autoZero"/>
        <c:auto val="1"/>
        <c:lblAlgn val="ctr"/>
        <c:lblOffset val="100"/>
        <c:noMultiLvlLbl val="0"/>
      </c:catAx>
      <c:valAx>
        <c:axId val="409765792"/>
        <c:scaling>
          <c:orientation val="minMax"/>
          <c:max val="40000"/>
          <c:min val="0"/>
        </c:scaling>
        <c:delete val="0"/>
        <c:axPos val="l"/>
        <c:numFmt formatCode="&quot;$&quot;#,##0_);[Red]\(&quot;$&quot;#,##0\)" sourceLinked="0"/>
        <c:majorTickMark val="out"/>
        <c:minorTickMark val="none"/>
        <c:tickLblPos val="nextTo"/>
        <c:crossAx val="409772848"/>
        <c:crosses val="autoZero"/>
        <c:crossBetween val="between"/>
        <c:majorUnit val="10000"/>
        <c:dispUnits>
          <c:builtInUnit val="thousands"/>
        </c:dispUnits>
      </c:valAx>
      <c:valAx>
        <c:axId val="409773632"/>
        <c:scaling>
          <c:orientation val="minMax"/>
          <c:max val="2000"/>
          <c:min val="0"/>
        </c:scaling>
        <c:delete val="0"/>
        <c:axPos val="r"/>
        <c:numFmt formatCode="#,##0_);\(#,##0\)" sourceLinked="1"/>
        <c:majorTickMark val="out"/>
        <c:minorTickMark val="none"/>
        <c:tickLblPos val="nextTo"/>
        <c:crossAx val="409765008"/>
        <c:crosses val="max"/>
        <c:crossBetween val="between"/>
        <c:majorUnit val="500"/>
      </c:valAx>
      <c:catAx>
        <c:axId val="409765008"/>
        <c:scaling>
          <c:orientation val="minMax"/>
        </c:scaling>
        <c:delete val="1"/>
        <c:axPos val="b"/>
        <c:majorTickMark val="out"/>
        <c:minorTickMark val="none"/>
        <c:tickLblPos val="nextTo"/>
        <c:crossAx val="409773632"/>
        <c:crosses val="autoZero"/>
        <c:auto val="1"/>
        <c:lblAlgn val="ctr"/>
        <c:lblOffset val="100"/>
        <c:noMultiLvlLbl val="0"/>
      </c:catAx>
    </c:plotArea>
    <c:legend>
      <c:legendPos val="t"/>
      <c:overlay val="0"/>
    </c:legend>
    <c:plotVisOnly val="1"/>
    <c:dispBlanksAs val="gap"/>
    <c:showDLblsOverMax val="0"/>
  </c:chart>
  <c:txPr>
    <a:bodyPr/>
    <a:lstStyle/>
    <a:p>
      <a:pPr>
        <a:defRPr sz="14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Inventory!$A$30</c:f>
              <c:strCache>
                <c:ptCount val="1"/>
                <c:pt idx="0">
                  <c:v>Production Cash Collection</c:v>
                </c:pt>
              </c:strCache>
            </c:strRef>
          </c:tx>
          <c:invertIfNegative val="0"/>
          <c:cat>
            <c:strRef>
              <c:f>Inventory!$D$2:$Q$2</c:f>
              <c:strCache>
                <c:ptCount val="14"/>
                <c:pt idx="0">
                  <c:v>CY2012A</c:v>
                </c:pt>
                <c:pt idx="1">
                  <c:v>CY2013A</c:v>
                </c:pt>
                <c:pt idx="2">
                  <c:v>CY2014A</c:v>
                </c:pt>
                <c:pt idx="3">
                  <c:v>CY2015A</c:v>
                </c:pt>
                <c:pt idx="4">
                  <c:v>CY2016A</c:v>
                </c:pt>
                <c:pt idx="5">
                  <c:v>CY2017A</c:v>
                </c:pt>
                <c:pt idx="6">
                  <c:v>CY2018A</c:v>
                </c:pt>
                <c:pt idx="7">
                  <c:v>CY2019A</c:v>
                </c:pt>
                <c:pt idx="8">
                  <c:v>CY2020A</c:v>
                </c:pt>
                <c:pt idx="9">
                  <c:v>CY2021A</c:v>
                </c:pt>
                <c:pt idx="10">
                  <c:v>CY2022A</c:v>
                </c:pt>
                <c:pt idx="11">
                  <c:v>CY2023A</c:v>
                </c:pt>
                <c:pt idx="12">
                  <c:v>CY2024A</c:v>
                </c:pt>
                <c:pt idx="13">
                  <c:v>CY2025A</c:v>
                </c:pt>
              </c:strCache>
            </c:strRef>
          </c:cat>
          <c:val>
            <c:numRef>
              <c:f>Inventory!$D$30:$Q$30</c:f>
              <c:numCache>
                <c:formatCode>#,##0_);\(#,##0\)</c:formatCode>
                <c:ptCount val="14"/>
                <c:pt idx="0">
                  <c:v>-101.49019607843137</c:v>
                </c:pt>
                <c:pt idx="1">
                  <c:v>-65.41379310344827</c:v>
                </c:pt>
                <c:pt idx="2">
                  <c:v>-37.741666666666667</c:v>
                </c:pt>
                <c:pt idx="3">
                  <c:v>-19.675000000000001</c:v>
                </c:pt>
                <c:pt idx="4">
                  <c:v>8.7101449275362324</c:v>
                </c:pt>
                <c:pt idx="5">
                  <c:v>13.541666666666666</c:v>
                </c:pt>
                <c:pt idx="6">
                  <c:v>16.604166666666668</c:v>
                </c:pt>
                <c:pt idx="7">
                  <c:v>25.303571428571427</c:v>
                </c:pt>
                <c:pt idx="8">
                  <c:v>66.785714285714292</c:v>
                </c:pt>
                <c:pt idx="9">
                  <c:v>156.33333333333334</c:v>
                </c:pt>
                <c:pt idx="10">
                  <c:v>-76.615384615384613</c:v>
                </c:pt>
                <c:pt idx="11">
                  <c:v>12.708333333333334</c:v>
                </c:pt>
                <c:pt idx="12">
                  <c:v>-24.8125</c:v>
                </c:pt>
                <c:pt idx="13">
                  <c:v>-9.7285714285714278</c:v>
                </c:pt>
              </c:numCache>
            </c:numRef>
          </c:val>
          <c:extLst>
            <c:ext xmlns:c16="http://schemas.microsoft.com/office/drawing/2014/chart" uri="{C3380CC4-5D6E-409C-BE32-E72D297353CC}">
              <c16:uniqueId val="{00000000-DC57-4D67-9D0A-D835EFD7B3A3}"/>
            </c:ext>
          </c:extLst>
        </c:ser>
        <c:ser>
          <c:idx val="1"/>
          <c:order val="1"/>
          <c:tx>
            <c:strRef>
              <c:f>Inventory!$A$31</c:f>
              <c:strCache>
                <c:ptCount val="1"/>
                <c:pt idx="0">
                  <c:v>Tooling &amp; Other Non-Recurring Cash Collection</c:v>
                </c:pt>
              </c:strCache>
            </c:strRef>
          </c:tx>
          <c:invertIfNegative val="0"/>
          <c:cat>
            <c:strRef>
              <c:f>Inventory!$D$2:$Q$2</c:f>
              <c:strCache>
                <c:ptCount val="14"/>
                <c:pt idx="0">
                  <c:v>CY2012A</c:v>
                </c:pt>
                <c:pt idx="1">
                  <c:v>CY2013A</c:v>
                </c:pt>
                <c:pt idx="2">
                  <c:v>CY2014A</c:v>
                </c:pt>
                <c:pt idx="3">
                  <c:v>CY2015A</c:v>
                </c:pt>
                <c:pt idx="4">
                  <c:v>CY2016A</c:v>
                </c:pt>
                <c:pt idx="5">
                  <c:v>CY2017A</c:v>
                </c:pt>
                <c:pt idx="6">
                  <c:v>CY2018A</c:v>
                </c:pt>
                <c:pt idx="7">
                  <c:v>CY2019A</c:v>
                </c:pt>
                <c:pt idx="8">
                  <c:v>CY2020A</c:v>
                </c:pt>
                <c:pt idx="9">
                  <c:v>CY2021A</c:v>
                </c:pt>
                <c:pt idx="10">
                  <c:v>CY2022A</c:v>
                </c:pt>
                <c:pt idx="11">
                  <c:v>CY2023A</c:v>
                </c:pt>
                <c:pt idx="12">
                  <c:v>CY2024A</c:v>
                </c:pt>
                <c:pt idx="13">
                  <c:v>CY2025A</c:v>
                </c:pt>
              </c:strCache>
            </c:strRef>
          </c:cat>
          <c:val>
            <c:numRef>
              <c:f>Inventory!$D$31:$Q$31</c:f>
              <c:numCache>
                <c:formatCode>#,##0_);\(#,##0\)</c:formatCode>
                <c:ptCount val="14"/>
                <c:pt idx="0">
                  <c:v>-8.3333333333333339</c:v>
                </c:pt>
                <c:pt idx="1">
                  <c:v>-11.931034482758621</c:v>
                </c:pt>
                <c:pt idx="2">
                  <c:v>-3.5333333333333332</c:v>
                </c:pt>
                <c:pt idx="3">
                  <c:v>-0.7416666666666667</c:v>
                </c:pt>
                <c:pt idx="4">
                  <c:v>1.9202898550724639</c:v>
                </c:pt>
                <c:pt idx="5">
                  <c:v>3.1388888888888888</c:v>
                </c:pt>
                <c:pt idx="6">
                  <c:v>3.7152777777777777</c:v>
                </c:pt>
                <c:pt idx="7">
                  <c:v>3.25</c:v>
                </c:pt>
                <c:pt idx="8">
                  <c:v>4.0892857142857144</c:v>
                </c:pt>
                <c:pt idx="9">
                  <c:v>2.2857142857142856</c:v>
                </c:pt>
                <c:pt idx="10">
                  <c:v>7.1538461538461542</c:v>
                </c:pt>
                <c:pt idx="11">
                  <c:v>10.083333333333334</c:v>
                </c:pt>
                <c:pt idx="12">
                  <c:v>3.4375</c:v>
                </c:pt>
                <c:pt idx="13">
                  <c:v>5.7142857142857141E-2</c:v>
                </c:pt>
              </c:numCache>
            </c:numRef>
          </c:val>
          <c:extLst>
            <c:ext xmlns:c16="http://schemas.microsoft.com/office/drawing/2014/chart" uri="{C3380CC4-5D6E-409C-BE32-E72D297353CC}">
              <c16:uniqueId val="{00000001-DC57-4D67-9D0A-D835EFD7B3A3}"/>
            </c:ext>
          </c:extLst>
        </c:ser>
        <c:dLbls>
          <c:showLegendKey val="0"/>
          <c:showVal val="0"/>
          <c:showCatName val="0"/>
          <c:showSerName val="0"/>
          <c:showPercent val="0"/>
          <c:showBubbleSize val="0"/>
        </c:dLbls>
        <c:gapWidth val="50"/>
        <c:overlap val="100"/>
        <c:axId val="409771280"/>
        <c:axId val="409772064"/>
      </c:barChart>
      <c:lineChart>
        <c:grouping val="standard"/>
        <c:varyColors val="0"/>
        <c:ser>
          <c:idx val="2"/>
          <c:order val="2"/>
          <c:tx>
            <c:strRef>
              <c:f>Inventory!$A$130</c:f>
              <c:strCache>
                <c:ptCount val="1"/>
                <c:pt idx="0">
                  <c:v>Program Accounting Quantities</c:v>
                </c:pt>
              </c:strCache>
            </c:strRef>
          </c:tx>
          <c:marker>
            <c:symbol val="none"/>
          </c:marker>
          <c:val>
            <c:numRef>
              <c:f>Inventory!$D$130:$Q$130</c:f>
              <c:numCache>
                <c:formatCode>#,##0_);\(#,##0\)</c:formatCode>
                <c:ptCount val="14"/>
                <c:pt idx="0">
                  <c:v>1100</c:v>
                </c:pt>
                <c:pt idx="1">
                  <c:v>1300</c:v>
                </c:pt>
                <c:pt idx="2">
                  <c:v>1300</c:v>
                </c:pt>
                <c:pt idx="3">
                  <c:v>1300</c:v>
                </c:pt>
                <c:pt idx="4">
                  <c:v>1300</c:v>
                </c:pt>
                <c:pt idx="5">
                  <c:v>1400</c:v>
                </c:pt>
                <c:pt idx="6">
                  <c:v>1600</c:v>
                </c:pt>
                <c:pt idx="7">
                  <c:v>1600</c:v>
                </c:pt>
                <c:pt idx="8">
                  <c:v>1500</c:v>
                </c:pt>
                <c:pt idx="9">
                  <c:v>1500</c:v>
                </c:pt>
                <c:pt idx="10">
                  <c:v>1500</c:v>
                </c:pt>
                <c:pt idx="11">
                  <c:v>1500</c:v>
                </c:pt>
                <c:pt idx="12">
                  <c:v>1500</c:v>
                </c:pt>
                <c:pt idx="13">
                  <c:v>1500</c:v>
                </c:pt>
              </c:numCache>
            </c:numRef>
          </c:val>
          <c:smooth val="0"/>
          <c:extLst>
            <c:ext xmlns:c16="http://schemas.microsoft.com/office/drawing/2014/chart" uri="{C3380CC4-5D6E-409C-BE32-E72D297353CC}">
              <c16:uniqueId val="{00000002-DC57-4D67-9D0A-D835EFD7B3A3}"/>
            </c:ext>
          </c:extLst>
        </c:ser>
        <c:dLbls>
          <c:showLegendKey val="0"/>
          <c:showVal val="0"/>
          <c:showCatName val="0"/>
          <c:showSerName val="0"/>
          <c:showPercent val="0"/>
          <c:showBubbleSize val="0"/>
        </c:dLbls>
        <c:marker val="1"/>
        <c:smooth val="0"/>
        <c:axId val="409768536"/>
        <c:axId val="409775200"/>
      </c:lineChart>
      <c:catAx>
        <c:axId val="409771280"/>
        <c:scaling>
          <c:orientation val="minMax"/>
        </c:scaling>
        <c:delete val="0"/>
        <c:axPos val="b"/>
        <c:numFmt formatCode="General" sourceLinked="0"/>
        <c:majorTickMark val="out"/>
        <c:minorTickMark val="none"/>
        <c:tickLblPos val="low"/>
        <c:txPr>
          <a:bodyPr rot="-5400000" vert="horz"/>
          <a:lstStyle/>
          <a:p>
            <a:pPr>
              <a:defRPr/>
            </a:pPr>
            <a:endParaRPr lang="en-US"/>
          </a:p>
        </c:txPr>
        <c:crossAx val="409772064"/>
        <c:crosses val="autoZero"/>
        <c:auto val="1"/>
        <c:lblAlgn val="ctr"/>
        <c:lblOffset val="100"/>
        <c:noMultiLvlLbl val="0"/>
      </c:catAx>
      <c:valAx>
        <c:axId val="409772064"/>
        <c:scaling>
          <c:orientation val="minMax"/>
          <c:max val="40"/>
          <c:min val="-160"/>
        </c:scaling>
        <c:delete val="0"/>
        <c:axPos val="l"/>
        <c:numFmt formatCode="&quot;$&quot;#,##0_);[Red]\(&quot;$&quot;#,##0\)" sourceLinked="0"/>
        <c:majorTickMark val="out"/>
        <c:minorTickMark val="none"/>
        <c:tickLblPos val="nextTo"/>
        <c:crossAx val="409771280"/>
        <c:crosses val="autoZero"/>
        <c:crossBetween val="between"/>
        <c:majorUnit val="40"/>
      </c:valAx>
      <c:valAx>
        <c:axId val="409775200"/>
        <c:scaling>
          <c:orientation val="minMax"/>
          <c:max val="2000"/>
          <c:min val="-8000"/>
        </c:scaling>
        <c:delete val="0"/>
        <c:axPos val="r"/>
        <c:numFmt formatCode="#,##0_);\(#,##0\)" sourceLinked="1"/>
        <c:majorTickMark val="out"/>
        <c:minorTickMark val="none"/>
        <c:tickLblPos val="nextTo"/>
        <c:crossAx val="409768536"/>
        <c:crosses val="max"/>
        <c:crossBetween val="between"/>
        <c:majorUnit val="2000"/>
      </c:valAx>
      <c:catAx>
        <c:axId val="409768536"/>
        <c:scaling>
          <c:orientation val="minMax"/>
        </c:scaling>
        <c:delete val="1"/>
        <c:axPos val="b"/>
        <c:majorTickMark val="out"/>
        <c:minorTickMark val="none"/>
        <c:tickLblPos val="nextTo"/>
        <c:crossAx val="409775200"/>
        <c:crosses val="autoZero"/>
        <c:auto val="1"/>
        <c:lblAlgn val="ctr"/>
        <c:lblOffset val="100"/>
        <c:noMultiLvlLbl val="0"/>
      </c:catAx>
    </c:plotArea>
    <c:legend>
      <c:legendPos val="t"/>
      <c:overlay val="0"/>
    </c:legend>
    <c:plotVisOnly val="1"/>
    <c:dispBlanksAs val="gap"/>
    <c:showDLblsOverMax val="0"/>
  </c:chart>
  <c:txPr>
    <a:bodyPr/>
    <a:lstStyle/>
    <a:p>
      <a:pPr>
        <a:defRPr sz="14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Inventory</c:v>
          </c:tx>
          <c:invertIfNegative val="0"/>
          <c:cat>
            <c:strRef>
              <c:f>Inventory!$D$2:$Q$2</c:f>
              <c:strCache>
                <c:ptCount val="14"/>
                <c:pt idx="0">
                  <c:v>CY2012A</c:v>
                </c:pt>
                <c:pt idx="1">
                  <c:v>CY2013A</c:v>
                </c:pt>
                <c:pt idx="2">
                  <c:v>CY2014A</c:v>
                </c:pt>
                <c:pt idx="3">
                  <c:v>CY2015A</c:v>
                </c:pt>
                <c:pt idx="4">
                  <c:v>CY2016A</c:v>
                </c:pt>
                <c:pt idx="5">
                  <c:v>CY2017A</c:v>
                </c:pt>
                <c:pt idx="6">
                  <c:v>CY2018A</c:v>
                </c:pt>
                <c:pt idx="7">
                  <c:v>CY2019A</c:v>
                </c:pt>
                <c:pt idx="8">
                  <c:v>CY2020A</c:v>
                </c:pt>
                <c:pt idx="9">
                  <c:v>CY2021A</c:v>
                </c:pt>
                <c:pt idx="10">
                  <c:v>CY2022A</c:v>
                </c:pt>
                <c:pt idx="11">
                  <c:v>CY2023A</c:v>
                </c:pt>
                <c:pt idx="12">
                  <c:v>CY2024A</c:v>
                </c:pt>
                <c:pt idx="13">
                  <c:v>CY2025A</c:v>
                </c:pt>
              </c:strCache>
            </c:strRef>
          </c:cat>
          <c:val>
            <c:numRef>
              <c:f>Inventory!$D$124:$Q$124</c:f>
              <c:numCache>
                <c:formatCode>#,##0_);\(#,##0\)</c:formatCode>
                <c:ptCount val="14"/>
                <c:pt idx="0">
                  <c:v>37751</c:v>
                </c:pt>
                <c:pt idx="1">
                  <c:v>42912</c:v>
                </c:pt>
                <c:pt idx="2">
                  <c:v>46756</c:v>
                </c:pt>
                <c:pt idx="3">
                  <c:v>47257</c:v>
                </c:pt>
                <c:pt idx="4">
                  <c:v>43199</c:v>
                </c:pt>
                <c:pt idx="5">
                  <c:v>44344</c:v>
                </c:pt>
                <c:pt idx="6">
                  <c:v>62567</c:v>
                </c:pt>
                <c:pt idx="7">
                  <c:v>76622</c:v>
                </c:pt>
                <c:pt idx="8">
                  <c:v>81715</c:v>
                </c:pt>
                <c:pt idx="9">
                  <c:v>78823</c:v>
                </c:pt>
                <c:pt idx="10">
                  <c:v>78151</c:v>
                </c:pt>
                <c:pt idx="11">
                  <c:v>79741</c:v>
                </c:pt>
                <c:pt idx="12">
                  <c:v>87550</c:v>
                </c:pt>
                <c:pt idx="13">
                  <c:v>84679</c:v>
                </c:pt>
              </c:numCache>
            </c:numRef>
          </c:val>
          <c:extLst>
            <c:ext xmlns:c16="http://schemas.microsoft.com/office/drawing/2014/chart" uri="{C3380CC4-5D6E-409C-BE32-E72D297353CC}">
              <c16:uniqueId val="{00000000-FCCB-42D6-AE56-88171F056465}"/>
            </c:ext>
          </c:extLst>
        </c:ser>
        <c:dLbls>
          <c:showLegendKey val="0"/>
          <c:showVal val="0"/>
          <c:showCatName val="0"/>
          <c:showSerName val="0"/>
          <c:showPercent val="0"/>
          <c:showBubbleSize val="0"/>
        </c:dLbls>
        <c:gapWidth val="50"/>
        <c:axId val="409765400"/>
        <c:axId val="409772456"/>
      </c:barChart>
      <c:catAx>
        <c:axId val="409765400"/>
        <c:scaling>
          <c:orientation val="minMax"/>
        </c:scaling>
        <c:delete val="0"/>
        <c:axPos val="b"/>
        <c:numFmt formatCode="General" sourceLinked="0"/>
        <c:majorTickMark val="out"/>
        <c:minorTickMark val="none"/>
        <c:tickLblPos val="nextTo"/>
        <c:txPr>
          <a:bodyPr rot="-5400000" vert="horz"/>
          <a:lstStyle/>
          <a:p>
            <a:pPr>
              <a:defRPr/>
            </a:pPr>
            <a:endParaRPr lang="en-US"/>
          </a:p>
        </c:txPr>
        <c:crossAx val="409772456"/>
        <c:crosses val="autoZero"/>
        <c:auto val="1"/>
        <c:lblAlgn val="ctr"/>
        <c:lblOffset val="100"/>
        <c:noMultiLvlLbl val="0"/>
      </c:catAx>
      <c:valAx>
        <c:axId val="409772456"/>
        <c:scaling>
          <c:orientation val="minMax"/>
        </c:scaling>
        <c:delete val="0"/>
        <c:axPos val="l"/>
        <c:numFmt formatCode="&quot;$&quot;#,##0_);[Red]\(&quot;$&quot;#,##0\)" sourceLinked="0"/>
        <c:majorTickMark val="out"/>
        <c:minorTickMark val="none"/>
        <c:tickLblPos val="nextTo"/>
        <c:crossAx val="409765400"/>
        <c:crosses val="autoZero"/>
        <c:crossBetween val="between"/>
        <c:dispUnits>
          <c:builtInUnit val="thousands"/>
        </c:dispUnits>
      </c:valAx>
    </c:plotArea>
    <c:legend>
      <c:legendPos val="t"/>
      <c:overlay val="0"/>
    </c:legend>
    <c:plotVisOnly val="1"/>
    <c:dispBlanksAs val="gap"/>
    <c:showDLblsOverMax val="0"/>
  </c:chart>
  <c:txPr>
    <a:bodyPr/>
    <a:lstStyle/>
    <a:p>
      <a:pPr>
        <a:defRPr sz="14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BCA_Model_Annual!$A$4</c:f>
              <c:strCache>
                <c:ptCount val="1"/>
                <c:pt idx="0">
                  <c:v>737</c:v>
                </c:pt>
              </c:strCache>
            </c:strRef>
          </c:tx>
          <c:spPr>
            <a:solidFill>
              <a:srgbClr val="4AAC6B"/>
            </a:solidFill>
          </c:spPr>
          <c:invertIfNegative val="0"/>
          <c:cat>
            <c:strRef>
              <c:f>BCA_Model_Annual!$I$2:$AB$2</c:f>
              <c:strCache>
                <c:ptCount val="20"/>
                <c:pt idx="0">
                  <c:v>CY2007A</c:v>
                </c:pt>
                <c:pt idx="1">
                  <c:v>CY2008A</c:v>
                </c:pt>
                <c:pt idx="2">
                  <c:v>CY2009A</c:v>
                </c:pt>
                <c:pt idx="3">
                  <c:v>CY2010A</c:v>
                </c:pt>
                <c:pt idx="4">
                  <c:v>CY2011A</c:v>
                </c:pt>
                <c:pt idx="5">
                  <c:v>CY2012A</c:v>
                </c:pt>
                <c:pt idx="6">
                  <c:v>CY2013A</c:v>
                </c:pt>
                <c:pt idx="7">
                  <c:v>CY2014A</c:v>
                </c:pt>
                <c:pt idx="8">
                  <c:v>CY2015A</c:v>
                </c:pt>
                <c:pt idx="9">
                  <c:v>CY2016A</c:v>
                </c:pt>
                <c:pt idx="10">
                  <c:v>CY2017A</c:v>
                </c:pt>
                <c:pt idx="11">
                  <c:v>CY2018A</c:v>
                </c:pt>
                <c:pt idx="12">
                  <c:v>CY2019A</c:v>
                </c:pt>
                <c:pt idx="13">
                  <c:v>CY2020A</c:v>
                </c:pt>
                <c:pt idx="14">
                  <c:v>CY2021A</c:v>
                </c:pt>
                <c:pt idx="15">
                  <c:v>CY2022A</c:v>
                </c:pt>
                <c:pt idx="16">
                  <c:v>CY2023A</c:v>
                </c:pt>
                <c:pt idx="17">
                  <c:v>CY2024A</c:v>
                </c:pt>
                <c:pt idx="18">
                  <c:v>CY2025A</c:v>
                </c:pt>
                <c:pt idx="19">
                  <c:v>CY2026E</c:v>
                </c:pt>
              </c:strCache>
            </c:strRef>
          </c:cat>
          <c:val>
            <c:numRef>
              <c:f>BCA_Model_Annual!$I$4:$AB$4</c:f>
              <c:numCache>
                <c:formatCode>#,##0_);\(#,##0\)</c:formatCode>
                <c:ptCount val="20"/>
                <c:pt idx="0">
                  <c:v>330</c:v>
                </c:pt>
                <c:pt idx="1">
                  <c:v>290</c:v>
                </c:pt>
                <c:pt idx="2">
                  <c:v>372</c:v>
                </c:pt>
                <c:pt idx="3">
                  <c:v>376</c:v>
                </c:pt>
                <c:pt idx="4">
                  <c:v>372</c:v>
                </c:pt>
                <c:pt idx="5">
                  <c:v>415</c:v>
                </c:pt>
                <c:pt idx="6">
                  <c:v>440</c:v>
                </c:pt>
                <c:pt idx="7">
                  <c:v>485</c:v>
                </c:pt>
                <c:pt idx="8">
                  <c:v>495</c:v>
                </c:pt>
                <c:pt idx="9">
                  <c:v>490</c:v>
                </c:pt>
                <c:pt idx="10">
                  <c:v>529</c:v>
                </c:pt>
                <c:pt idx="11">
                  <c:v>580</c:v>
                </c:pt>
                <c:pt idx="12">
                  <c:v>127</c:v>
                </c:pt>
                <c:pt idx="13">
                  <c:v>43</c:v>
                </c:pt>
                <c:pt idx="14">
                  <c:v>263</c:v>
                </c:pt>
                <c:pt idx="15">
                  <c:v>387</c:v>
                </c:pt>
                <c:pt idx="16">
                  <c:v>396</c:v>
                </c:pt>
                <c:pt idx="17">
                  <c:v>265</c:v>
                </c:pt>
                <c:pt idx="18">
                  <c:v>447</c:v>
                </c:pt>
                <c:pt idx="19">
                  <c:v>498</c:v>
                </c:pt>
              </c:numCache>
            </c:numRef>
          </c:val>
          <c:extLst>
            <c:ext xmlns:c16="http://schemas.microsoft.com/office/drawing/2014/chart" uri="{C3380CC4-5D6E-409C-BE32-E72D297353CC}">
              <c16:uniqueId val="{00000000-E0F1-49DD-A9C9-3B4B04B27B86}"/>
            </c:ext>
          </c:extLst>
        </c:ser>
        <c:ser>
          <c:idx val="1"/>
          <c:order val="1"/>
          <c:tx>
            <c:strRef>
              <c:f>BCA_Model_Annual!$A$5</c:f>
              <c:strCache>
                <c:ptCount val="1"/>
                <c:pt idx="0">
                  <c:v>747</c:v>
                </c:pt>
              </c:strCache>
            </c:strRef>
          </c:tx>
          <c:spPr>
            <a:solidFill>
              <a:srgbClr val="A8D7E2"/>
            </a:solidFill>
          </c:spPr>
          <c:invertIfNegative val="0"/>
          <c:cat>
            <c:strRef>
              <c:f>BCA_Model_Annual!$I$2:$AB$2</c:f>
              <c:strCache>
                <c:ptCount val="20"/>
                <c:pt idx="0">
                  <c:v>CY2007A</c:v>
                </c:pt>
                <c:pt idx="1">
                  <c:v>CY2008A</c:v>
                </c:pt>
                <c:pt idx="2">
                  <c:v>CY2009A</c:v>
                </c:pt>
                <c:pt idx="3">
                  <c:v>CY2010A</c:v>
                </c:pt>
                <c:pt idx="4">
                  <c:v>CY2011A</c:v>
                </c:pt>
                <c:pt idx="5">
                  <c:v>CY2012A</c:v>
                </c:pt>
                <c:pt idx="6">
                  <c:v>CY2013A</c:v>
                </c:pt>
                <c:pt idx="7">
                  <c:v>CY2014A</c:v>
                </c:pt>
                <c:pt idx="8">
                  <c:v>CY2015A</c:v>
                </c:pt>
                <c:pt idx="9">
                  <c:v>CY2016A</c:v>
                </c:pt>
                <c:pt idx="10">
                  <c:v>CY2017A</c:v>
                </c:pt>
                <c:pt idx="11">
                  <c:v>CY2018A</c:v>
                </c:pt>
                <c:pt idx="12">
                  <c:v>CY2019A</c:v>
                </c:pt>
                <c:pt idx="13">
                  <c:v>CY2020A</c:v>
                </c:pt>
                <c:pt idx="14">
                  <c:v>CY2021A</c:v>
                </c:pt>
                <c:pt idx="15">
                  <c:v>CY2022A</c:v>
                </c:pt>
                <c:pt idx="16">
                  <c:v>CY2023A</c:v>
                </c:pt>
                <c:pt idx="17">
                  <c:v>CY2024A</c:v>
                </c:pt>
                <c:pt idx="18">
                  <c:v>CY2025A</c:v>
                </c:pt>
                <c:pt idx="19">
                  <c:v>CY2026E</c:v>
                </c:pt>
              </c:strCache>
            </c:strRef>
          </c:cat>
          <c:val>
            <c:numRef>
              <c:f>BCA_Model_Annual!$I$5:$AB$5</c:f>
              <c:numCache>
                <c:formatCode>#,##0_);\(#,##0\)</c:formatCode>
                <c:ptCount val="20"/>
                <c:pt idx="0">
                  <c:v>16</c:v>
                </c:pt>
                <c:pt idx="1">
                  <c:v>14</c:v>
                </c:pt>
                <c:pt idx="2">
                  <c:v>8</c:v>
                </c:pt>
                <c:pt idx="3">
                  <c:v>0</c:v>
                </c:pt>
                <c:pt idx="4">
                  <c:v>9</c:v>
                </c:pt>
                <c:pt idx="5">
                  <c:v>31</c:v>
                </c:pt>
                <c:pt idx="6">
                  <c:v>24</c:v>
                </c:pt>
                <c:pt idx="7">
                  <c:v>19</c:v>
                </c:pt>
                <c:pt idx="8">
                  <c:v>18</c:v>
                </c:pt>
                <c:pt idx="9">
                  <c:v>9</c:v>
                </c:pt>
                <c:pt idx="10">
                  <c:v>14</c:v>
                </c:pt>
                <c:pt idx="11">
                  <c:v>6</c:v>
                </c:pt>
                <c:pt idx="12">
                  <c:v>7</c:v>
                </c:pt>
                <c:pt idx="13">
                  <c:v>5</c:v>
                </c:pt>
                <c:pt idx="14">
                  <c:v>7</c:v>
                </c:pt>
                <c:pt idx="15">
                  <c:v>5</c:v>
                </c:pt>
                <c:pt idx="16">
                  <c:v>1</c:v>
                </c:pt>
                <c:pt idx="17">
                  <c:v>0</c:v>
                </c:pt>
                <c:pt idx="18">
                  <c:v>0</c:v>
                </c:pt>
                <c:pt idx="19">
                  <c:v>0</c:v>
                </c:pt>
              </c:numCache>
            </c:numRef>
          </c:val>
          <c:extLst>
            <c:ext xmlns:c16="http://schemas.microsoft.com/office/drawing/2014/chart" uri="{C3380CC4-5D6E-409C-BE32-E72D297353CC}">
              <c16:uniqueId val="{00000001-E0F1-49DD-A9C9-3B4B04B27B86}"/>
            </c:ext>
          </c:extLst>
        </c:ser>
        <c:ser>
          <c:idx val="2"/>
          <c:order val="2"/>
          <c:tx>
            <c:strRef>
              <c:f>BCA_Model_Annual!$A$6</c:f>
              <c:strCache>
                <c:ptCount val="1"/>
                <c:pt idx="0">
                  <c:v>767</c:v>
                </c:pt>
              </c:strCache>
            </c:strRef>
          </c:tx>
          <c:spPr>
            <a:solidFill>
              <a:srgbClr val="E58061"/>
            </a:solidFill>
          </c:spPr>
          <c:invertIfNegative val="0"/>
          <c:cat>
            <c:strRef>
              <c:f>BCA_Model_Annual!$I$2:$AB$2</c:f>
              <c:strCache>
                <c:ptCount val="20"/>
                <c:pt idx="0">
                  <c:v>CY2007A</c:v>
                </c:pt>
                <c:pt idx="1">
                  <c:v>CY2008A</c:v>
                </c:pt>
                <c:pt idx="2">
                  <c:v>CY2009A</c:v>
                </c:pt>
                <c:pt idx="3">
                  <c:v>CY2010A</c:v>
                </c:pt>
                <c:pt idx="4">
                  <c:v>CY2011A</c:v>
                </c:pt>
                <c:pt idx="5">
                  <c:v>CY2012A</c:v>
                </c:pt>
                <c:pt idx="6">
                  <c:v>CY2013A</c:v>
                </c:pt>
                <c:pt idx="7">
                  <c:v>CY2014A</c:v>
                </c:pt>
                <c:pt idx="8">
                  <c:v>CY2015A</c:v>
                </c:pt>
                <c:pt idx="9">
                  <c:v>CY2016A</c:v>
                </c:pt>
                <c:pt idx="10">
                  <c:v>CY2017A</c:v>
                </c:pt>
                <c:pt idx="11">
                  <c:v>CY2018A</c:v>
                </c:pt>
                <c:pt idx="12">
                  <c:v>CY2019A</c:v>
                </c:pt>
                <c:pt idx="13">
                  <c:v>CY2020A</c:v>
                </c:pt>
                <c:pt idx="14">
                  <c:v>CY2021A</c:v>
                </c:pt>
                <c:pt idx="15">
                  <c:v>CY2022A</c:v>
                </c:pt>
                <c:pt idx="16">
                  <c:v>CY2023A</c:v>
                </c:pt>
                <c:pt idx="17">
                  <c:v>CY2024A</c:v>
                </c:pt>
                <c:pt idx="18">
                  <c:v>CY2025A</c:v>
                </c:pt>
                <c:pt idx="19">
                  <c:v>CY2026E</c:v>
                </c:pt>
              </c:strCache>
            </c:strRef>
          </c:cat>
          <c:val>
            <c:numRef>
              <c:f>BCA_Model_Annual!$I$6:$AB$6</c:f>
              <c:numCache>
                <c:formatCode>#,##0_);\(#,##0\)</c:formatCode>
                <c:ptCount val="20"/>
                <c:pt idx="0">
                  <c:v>12</c:v>
                </c:pt>
                <c:pt idx="1">
                  <c:v>10</c:v>
                </c:pt>
                <c:pt idx="2">
                  <c:v>13</c:v>
                </c:pt>
                <c:pt idx="3">
                  <c:v>12</c:v>
                </c:pt>
                <c:pt idx="4">
                  <c:v>20</c:v>
                </c:pt>
                <c:pt idx="5">
                  <c:v>26</c:v>
                </c:pt>
                <c:pt idx="6">
                  <c:v>21</c:v>
                </c:pt>
                <c:pt idx="7">
                  <c:v>6</c:v>
                </c:pt>
                <c:pt idx="8">
                  <c:v>16</c:v>
                </c:pt>
                <c:pt idx="9">
                  <c:v>13</c:v>
                </c:pt>
                <c:pt idx="10">
                  <c:v>10</c:v>
                </c:pt>
                <c:pt idx="11">
                  <c:v>27</c:v>
                </c:pt>
                <c:pt idx="12">
                  <c:v>43</c:v>
                </c:pt>
                <c:pt idx="13">
                  <c:v>30</c:v>
                </c:pt>
                <c:pt idx="14">
                  <c:v>32</c:v>
                </c:pt>
                <c:pt idx="15">
                  <c:v>33</c:v>
                </c:pt>
                <c:pt idx="16">
                  <c:v>32</c:v>
                </c:pt>
                <c:pt idx="17">
                  <c:v>18</c:v>
                </c:pt>
                <c:pt idx="18">
                  <c:v>30</c:v>
                </c:pt>
                <c:pt idx="19">
                  <c:v>36</c:v>
                </c:pt>
              </c:numCache>
            </c:numRef>
          </c:val>
          <c:extLst>
            <c:ext xmlns:c16="http://schemas.microsoft.com/office/drawing/2014/chart" uri="{C3380CC4-5D6E-409C-BE32-E72D297353CC}">
              <c16:uniqueId val="{00000002-E0F1-49DD-A9C9-3B4B04B27B86}"/>
            </c:ext>
          </c:extLst>
        </c:ser>
        <c:ser>
          <c:idx val="3"/>
          <c:order val="3"/>
          <c:tx>
            <c:strRef>
              <c:f>BCA_Model_Annual!$A$7</c:f>
              <c:strCache>
                <c:ptCount val="1"/>
                <c:pt idx="0">
                  <c:v>777</c:v>
                </c:pt>
              </c:strCache>
            </c:strRef>
          </c:tx>
          <c:spPr>
            <a:solidFill>
              <a:srgbClr val="EACC80"/>
            </a:solidFill>
          </c:spPr>
          <c:invertIfNegative val="0"/>
          <c:cat>
            <c:strRef>
              <c:f>BCA_Model_Annual!$I$2:$AB$2</c:f>
              <c:strCache>
                <c:ptCount val="20"/>
                <c:pt idx="0">
                  <c:v>CY2007A</c:v>
                </c:pt>
                <c:pt idx="1">
                  <c:v>CY2008A</c:v>
                </c:pt>
                <c:pt idx="2">
                  <c:v>CY2009A</c:v>
                </c:pt>
                <c:pt idx="3">
                  <c:v>CY2010A</c:v>
                </c:pt>
                <c:pt idx="4">
                  <c:v>CY2011A</c:v>
                </c:pt>
                <c:pt idx="5">
                  <c:v>CY2012A</c:v>
                </c:pt>
                <c:pt idx="6">
                  <c:v>CY2013A</c:v>
                </c:pt>
                <c:pt idx="7">
                  <c:v>CY2014A</c:v>
                </c:pt>
                <c:pt idx="8">
                  <c:v>CY2015A</c:v>
                </c:pt>
                <c:pt idx="9">
                  <c:v>CY2016A</c:v>
                </c:pt>
                <c:pt idx="10">
                  <c:v>CY2017A</c:v>
                </c:pt>
                <c:pt idx="11">
                  <c:v>CY2018A</c:v>
                </c:pt>
                <c:pt idx="12">
                  <c:v>CY2019A</c:v>
                </c:pt>
                <c:pt idx="13">
                  <c:v>CY2020A</c:v>
                </c:pt>
                <c:pt idx="14">
                  <c:v>CY2021A</c:v>
                </c:pt>
                <c:pt idx="15">
                  <c:v>CY2022A</c:v>
                </c:pt>
                <c:pt idx="16">
                  <c:v>CY2023A</c:v>
                </c:pt>
                <c:pt idx="17">
                  <c:v>CY2024A</c:v>
                </c:pt>
                <c:pt idx="18">
                  <c:v>CY2025A</c:v>
                </c:pt>
                <c:pt idx="19">
                  <c:v>CY2026E</c:v>
                </c:pt>
              </c:strCache>
            </c:strRef>
          </c:cat>
          <c:val>
            <c:numRef>
              <c:f>BCA_Model_Annual!$I$7:$AB$7</c:f>
              <c:numCache>
                <c:formatCode>#,##0_);\(#,##0\)</c:formatCode>
                <c:ptCount val="20"/>
                <c:pt idx="0">
                  <c:v>83</c:v>
                </c:pt>
                <c:pt idx="1">
                  <c:v>61</c:v>
                </c:pt>
                <c:pt idx="2">
                  <c:v>88</c:v>
                </c:pt>
                <c:pt idx="3">
                  <c:v>74</c:v>
                </c:pt>
                <c:pt idx="4">
                  <c:v>73</c:v>
                </c:pt>
                <c:pt idx="5">
                  <c:v>83</c:v>
                </c:pt>
                <c:pt idx="6">
                  <c:v>98</c:v>
                </c:pt>
                <c:pt idx="7">
                  <c:v>99</c:v>
                </c:pt>
                <c:pt idx="8">
                  <c:v>98</c:v>
                </c:pt>
                <c:pt idx="9">
                  <c:v>99</c:v>
                </c:pt>
                <c:pt idx="10">
                  <c:v>74</c:v>
                </c:pt>
                <c:pt idx="11">
                  <c:v>48</c:v>
                </c:pt>
                <c:pt idx="12">
                  <c:v>45</c:v>
                </c:pt>
                <c:pt idx="13">
                  <c:v>26</c:v>
                </c:pt>
                <c:pt idx="14">
                  <c:v>24</c:v>
                </c:pt>
                <c:pt idx="15">
                  <c:v>24</c:v>
                </c:pt>
                <c:pt idx="16">
                  <c:v>26</c:v>
                </c:pt>
                <c:pt idx="17">
                  <c:v>14</c:v>
                </c:pt>
                <c:pt idx="18">
                  <c:v>35</c:v>
                </c:pt>
                <c:pt idx="19">
                  <c:v>36</c:v>
                </c:pt>
              </c:numCache>
            </c:numRef>
          </c:val>
          <c:extLst>
            <c:ext xmlns:c16="http://schemas.microsoft.com/office/drawing/2014/chart" uri="{C3380CC4-5D6E-409C-BE32-E72D297353CC}">
              <c16:uniqueId val="{00000003-E0F1-49DD-A9C9-3B4B04B27B86}"/>
            </c:ext>
          </c:extLst>
        </c:ser>
        <c:ser>
          <c:idx val="4"/>
          <c:order val="4"/>
          <c:tx>
            <c:strRef>
              <c:f>BCA_Model_Annual!$A$8</c:f>
              <c:strCache>
                <c:ptCount val="1"/>
                <c:pt idx="0">
                  <c:v>787</c:v>
                </c:pt>
              </c:strCache>
            </c:strRef>
          </c:tx>
          <c:spPr>
            <a:solidFill>
              <a:srgbClr val="137CB1"/>
            </a:solidFill>
          </c:spPr>
          <c:invertIfNegative val="0"/>
          <c:cat>
            <c:strRef>
              <c:f>BCA_Model_Annual!$I$2:$AB$2</c:f>
              <c:strCache>
                <c:ptCount val="20"/>
                <c:pt idx="0">
                  <c:v>CY2007A</c:v>
                </c:pt>
                <c:pt idx="1">
                  <c:v>CY2008A</c:v>
                </c:pt>
                <c:pt idx="2">
                  <c:v>CY2009A</c:v>
                </c:pt>
                <c:pt idx="3">
                  <c:v>CY2010A</c:v>
                </c:pt>
                <c:pt idx="4">
                  <c:v>CY2011A</c:v>
                </c:pt>
                <c:pt idx="5">
                  <c:v>CY2012A</c:v>
                </c:pt>
                <c:pt idx="6">
                  <c:v>CY2013A</c:v>
                </c:pt>
                <c:pt idx="7">
                  <c:v>CY2014A</c:v>
                </c:pt>
                <c:pt idx="8">
                  <c:v>CY2015A</c:v>
                </c:pt>
                <c:pt idx="9">
                  <c:v>CY2016A</c:v>
                </c:pt>
                <c:pt idx="10">
                  <c:v>CY2017A</c:v>
                </c:pt>
                <c:pt idx="11">
                  <c:v>CY2018A</c:v>
                </c:pt>
                <c:pt idx="12">
                  <c:v>CY2019A</c:v>
                </c:pt>
                <c:pt idx="13">
                  <c:v>CY2020A</c:v>
                </c:pt>
                <c:pt idx="14">
                  <c:v>CY2021A</c:v>
                </c:pt>
                <c:pt idx="15">
                  <c:v>CY2022A</c:v>
                </c:pt>
                <c:pt idx="16">
                  <c:v>CY2023A</c:v>
                </c:pt>
                <c:pt idx="17">
                  <c:v>CY2024A</c:v>
                </c:pt>
                <c:pt idx="18">
                  <c:v>CY2025A</c:v>
                </c:pt>
                <c:pt idx="19">
                  <c:v>CY2026E</c:v>
                </c:pt>
              </c:strCache>
            </c:strRef>
          </c:cat>
          <c:val>
            <c:numRef>
              <c:f>BCA_Model_Annual!$I$8:$AB$8</c:f>
              <c:numCache>
                <c:formatCode>#,##0_);\(#,##0\)</c:formatCode>
                <c:ptCount val="20"/>
                <c:pt idx="0">
                  <c:v>0</c:v>
                </c:pt>
                <c:pt idx="1">
                  <c:v>0</c:v>
                </c:pt>
                <c:pt idx="2">
                  <c:v>0</c:v>
                </c:pt>
                <c:pt idx="3">
                  <c:v>0</c:v>
                </c:pt>
                <c:pt idx="4">
                  <c:v>3</c:v>
                </c:pt>
                <c:pt idx="5">
                  <c:v>46</c:v>
                </c:pt>
                <c:pt idx="6">
                  <c:v>65</c:v>
                </c:pt>
                <c:pt idx="7">
                  <c:v>114</c:v>
                </c:pt>
                <c:pt idx="8">
                  <c:v>135</c:v>
                </c:pt>
                <c:pt idx="9">
                  <c:v>137</c:v>
                </c:pt>
                <c:pt idx="10">
                  <c:v>136</c:v>
                </c:pt>
                <c:pt idx="11">
                  <c:v>145</c:v>
                </c:pt>
                <c:pt idx="12">
                  <c:v>158</c:v>
                </c:pt>
                <c:pt idx="13">
                  <c:v>53</c:v>
                </c:pt>
                <c:pt idx="14">
                  <c:v>14</c:v>
                </c:pt>
                <c:pt idx="15">
                  <c:v>31</c:v>
                </c:pt>
                <c:pt idx="16">
                  <c:v>73</c:v>
                </c:pt>
                <c:pt idx="17">
                  <c:v>51</c:v>
                </c:pt>
                <c:pt idx="18">
                  <c:v>88</c:v>
                </c:pt>
                <c:pt idx="19">
                  <c:v>101</c:v>
                </c:pt>
              </c:numCache>
            </c:numRef>
          </c:val>
          <c:extLst>
            <c:ext xmlns:c16="http://schemas.microsoft.com/office/drawing/2014/chart" uri="{C3380CC4-5D6E-409C-BE32-E72D297353CC}">
              <c16:uniqueId val="{00000004-E0F1-49DD-A9C9-3B4B04B27B86}"/>
            </c:ext>
          </c:extLst>
        </c:ser>
        <c:dLbls>
          <c:showLegendKey val="0"/>
          <c:showVal val="0"/>
          <c:showCatName val="0"/>
          <c:showSerName val="0"/>
          <c:showPercent val="0"/>
          <c:showBubbleSize val="0"/>
        </c:dLbls>
        <c:gapWidth val="50"/>
        <c:overlap val="100"/>
        <c:axId val="409774024"/>
        <c:axId val="409773240"/>
      </c:barChart>
      <c:catAx>
        <c:axId val="409774024"/>
        <c:scaling>
          <c:orientation val="minMax"/>
        </c:scaling>
        <c:delete val="0"/>
        <c:axPos val="b"/>
        <c:numFmt formatCode="General" sourceLinked="0"/>
        <c:majorTickMark val="out"/>
        <c:minorTickMark val="none"/>
        <c:tickLblPos val="nextTo"/>
        <c:crossAx val="409773240"/>
        <c:crosses val="autoZero"/>
        <c:auto val="1"/>
        <c:lblAlgn val="ctr"/>
        <c:lblOffset val="100"/>
        <c:noMultiLvlLbl val="0"/>
      </c:catAx>
      <c:valAx>
        <c:axId val="409773240"/>
        <c:scaling>
          <c:orientation val="minMax"/>
        </c:scaling>
        <c:delete val="0"/>
        <c:axPos val="l"/>
        <c:numFmt formatCode="#,##0_);\(#,##0\)" sourceLinked="1"/>
        <c:majorTickMark val="out"/>
        <c:minorTickMark val="none"/>
        <c:tickLblPos val="nextTo"/>
        <c:crossAx val="409774024"/>
        <c:crosses val="autoZero"/>
        <c:crossBetween val="between"/>
      </c:valAx>
    </c:plotArea>
    <c:legend>
      <c:legendPos val="t"/>
      <c:overlay val="0"/>
    </c:legend>
    <c:plotVisOnly val="1"/>
    <c:dispBlanksAs val="gap"/>
    <c:showDLblsOverMax val="0"/>
  </c:chart>
  <c:txPr>
    <a:bodyPr/>
    <a:lstStyle/>
    <a:p>
      <a:pPr>
        <a:defRPr sz="14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0</xdr:rowOff>
    </xdr:from>
    <xdr:to>
      <xdr:col>2</xdr:col>
      <xdr:colOff>406618</xdr:colOff>
      <xdr:row>1</xdr:row>
      <xdr:rowOff>41</xdr:rowOff>
    </xdr:to>
    <xdr:pic>
      <xdr:nvPicPr>
        <xdr:cNvPr id="3" name="Picture 2">
          <a:extLst>
            <a:ext uri="{FF2B5EF4-FFF2-40B4-BE49-F238E27FC236}">
              <a16:creationId xmlns:a16="http://schemas.microsoft.com/office/drawing/2014/main" id="{8AC580B4-5617-D382-5E28-D875D56F30F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0" y="0"/>
          <a:ext cx="1562318" cy="295316"/>
        </a:xfrm>
        <a:prstGeom prst="rect">
          <a:avLst/>
        </a:prstGeom>
      </xdr:spPr>
    </xdr:pic>
    <xdr:clientData/>
  </xdr:twoCellAnchor>
  <xdr:twoCellAnchor editAs="oneCell">
    <xdr:from>
      <xdr:col>0</xdr:col>
      <xdr:colOff>127000</xdr:colOff>
      <xdr:row>181</xdr:row>
      <xdr:rowOff>0</xdr:rowOff>
    </xdr:from>
    <xdr:to>
      <xdr:col>10</xdr:col>
      <xdr:colOff>527050</xdr:colOff>
      <xdr:row>201</xdr:row>
      <xdr:rowOff>152400</xdr:rowOff>
    </xdr:to>
    <xdr:pic>
      <xdr:nvPicPr>
        <xdr:cNvPr id="5" name="Picture 4">
          <a:extLst>
            <a:ext uri="{FF2B5EF4-FFF2-40B4-BE49-F238E27FC236}">
              <a16:creationId xmlns:a16="http://schemas.microsoft.com/office/drawing/2014/main" id="{421FB867-5443-1855-7F23-97B5D951C895}"/>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000" y="34661475"/>
          <a:ext cx="6496050" cy="3962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301625</xdr:colOff>
      <xdr:row>174</xdr:row>
      <xdr:rowOff>176212</xdr:rowOff>
    </xdr:from>
    <xdr:to>
      <xdr:col>8</xdr:col>
      <xdr:colOff>46101</xdr:colOff>
      <xdr:row>194</xdr:row>
      <xdr:rowOff>19494</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333375</xdr:colOff>
      <xdr:row>175</xdr:row>
      <xdr:rowOff>15875</xdr:rowOff>
    </xdr:from>
    <xdr:to>
      <xdr:col>15</xdr:col>
      <xdr:colOff>77851</xdr:colOff>
      <xdr:row>194</xdr:row>
      <xdr:rowOff>49657</xdr:rowOff>
    </xdr:to>
    <xdr:graphicFrame macro="">
      <xdr:nvGraphicFramePr>
        <xdr:cNvPr id="12" name="Chart 11">
          <a:extLst>
            <a:ext uri="{FF2B5EF4-FFF2-40B4-BE49-F238E27FC236}">
              <a16:creationId xmlns:a16="http://schemas.microsoft.com/office/drawing/2014/main" id="{00000000-0008-0000-0F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349250</xdr:colOff>
      <xdr:row>195</xdr:row>
      <xdr:rowOff>25400</xdr:rowOff>
    </xdr:from>
    <xdr:to>
      <xdr:col>8</xdr:col>
      <xdr:colOff>93726</xdr:colOff>
      <xdr:row>214</xdr:row>
      <xdr:rowOff>90932</xdr:rowOff>
    </xdr:to>
    <xdr:graphicFrame macro="">
      <xdr:nvGraphicFramePr>
        <xdr:cNvPr id="8" name="Chart 7">
          <a:extLst>
            <a:ext uri="{FF2B5EF4-FFF2-40B4-BE49-F238E27FC236}">
              <a16:creationId xmlns:a16="http://schemas.microsoft.com/office/drawing/2014/main" id="{00000000-0008-0000-0F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37</xdr:col>
      <xdr:colOff>1</xdr:colOff>
      <xdr:row>13</xdr:row>
      <xdr:rowOff>78315</xdr:rowOff>
    </xdr:from>
    <xdr:to>
      <xdr:col>45</xdr:col>
      <xdr:colOff>612310</xdr:colOff>
      <xdr:row>35</xdr:row>
      <xdr:rowOff>143847</xdr:rowOff>
    </xdr:to>
    <xdr:graphicFrame macro="">
      <xdr:nvGraphicFramePr>
        <xdr:cNvPr id="3" name="Chart 2">
          <a:extLst>
            <a:ext uri="{FF2B5EF4-FFF2-40B4-BE49-F238E27FC236}">
              <a16:creationId xmlns:a16="http://schemas.microsoft.com/office/drawing/2014/main" id="{00000000-0008-0000-1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19C3BE8-BDFB-49D5-A76E-331AE91074B9}">
  <we:reference id="66cfb7aa-c8b5-4285-ae4a-6140b6c8d0d6" version="1.0.14.0" store="EXCatalog" storeType="EXCatalog"/>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3.xml"/><Relationship Id="rId1" Type="http://schemas.openxmlformats.org/officeDocument/2006/relationships/printerSettings" Target="../printerSettings/printerSettings16.bin"/><Relationship Id="rId4" Type="http://schemas.openxmlformats.org/officeDocument/2006/relationships/comments" Target="../comments14.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ED572-3DDD-4AFD-8342-C5CF5B558E79}">
  <dimension ref="B2:B9"/>
  <sheetViews>
    <sheetView showGridLines="0" showRowColHeaders="0" workbookViewId="0">
      <selection activeCell="Z1" sqref="Z1"/>
    </sheetView>
  </sheetViews>
  <sheetFormatPr defaultColWidth="9.1796875" defaultRowHeight="14.5"/>
  <cols>
    <col min="1" max="1" width="9.1796875" style="592"/>
    <col min="2" max="2" width="101" style="592" customWidth="1"/>
    <col min="3" max="16384" width="9.1796875" style="592"/>
  </cols>
  <sheetData>
    <row r="2" spans="2:2" ht="52.5">
      <c r="B2" s="591" t="s">
        <v>1097</v>
      </c>
    </row>
    <row r="3" spans="2:2" ht="17.5">
      <c r="B3" s="591"/>
    </row>
    <row r="4" spans="2:2" ht="17.5">
      <c r="B4" s="591"/>
    </row>
    <row r="5" spans="2:2" ht="17.5">
      <c r="B5" s="591" t="s">
        <v>1098</v>
      </c>
    </row>
    <row r="6" spans="2:2" ht="17.5">
      <c r="B6" s="591" t="s">
        <v>1099</v>
      </c>
    </row>
    <row r="7" spans="2:2" ht="17.5">
      <c r="B7" s="591" t="s">
        <v>1100</v>
      </c>
    </row>
    <row r="8" spans="2:2" ht="17.5">
      <c r="B8" s="591"/>
    </row>
    <row r="9" spans="2:2" ht="36">
      <c r="B9" s="593" t="s">
        <v>1101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5C924-3FF3-49AA-A451-E8136C501D09}">
  <sheetPr codeName="Sheet16"/>
  <dimension ref="A1:H427"/>
  <sheetViews>
    <sheetView showGridLines="0" workbookViewId="0">
      <selection activeCell="Z1" sqref="Z1"/>
    </sheetView>
  </sheetViews>
  <sheetFormatPr defaultRowHeight="14.5"/>
  <sheetData>
    <row r="1" spans="1:8" ht="23.25" customHeight="1">
      <c r="A1" s="585"/>
      <c r="B1" s="586"/>
      <c r="C1" s="586"/>
      <c r="D1" s="586"/>
      <c r="E1" s="586"/>
      <c r="F1" s="586"/>
      <c r="G1" s="586"/>
      <c r="H1" s="586"/>
    </row>
    <row r="2" spans="1:8">
      <c r="A2" s="583" t="s">
        <v>685</v>
      </c>
      <c r="B2" s="586"/>
      <c r="C2" s="586"/>
      <c r="D2" s="586"/>
      <c r="E2" s="586"/>
      <c r="F2" s="586"/>
      <c r="G2" s="586"/>
      <c r="H2" s="586"/>
    </row>
    <row r="3" spans="1:8">
      <c r="A3" s="583" t="s">
        <v>686</v>
      </c>
      <c r="B3" s="586"/>
      <c r="C3" s="586"/>
      <c r="D3" s="586"/>
      <c r="E3" s="586"/>
      <c r="F3" s="586"/>
      <c r="G3" s="586"/>
      <c r="H3" s="586"/>
    </row>
    <row r="4" spans="1:8">
      <c r="A4" s="583" t="s">
        <v>687</v>
      </c>
      <c r="B4" s="586"/>
      <c r="C4" s="586"/>
      <c r="D4" s="586"/>
      <c r="E4" s="586"/>
      <c r="F4" s="586"/>
      <c r="G4" s="586"/>
      <c r="H4" s="586"/>
    </row>
    <row r="5" spans="1:8">
      <c r="A5" s="583" t="s">
        <v>688</v>
      </c>
      <c r="B5" s="586"/>
      <c r="C5" s="586"/>
      <c r="D5" s="586"/>
      <c r="E5" s="586"/>
      <c r="F5" s="586"/>
      <c r="G5" s="586"/>
      <c r="H5" s="586"/>
    </row>
    <row r="6" spans="1:8">
      <c r="A6" s="583"/>
      <c r="B6" s="586"/>
      <c r="C6" s="586"/>
      <c r="D6" s="586"/>
      <c r="E6" s="586"/>
      <c r="F6" s="586"/>
      <c r="G6" s="586"/>
      <c r="H6" s="586"/>
    </row>
    <row r="7" spans="1:8">
      <c r="A7" s="583" t="s">
        <v>689</v>
      </c>
      <c r="B7" s="586"/>
      <c r="C7" s="586"/>
      <c r="D7" s="586"/>
      <c r="E7" s="586"/>
      <c r="F7" s="586"/>
      <c r="G7" s="586"/>
      <c r="H7" s="586"/>
    </row>
    <row r="8" spans="1:8">
      <c r="A8" s="583" t="s">
        <v>690</v>
      </c>
      <c r="B8" s="586"/>
      <c r="C8" s="586"/>
      <c r="D8" s="586"/>
      <c r="E8" s="586"/>
      <c r="F8" s="586"/>
      <c r="G8" s="586"/>
      <c r="H8" s="586"/>
    </row>
    <row r="9" spans="1:8">
      <c r="A9" s="583"/>
      <c r="B9" s="586"/>
      <c r="C9" s="586"/>
      <c r="D9" s="586"/>
      <c r="E9" s="586"/>
      <c r="F9" s="586"/>
      <c r="G9" s="586"/>
      <c r="H9" s="586"/>
    </row>
    <row r="10" spans="1:8">
      <c r="A10" s="583" t="s">
        <v>691</v>
      </c>
      <c r="B10" s="586"/>
      <c r="C10" s="586"/>
      <c r="D10" s="586"/>
      <c r="E10" s="586"/>
      <c r="F10" s="586"/>
      <c r="G10" s="586"/>
      <c r="H10" s="586"/>
    </row>
    <row r="11" spans="1:8">
      <c r="A11" s="583" t="s">
        <v>692</v>
      </c>
      <c r="B11" s="586"/>
      <c r="C11" s="586"/>
      <c r="D11" s="586"/>
      <c r="E11" s="586"/>
      <c r="F11" s="586"/>
      <c r="G11" s="586"/>
      <c r="H11" s="586"/>
    </row>
    <row r="12" spans="1:8">
      <c r="A12" s="583" t="s">
        <v>693</v>
      </c>
      <c r="B12" s="586"/>
      <c r="C12" s="586"/>
      <c r="D12" s="586"/>
      <c r="E12" s="586"/>
      <c r="F12" s="586"/>
      <c r="G12" s="586"/>
      <c r="H12" s="586"/>
    </row>
    <row r="13" spans="1:8">
      <c r="A13" s="583" t="s">
        <v>694</v>
      </c>
      <c r="B13" s="586"/>
      <c r="C13" s="586"/>
      <c r="D13" s="586"/>
      <c r="E13" s="586"/>
      <c r="F13" s="586"/>
      <c r="G13" s="586"/>
      <c r="H13" s="586"/>
    </row>
    <row r="14" spans="1:8">
      <c r="A14" s="583" t="s">
        <v>695</v>
      </c>
      <c r="B14" s="586"/>
      <c r="C14" s="586"/>
      <c r="D14" s="586"/>
      <c r="E14" s="586"/>
      <c r="F14" s="586"/>
      <c r="G14" s="586"/>
      <c r="H14" s="586"/>
    </row>
    <row r="15" spans="1:8">
      <c r="A15" s="583" t="s">
        <v>696</v>
      </c>
      <c r="B15" s="586"/>
      <c r="C15" s="586"/>
      <c r="D15" s="586"/>
      <c r="E15" s="586"/>
      <c r="F15" s="586"/>
      <c r="G15" s="586"/>
      <c r="H15" s="586"/>
    </row>
    <row r="16" spans="1:8">
      <c r="A16" s="583"/>
      <c r="B16" s="586"/>
      <c r="C16" s="586"/>
      <c r="D16" s="586"/>
      <c r="E16" s="586"/>
      <c r="F16" s="586"/>
      <c r="G16" s="586"/>
      <c r="H16" s="586"/>
    </row>
    <row r="17" spans="1:8">
      <c r="A17" s="583" t="s">
        <v>697</v>
      </c>
      <c r="B17" s="586"/>
      <c r="C17" s="586"/>
      <c r="D17" s="586"/>
      <c r="E17" s="586"/>
      <c r="F17" s="586"/>
      <c r="G17" s="586"/>
      <c r="H17" s="586"/>
    </row>
    <row r="18" spans="1:8">
      <c r="A18" s="583"/>
      <c r="B18" s="586"/>
      <c r="C18" s="586"/>
      <c r="D18" s="586"/>
      <c r="E18" s="586"/>
      <c r="F18" s="586"/>
      <c r="G18" s="586"/>
      <c r="H18" s="586"/>
    </row>
    <row r="19" spans="1:8">
      <c r="A19" s="583" t="s">
        <v>698</v>
      </c>
      <c r="B19" s="586"/>
      <c r="C19" s="586"/>
      <c r="D19" s="586"/>
      <c r="E19" s="586"/>
      <c r="F19" s="586"/>
      <c r="G19" s="586"/>
      <c r="H19" s="586"/>
    </row>
    <row r="20" spans="1:8">
      <c r="A20" s="583"/>
      <c r="B20" s="586"/>
      <c r="C20" s="586"/>
      <c r="D20" s="586"/>
      <c r="E20" s="586"/>
      <c r="F20" s="586"/>
      <c r="G20" s="586"/>
      <c r="H20" s="586"/>
    </row>
    <row r="21" spans="1:8">
      <c r="A21" s="584" t="s">
        <v>699</v>
      </c>
      <c r="B21" s="586"/>
      <c r="C21" s="586"/>
      <c r="D21" s="586"/>
      <c r="E21" s="586"/>
      <c r="F21" s="586"/>
      <c r="G21" s="586"/>
      <c r="H21" s="586"/>
    </row>
    <row r="22" spans="1:8">
      <c r="A22" s="586"/>
      <c r="B22" s="586"/>
      <c r="C22" s="586"/>
      <c r="D22" s="586"/>
      <c r="E22" s="586"/>
      <c r="F22" s="586"/>
      <c r="G22" s="586"/>
      <c r="H22" s="586"/>
    </row>
    <row r="23" spans="1:8">
      <c r="A23" s="587" t="s">
        <v>700</v>
      </c>
      <c r="B23" s="586"/>
      <c r="C23" s="586"/>
      <c r="D23" s="586"/>
      <c r="E23" s="586"/>
      <c r="F23" s="586"/>
      <c r="G23" s="586"/>
      <c r="H23" s="586"/>
    </row>
    <row r="24" spans="1:8">
      <c r="A24" s="587" t="s">
        <v>701</v>
      </c>
      <c r="B24" s="586"/>
      <c r="C24" s="586"/>
      <c r="D24" s="586"/>
      <c r="E24" s="586"/>
      <c r="F24" s="586"/>
      <c r="G24" s="586"/>
      <c r="H24" s="586"/>
    </row>
    <row r="25" spans="1:8">
      <c r="A25" s="587" t="s">
        <v>702</v>
      </c>
      <c r="B25" s="586"/>
      <c r="C25" s="586"/>
      <c r="D25" s="586"/>
      <c r="E25" s="586"/>
      <c r="F25" s="586"/>
      <c r="G25" s="586"/>
      <c r="H25" s="586"/>
    </row>
    <row r="26" spans="1:8">
      <c r="A26" s="587" t="s">
        <v>703</v>
      </c>
      <c r="B26" s="586"/>
      <c r="C26" s="586"/>
      <c r="D26" s="586"/>
      <c r="E26" s="586"/>
      <c r="F26" s="586"/>
      <c r="G26" s="586"/>
      <c r="H26" s="586"/>
    </row>
    <row r="27" spans="1:8">
      <c r="A27" s="586"/>
      <c r="B27" s="586"/>
      <c r="C27" s="586"/>
      <c r="D27" s="586"/>
      <c r="E27" s="586"/>
      <c r="F27" s="586"/>
      <c r="G27" s="586"/>
      <c r="H27" s="586"/>
    </row>
    <row r="28" spans="1:8">
      <c r="A28" s="587" t="s">
        <v>704</v>
      </c>
      <c r="B28" s="586"/>
      <c r="C28" s="586"/>
      <c r="D28" s="586"/>
      <c r="E28" s="586"/>
      <c r="F28" s="586"/>
      <c r="G28" s="586"/>
      <c r="H28" s="586"/>
    </row>
    <row r="29" spans="1:8">
      <c r="A29" s="587" t="s">
        <v>705</v>
      </c>
      <c r="B29" s="586"/>
      <c r="C29" s="586"/>
      <c r="D29" s="586"/>
      <c r="E29" s="586"/>
      <c r="F29" s="586"/>
      <c r="G29" s="586"/>
      <c r="H29" s="586"/>
    </row>
    <row r="30" spans="1:8">
      <c r="A30" s="587" t="s">
        <v>706</v>
      </c>
      <c r="B30" s="586"/>
      <c r="C30" s="586"/>
      <c r="D30" s="586"/>
      <c r="E30" s="586"/>
      <c r="F30" s="586"/>
      <c r="G30" s="586"/>
      <c r="H30" s="586"/>
    </row>
    <row r="31" spans="1:8">
      <c r="A31" s="587" t="s">
        <v>707</v>
      </c>
      <c r="B31" s="586"/>
      <c r="C31" s="586"/>
      <c r="D31" s="586"/>
      <c r="E31" s="586"/>
      <c r="F31" s="586"/>
      <c r="G31" s="586"/>
      <c r="H31" s="586"/>
    </row>
    <row r="32" spans="1:8">
      <c r="A32" s="587" t="s">
        <v>708</v>
      </c>
      <c r="B32" s="586"/>
      <c r="C32" s="586"/>
      <c r="D32" s="586"/>
      <c r="E32" s="586"/>
      <c r="F32" s="586"/>
      <c r="G32" s="586"/>
      <c r="H32" s="586"/>
    </row>
    <row r="33" spans="1:8">
      <c r="A33" s="586"/>
      <c r="B33" s="586"/>
      <c r="C33" s="586"/>
      <c r="D33" s="586"/>
      <c r="E33" s="586"/>
      <c r="F33" s="586"/>
      <c r="G33" s="586"/>
      <c r="H33" s="586"/>
    </row>
    <row r="34" spans="1:8">
      <c r="A34" s="587" t="s">
        <v>709</v>
      </c>
      <c r="B34" s="586"/>
      <c r="C34" s="586"/>
      <c r="D34" s="586"/>
      <c r="E34" s="586"/>
      <c r="F34" s="586"/>
      <c r="G34" s="586"/>
      <c r="H34" s="586"/>
    </row>
    <row r="35" spans="1:8">
      <c r="A35" s="587" t="s">
        <v>710</v>
      </c>
      <c r="B35" s="586"/>
      <c r="C35" s="586"/>
      <c r="D35" s="586"/>
      <c r="E35" s="586"/>
      <c r="F35" s="586"/>
      <c r="G35" s="586"/>
      <c r="H35" s="586"/>
    </row>
    <row r="36" spans="1:8">
      <c r="A36" s="587" t="s">
        <v>711</v>
      </c>
      <c r="B36" s="586"/>
      <c r="C36" s="586"/>
      <c r="D36" s="586"/>
      <c r="E36" s="586"/>
      <c r="F36" s="586"/>
      <c r="G36" s="586"/>
      <c r="H36" s="586"/>
    </row>
    <row r="37" spans="1:8">
      <c r="A37" s="587" t="s">
        <v>712</v>
      </c>
      <c r="B37" s="586"/>
      <c r="C37" s="586"/>
      <c r="D37" s="586"/>
      <c r="E37" s="586"/>
      <c r="F37" s="586"/>
      <c r="G37" s="586"/>
      <c r="H37" s="586"/>
    </row>
    <row r="38" spans="1:8">
      <c r="A38" s="586"/>
      <c r="B38" s="586"/>
      <c r="C38" s="586"/>
      <c r="D38" s="586"/>
      <c r="E38" s="586"/>
      <c r="F38" s="586"/>
      <c r="G38" s="586"/>
      <c r="H38" s="586"/>
    </row>
    <row r="39" spans="1:8">
      <c r="A39" s="587" t="s">
        <v>713</v>
      </c>
      <c r="B39" s="586"/>
      <c r="C39" s="586"/>
      <c r="D39" s="586"/>
      <c r="E39" s="586"/>
      <c r="F39" s="586"/>
      <c r="G39" s="586"/>
      <c r="H39" s="586"/>
    </row>
    <row r="40" spans="1:8">
      <c r="A40" s="587" t="s">
        <v>714</v>
      </c>
      <c r="B40" s="586"/>
      <c r="C40" s="586"/>
      <c r="D40" s="586"/>
      <c r="E40" s="586"/>
      <c r="F40" s="586"/>
      <c r="G40" s="586"/>
      <c r="H40" s="586"/>
    </row>
    <row r="41" spans="1:8">
      <c r="A41" s="587" t="s">
        <v>715</v>
      </c>
      <c r="B41" s="586"/>
      <c r="C41" s="586"/>
      <c r="D41" s="586"/>
      <c r="E41" s="586"/>
      <c r="F41" s="586"/>
      <c r="G41" s="586"/>
      <c r="H41" s="586"/>
    </row>
    <row r="42" spans="1:8">
      <c r="A42" s="587" t="s">
        <v>716</v>
      </c>
      <c r="B42" s="586"/>
      <c r="C42" s="586"/>
      <c r="D42" s="586"/>
      <c r="E42" s="586"/>
      <c r="F42" s="586"/>
      <c r="G42" s="586"/>
      <c r="H42" s="586"/>
    </row>
    <row r="43" spans="1:8">
      <c r="A43" s="587" t="s">
        <v>717</v>
      </c>
      <c r="B43" s="586"/>
      <c r="C43" s="586"/>
      <c r="D43" s="586"/>
      <c r="E43" s="586"/>
      <c r="F43" s="586"/>
      <c r="G43" s="586"/>
      <c r="H43" s="586"/>
    </row>
    <row r="44" spans="1:8">
      <c r="A44" s="587" t="s">
        <v>718</v>
      </c>
      <c r="B44" s="586"/>
      <c r="C44" s="586"/>
      <c r="D44" s="586"/>
      <c r="E44" s="586"/>
      <c r="F44" s="586"/>
      <c r="G44" s="586"/>
      <c r="H44" s="586"/>
    </row>
    <row r="45" spans="1:8">
      <c r="A45" s="586"/>
      <c r="B45" s="586"/>
      <c r="C45" s="586"/>
      <c r="D45" s="586"/>
      <c r="E45" s="586"/>
      <c r="F45" s="586"/>
      <c r="G45" s="586"/>
      <c r="H45" s="586"/>
    </row>
    <row r="46" spans="1:8" ht="15.5">
      <c r="A46" s="588" t="s">
        <v>719</v>
      </c>
      <c r="B46" s="586"/>
      <c r="C46" s="586"/>
      <c r="D46" s="586"/>
      <c r="E46" s="586"/>
      <c r="F46" s="586"/>
      <c r="G46" s="586"/>
      <c r="H46" s="586"/>
    </row>
    <row r="47" spans="1:8">
      <c r="A47" s="586"/>
      <c r="B47" s="586"/>
      <c r="C47" s="586"/>
      <c r="D47" s="586"/>
      <c r="E47" s="586"/>
      <c r="F47" s="586"/>
      <c r="G47" s="586"/>
      <c r="H47" s="586"/>
    </row>
    <row r="48" spans="1:8">
      <c r="A48" s="587" t="s">
        <v>720</v>
      </c>
      <c r="B48" s="586"/>
      <c r="C48" s="586"/>
      <c r="D48" s="586"/>
      <c r="E48" s="586"/>
      <c r="F48" s="586"/>
      <c r="G48" s="586"/>
      <c r="H48" s="586"/>
    </row>
    <row r="49" spans="1:8">
      <c r="A49" s="587" t="s">
        <v>721</v>
      </c>
      <c r="B49" s="586"/>
      <c r="C49" s="586"/>
      <c r="D49" s="586"/>
      <c r="E49" s="586"/>
      <c r="F49" s="586"/>
      <c r="G49" s="586"/>
      <c r="H49" s="586"/>
    </row>
    <row r="50" spans="1:8">
      <c r="A50" s="587" t="s">
        <v>722</v>
      </c>
      <c r="B50" s="586"/>
      <c r="C50" s="586"/>
      <c r="D50" s="586"/>
      <c r="E50" s="586"/>
      <c r="F50" s="586"/>
      <c r="G50" s="586"/>
      <c r="H50" s="586"/>
    </row>
    <row r="51" spans="1:8">
      <c r="A51" s="587" t="s">
        <v>723</v>
      </c>
      <c r="B51" s="586"/>
      <c r="C51" s="586"/>
      <c r="D51" s="586"/>
      <c r="E51" s="586"/>
      <c r="F51" s="586"/>
      <c r="G51" s="586"/>
      <c r="H51" s="586"/>
    </row>
    <row r="52" spans="1:8">
      <c r="A52" s="586"/>
      <c r="B52" s="586"/>
      <c r="C52" s="586"/>
      <c r="D52" s="586"/>
      <c r="E52" s="586"/>
      <c r="F52" s="586"/>
      <c r="G52" s="586"/>
      <c r="H52" s="586"/>
    </row>
    <row r="53" spans="1:8">
      <c r="A53" s="587" t="s">
        <v>605</v>
      </c>
      <c r="B53" s="586"/>
      <c r="C53" s="586"/>
      <c r="D53" s="586"/>
      <c r="E53" s="586"/>
      <c r="F53" s="586"/>
      <c r="G53" s="586"/>
      <c r="H53" s="586"/>
    </row>
    <row r="54" spans="1:8">
      <c r="A54" s="586"/>
      <c r="B54" s="586"/>
      <c r="C54" s="586"/>
      <c r="D54" s="586"/>
      <c r="E54" s="586"/>
      <c r="F54" s="586"/>
      <c r="G54" s="586"/>
      <c r="H54" s="586"/>
    </row>
    <row r="55" spans="1:8" ht="15.5">
      <c r="A55" s="588" t="s">
        <v>724</v>
      </c>
      <c r="B55" s="586"/>
      <c r="C55" s="586"/>
      <c r="D55" s="586"/>
      <c r="E55" s="586"/>
      <c r="F55" s="586"/>
      <c r="G55" s="586"/>
      <c r="H55" s="586"/>
    </row>
    <row r="56" spans="1:8">
      <c r="A56" s="586"/>
      <c r="B56" s="586"/>
      <c r="C56" s="586"/>
      <c r="D56" s="586"/>
      <c r="E56" s="586"/>
      <c r="F56" s="586"/>
      <c r="G56" s="586"/>
      <c r="H56" s="586"/>
    </row>
    <row r="57" spans="1:8">
      <c r="A57" s="587" t="s">
        <v>725</v>
      </c>
      <c r="B57" s="586"/>
      <c r="C57" s="586"/>
      <c r="D57" s="586"/>
      <c r="E57" s="586"/>
      <c r="F57" s="586"/>
      <c r="G57" s="586"/>
      <c r="H57" s="586"/>
    </row>
    <row r="58" spans="1:8">
      <c r="A58" s="587" t="s">
        <v>726</v>
      </c>
      <c r="B58" s="586"/>
      <c r="C58" s="586"/>
      <c r="D58" s="586"/>
      <c r="E58" s="586"/>
      <c r="F58" s="586"/>
      <c r="G58" s="586"/>
      <c r="H58" s="586"/>
    </row>
    <row r="59" spans="1:8">
      <c r="A59" s="587" t="s">
        <v>727</v>
      </c>
      <c r="B59" s="586"/>
      <c r="C59" s="586"/>
      <c r="D59" s="586"/>
      <c r="E59" s="586"/>
      <c r="F59" s="586"/>
      <c r="G59" s="586"/>
      <c r="H59" s="586"/>
    </row>
    <row r="60" spans="1:8">
      <c r="A60" s="586"/>
      <c r="B60" s="586"/>
      <c r="C60" s="586"/>
      <c r="D60" s="586"/>
      <c r="E60" s="586"/>
      <c r="F60" s="586"/>
      <c r="G60" s="586"/>
      <c r="H60" s="586"/>
    </row>
    <row r="61" spans="1:8" ht="15.5">
      <c r="A61" s="588" t="s">
        <v>728</v>
      </c>
      <c r="B61" s="586"/>
      <c r="C61" s="586"/>
      <c r="D61" s="586"/>
      <c r="E61" s="586"/>
      <c r="F61" s="586"/>
      <c r="G61" s="586"/>
      <c r="H61" s="586"/>
    </row>
    <row r="62" spans="1:8">
      <c r="A62" s="586"/>
      <c r="B62" s="586"/>
      <c r="C62" s="586"/>
      <c r="D62" s="586"/>
      <c r="E62" s="586"/>
      <c r="F62" s="586"/>
      <c r="G62" s="586"/>
      <c r="H62" s="586"/>
    </row>
    <row r="63" spans="1:8">
      <c r="A63" s="587" t="s">
        <v>729</v>
      </c>
      <c r="B63" s="586"/>
      <c r="C63" s="586"/>
      <c r="D63" s="586"/>
      <c r="E63" s="586"/>
      <c r="F63" s="586"/>
      <c r="G63" s="586"/>
      <c r="H63" s="586"/>
    </row>
    <row r="64" spans="1:8">
      <c r="A64" s="587" t="s">
        <v>730</v>
      </c>
      <c r="B64" s="586"/>
      <c r="C64" s="586"/>
      <c r="D64" s="586"/>
      <c r="E64" s="586"/>
      <c r="F64" s="586"/>
      <c r="G64" s="586"/>
      <c r="H64" s="586"/>
    </row>
    <row r="65" spans="1:8">
      <c r="A65" s="586"/>
      <c r="B65" s="586"/>
      <c r="C65" s="586"/>
      <c r="D65" s="586"/>
      <c r="E65" s="586"/>
      <c r="F65" s="586"/>
      <c r="G65" s="586"/>
      <c r="H65" s="586"/>
    </row>
    <row r="66" spans="1:8">
      <c r="A66" s="587" t="s">
        <v>731</v>
      </c>
      <c r="B66" s="586"/>
      <c r="C66" s="586"/>
      <c r="D66" s="586"/>
      <c r="E66" s="586"/>
      <c r="F66" s="586"/>
      <c r="G66" s="586"/>
      <c r="H66" s="586"/>
    </row>
    <row r="67" spans="1:8">
      <c r="A67" s="587" t="s">
        <v>732</v>
      </c>
      <c r="B67" s="586"/>
      <c r="C67" s="586"/>
      <c r="D67" s="586"/>
      <c r="E67" s="586"/>
      <c r="F67" s="586"/>
      <c r="G67" s="586"/>
      <c r="H67" s="586"/>
    </row>
    <row r="68" spans="1:8">
      <c r="A68" s="586"/>
      <c r="B68" s="586"/>
      <c r="C68" s="586"/>
      <c r="D68" s="586"/>
      <c r="E68" s="586"/>
      <c r="F68" s="586"/>
      <c r="G68" s="586"/>
      <c r="H68" s="586"/>
    </row>
    <row r="69" spans="1:8">
      <c r="A69" s="587" t="s">
        <v>733</v>
      </c>
      <c r="B69" s="586"/>
      <c r="C69" s="586"/>
      <c r="D69" s="586"/>
      <c r="E69" s="586"/>
      <c r="F69" s="586"/>
      <c r="G69" s="586"/>
      <c r="H69" s="586"/>
    </row>
    <row r="70" spans="1:8">
      <c r="A70" s="587" t="s">
        <v>734</v>
      </c>
      <c r="B70" s="586"/>
      <c r="C70" s="586"/>
      <c r="D70" s="586"/>
      <c r="E70" s="586"/>
      <c r="F70" s="586"/>
      <c r="G70" s="586"/>
      <c r="H70" s="586"/>
    </row>
    <row r="71" spans="1:8">
      <c r="A71" s="586"/>
      <c r="B71" s="586"/>
      <c r="C71" s="586"/>
      <c r="D71" s="586"/>
      <c r="E71" s="586"/>
      <c r="F71" s="586"/>
      <c r="G71" s="586"/>
      <c r="H71" s="586"/>
    </row>
    <row r="72" spans="1:8">
      <c r="A72" s="587" t="s">
        <v>735</v>
      </c>
      <c r="B72" s="586"/>
      <c r="C72" s="586"/>
      <c r="D72" s="586"/>
      <c r="E72" s="586"/>
      <c r="F72" s="586"/>
      <c r="G72" s="586"/>
      <c r="H72" s="586"/>
    </row>
    <row r="73" spans="1:8">
      <c r="A73" s="587" t="s">
        <v>736</v>
      </c>
      <c r="B73" s="586"/>
      <c r="C73" s="586"/>
      <c r="D73" s="586"/>
      <c r="E73" s="586"/>
      <c r="F73" s="586"/>
      <c r="G73" s="586"/>
      <c r="H73" s="586"/>
    </row>
    <row r="74" spans="1:8">
      <c r="A74" s="586"/>
      <c r="B74" s="586"/>
      <c r="C74" s="586"/>
      <c r="D74" s="586"/>
      <c r="E74" s="586"/>
      <c r="F74" s="586"/>
      <c r="G74" s="586"/>
      <c r="H74" s="586"/>
    </row>
    <row r="75" spans="1:8">
      <c r="A75" s="587" t="s">
        <v>737</v>
      </c>
      <c r="B75" s="586"/>
      <c r="C75" s="586"/>
      <c r="D75" s="586"/>
      <c r="E75" s="586"/>
      <c r="F75" s="586"/>
      <c r="G75" s="586"/>
      <c r="H75" s="586"/>
    </row>
    <row r="76" spans="1:8">
      <c r="A76" s="587" t="s">
        <v>738</v>
      </c>
      <c r="B76" s="586"/>
      <c r="C76" s="586"/>
      <c r="D76" s="586"/>
      <c r="E76" s="586"/>
      <c r="F76" s="586"/>
      <c r="G76" s="586"/>
      <c r="H76" s="586"/>
    </row>
    <row r="77" spans="1:8">
      <c r="A77" s="586"/>
      <c r="B77" s="586"/>
      <c r="C77" s="586"/>
      <c r="D77" s="586"/>
      <c r="E77" s="586"/>
      <c r="F77" s="586"/>
      <c r="G77" s="586"/>
      <c r="H77" s="586"/>
    </row>
    <row r="78" spans="1:8">
      <c r="A78" s="587" t="s">
        <v>739</v>
      </c>
      <c r="B78" s="586"/>
      <c r="C78" s="586"/>
      <c r="D78" s="586"/>
      <c r="E78" s="586"/>
      <c r="F78" s="586"/>
      <c r="G78" s="586"/>
      <c r="H78" s="586"/>
    </row>
    <row r="79" spans="1:8">
      <c r="A79" s="587" t="s">
        <v>740</v>
      </c>
      <c r="B79" s="586"/>
      <c r="C79" s="586"/>
      <c r="D79" s="586"/>
      <c r="E79" s="586"/>
      <c r="F79" s="586"/>
      <c r="G79" s="586"/>
      <c r="H79" s="586"/>
    </row>
    <row r="80" spans="1:8">
      <c r="A80" s="587" t="s">
        <v>741</v>
      </c>
      <c r="B80" s="586"/>
      <c r="C80" s="586"/>
      <c r="D80" s="586"/>
      <c r="E80" s="586"/>
      <c r="F80" s="586"/>
      <c r="G80" s="586"/>
      <c r="H80" s="586"/>
    </row>
    <row r="81" spans="1:8">
      <c r="A81" s="586"/>
      <c r="B81" s="586"/>
      <c r="C81" s="586"/>
      <c r="D81" s="586"/>
      <c r="E81" s="586"/>
      <c r="F81" s="586"/>
      <c r="G81" s="586"/>
      <c r="H81" s="586"/>
    </row>
    <row r="82" spans="1:8">
      <c r="A82" s="587" t="s">
        <v>742</v>
      </c>
      <c r="B82" s="586"/>
      <c r="C82" s="586"/>
      <c r="D82" s="586"/>
      <c r="E82" s="586"/>
      <c r="F82" s="586"/>
      <c r="G82" s="586"/>
      <c r="H82" s="586"/>
    </row>
    <row r="83" spans="1:8">
      <c r="A83" s="587" t="s">
        <v>743</v>
      </c>
      <c r="B83" s="586"/>
      <c r="C83" s="586"/>
      <c r="D83" s="586"/>
      <c r="E83" s="586"/>
      <c r="F83" s="586"/>
      <c r="G83" s="586"/>
      <c r="H83" s="586"/>
    </row>
    <row r="84" spans="1:8">
      <c r="A84" s="586"/>
      <c r="B84" s="586"/>
      <c r="C84" s="586"/>
      <c r="D84" s="586"/>
      <c r="E84" s="586"/>
      <c r="F84" s="586"/>
      <c r="G84" s="586"/>
      <c r="H84" s="586"/>
    </row>
    <row r="85" spans="1:8">
      <c r="A85" s="587" t="s">
        <v>744</v>
      </c>
      <c r="B85" s="586"/>
      <c r="C85" s="586"/>
      <c r="D85" s="586"/>
      <c r="E85" s="586"/>
      <c r="F85" s="586"/>
      <c r="G85" s="586"/>
      <c r="H85" s="586"/>
    </row>
    <row r="86" spans="1:8">
      <c r="A86" s="587" t="s">
        <v>745</v>
      </c>
      <c r="B86" s="586"/>
      <c r="C86" s="586"/>
      <c r="D86" s="586"/>
      <c r="E86" s="586"/>
      <c r="F86" s="586"/>
      <c r="G86" s="586"/>
      <c r="H86" s="586"/>
    </row>
    <row r="87" spans="1:8">
      <c r="A87" s="587" t="s">
        <v>746</v>
      </c>
      <c r="B87" s="586"/>
      <c r="C87" s="586"/>
      <c r="D87" s="586"/>
      <c r="E87" s="586"/>
      <c r="F87" s="586"/>
      <c r="G87" s="586"/>
      <c r="H87" s="586"/>
    </row>
    <row r="88" spans="1:8">
      <c r="A88" s="587" t="s">
        <v>747</v>
      </c>
      <c r="B88" s="586"/>
      <c r="C88" s="586"/>
      <c r="D88" s="586"/>
      <c r="E88" s="586"/>
      <c r="F88" s="586"/>
      <c r="G88" s="586"/>
      <c r="H88" s="586"/>
    </row>
    <row r="89" spans="1:8">
      <c r="A89" s="587" t="s">
        <v>748</v>
      </c>
      <c r="B89" s="586"/>
      <c r="C89" s="586"/>
      <c r="D89" s="586"/>
      <c r="E89" s="586"/>
      <c r="F89" s="586"/>
      <c r="G89" s="586"/>
      <c r="H89" s="586"/>
    </row>
    <row r="90" spans="1:8">
      <c r="A90" s="587" t="s">
        <v>749</v>
      </c>
      <c r="B90" s="586"/>
      <c r="C90" s="586"/>
      <c r="D90" s="586"/>
      <c r="E90" s="586"/>
      <c r="F90" s="586"/>
      <c r="G90" s="586"/>
      <c r="H90" s="586"/>
    </row>
    <row r="91" spans="1:8">
      <c r="A91" s="586"/>
      <c r="B91" s="586"/>
      <c r="C91" s="586"/>
      <c r="D91" s="586"/>
      <c r="E91" s="586"/>
      <c r="F91" s="586"/>
      <c r="G91" s="586"/>
      <c r="H91" s="586"/>
    </row>
    <row r="92" spans="1:8">
      <c r="A92" s="587" t="s">
        <v>750</v>
      </c>
      <c r="B92" s="586"/>
      <c r="C92" s="586"/>
      <c r="D92" s="586"/>
      <c r="E92" s="586"/>
      <c r="F92" s="586"/>
      <c r="G92" s="586"/>
      <c r="H92" s="586"/>
    </row>
    <row r="93" spans="1:8">
      <c r="A93" s="587" t="s">
        <v>751</v>
      </c>
      <c r="B93" s="586"/>
      <c r="C93" s="586"/>
      <c r="D93" s="586"/>
      <c r="E93" s="586"/>
      <c r="F93" s="586"/>
      <c r="G93" s="586"/>
      <c r="H93" s="586"/>
    </row>
    <row r="94" spans="1:8">
      <c r="A94" s="587" t="s">
        <v>752</v>
      </c>
      <c r="B94" s="586"/>
      <c r="C94" s="586"/>
      <c r="D94" s="586"/>
      <c r="E94" s="586"/>
      <c r="F94" s="586"/>
      <c r="G94" s="586"/>
      <c r="H94" s="586"/>
    </row>
    <row r="95" spans="1:8">
      <c r="A95" s="587" t="s">
        <v>753</v>
      </c>
      <c r="B95" s="586"/>
      <c r="C95" s="586"/>
      <c r="D95" s="586"/>
      <c r="E95" s="586"/>
      <c r="F95" s="586"/>
      <c r="G95" s="586"/>
      <c r="H95" s="586"/>
    </row>
    <row r="96" spans="1:8">
      <c r="A96" s="587" t="s">
        <v>754</v>
      </c>
      <c r="B96" s="586"/>
      <c r="C96" s="586"/>
      <c r="D96" s="586"/>
      <c r="E96" s="586"/>
      <c r="F96" s="586"/>
      <c r="G96" s="586"/>
      <c r="H96" s="586"/>
    </row>
    <row r="97" spans="1:8">
      <c r="A97" s="587" t="s">
        <v>755</v>
      </c>
      <c r="B97" s="586"/>
      <c r="C97" s="586"/>
      <c r="D97" s="586"/>
      <c r="E97" s="586"/>
      <c r="F97" s="586"/>
      <c r="G97" s="586"/>
      <c r="H97" s="586"/>
    </row>
    <row r="98" spans="1:8">
      <c r="A98" s="587" t="s">
        <v>756</v>
      </c>
      <c r="B98" s="586"/>
      <c r="C98" s="586"/>
      <c r="D98" s="586"/>
      <c r="E98" s="586"/>
      <c r="F98" s="586"/>
      <c r="G98" s="586"/>
      <c r="H98" s="586"/>
    </row>
    <row r="99" spans="1:8">
      <c r="A99" s="586"/>
      <c r="B99" s="586"/>
      <c r="C99" s="586"/>
      <c r="D99" s="586"/>
      <c r="E99" s="586"/>
      <c r="F99" s="586"/>
      <c r="G99" s="586"/>
      <c r="H99" s="586"/>
    </row>
    <row r="100" spans="1:8">
      <c r="A100" s="587" t="s">
        <v>757</v>
      </c>
      <c r="B100" s="586"/>
      <c r="C100" s="586"/>
      <c r="D100" s="586"/>
      <c r="E100" s="586"/>
      <c r="F100" s="586"/>
      <c r="G100" s="586"/>
      <c r="H100" s="586"/>
    </row>
    <row r="101" spans="1:8">
      <c r="A101" s="587" t="s">
        <v>758</v>
      </c>
      <c r="B101" s="586"/>
      <c r="C101" s="586"/>
      <c r="D101" s="586"/>
      <c r="E101" s="586"/>
      <c r="F101" s="586"/>
      <c r="G101" s="586"/>
      <c r="H101" s="586"/>
    </row>
    <row r="102" spans="1:8">
      <c r="A102" s="586"/>
      <c r="B102" s="586"/>
      <c r="C102" s="586"/>
      <c r="D102" s="586"/>
      <c r="E102" s="586"/>
      <c r="F102" s="586"/>
      <c r="G102" s="586"/>
      <c r="H102" s="586"/>
    </row>
    <row r="103" spans="1:8" ht="15.5">
      <c r="A103" s="588" t="s">
        <v>759</v>
      </c>
      <c r="B103" s="586"/>
      <c r="C103" s="586"/>
      <c r="D103" s="586"/>
      <c r="E103" s="586"/>
      <c r="F103" s="586"/>
      <c r="G103" s="586"/>
      <c r="H103" s="586"/>
    </row>
    <row r="104" spans="1:8">
      <c r="A104" s="586"/>
      <c r="B104" s="586"/>
      <c r="C104" s="586"/>
      <c r="D104" s="586"/>
      <c r="E104" s="586"/>
      <c r="F104" s="586"/>
      <c r="G104" s="586"/>
      <c r="H104" s="586"/>
    </row>
    <row r="105" spans="1:8">
      <c r="A105" s="587" t="s">
        <v>760</v>
      </c>
      <c r="B105" s="586"/>
      <c r="C105" s="586"/>
      <c r="D105" s="586"/>
      <c r="E105" s="586"/>
      <c r="F105" s="586"/>
      <c r="G105" s="586"/>
      <c r="H105" s="586"/>
    </row>
    <row r="106" spans="1:8">
      <c r="A106" s="587" t="s">
        <v>761</v>
      </c>
      <c r="B106" s="586"/>
      <c r="C106" s="586"/>
      <c r="D106" s="586"/>
      <c r="E106" s="586"/>
      <c r="F106" s="586"/>
      <c r="G106" s="586"/>
      <c r="H106" s="586"/>
    </row>
    <row r="107" spans="1:8">
      <c r="A107" s="587" t="s">
        <v>762</v>
      </c>
      <c r="B107" s="586"/>
      <c r="C107" s="586"/>
      <c r="D107" s="586"/>
      <c r="E107" s="586"/>
      <c r="F107" s="586"/>
      <c r="G107" s="586"/>
      <c r="H107" s="586"/>
    </row>
    <row r="108" spans="1:8">
      <c r="A108" s="587" t="s">
        <v>763</v>
      </c>
      <c r="B108" s="586"/>
      <c r="C108" s="586"/>
      <c r="D108" s="586"/>
      <c r="E108" s="586"/>
      <c r="F108" s="586"/>
      <c r="G108" s="586"/>
      <c r="H108" s="586"/>
    </row>
    <row r="109" spans="1:8">
      <c r="A109" s="587" t="s">
        <v>764</v>
      </c>
      <c r="B109" s="586"/>
      <c r="C109" s="586"/>
      <c r="D109" s="586"/>
      <c r="E109" s="586"/>
      <c r="F109" s="586"/>
      <c r="G109" s="586"/>
      <c r="H109" s="586"/>
    </row>
    <row r="110" spans="1:8">
      <c r="A110" s="587" t="s">
        <v>765</v>
      </c>
      <c r="B110" s="586"/>
      <c r="C110" s="586"/>
      <c r="D110" s="586"/>
      <c r="E110" s="586"/>
      <c r="F110" s="586"/>
      <c r="G110" s="586"/>
      <c r="H110" s="586"/>
    </row>
    <row r="111" spans="1:8">
      <c r="A111" s="587" t="s">
        <v>766</v>
      </c>
      <c r="B111" s="586"/>
      <c r="C111" s="586"/>
      <c r="D111" s="586"/>
      <c r="E111" s="586"/>
      <c r="F111" s="586"/>
      <c r="G111" s="586"/>
      <c r="H111" s="586"/>
    </row>
    <row r="112" spans="1:8">
      <c r="A112" s="587" t="s">
        <v>767</v>
      </c>
      <c r="B112" s="586"/>
      <c r="C112" s="586"/>
      <c r="D112" s="586"/>
      <c r="E112" s="586"/>
      <c r="F112" s="586"/>
      <c r="G112" s="586"/>
      <c r="H112" s="586"/>
    </row>
    <row r="113" spans="1:8">
      <c r="A113" s="587" t="s">
        <v>768</v>
      </c>
      <c r="B113" s="586"/>
      <c r="C113" s="586"/>
      <c r="D113" s="586"/>
      <c r="E113" s="586"/>
      <c r="F113" s="586"/>
      <c r="G113" s="586"/>
      <c r="H113" s="586"/>
    </row>
    <row r="114" spans="1:8">
      <c r="A114" s="586"/>
      <c r="B114" s="586"/>
      <c r="C114" s="586"/>
      <c r="D114" s="586"/>
      <c r="E114" s="586"/>
      <c r="F114" s="586"/>
      <c r="G114" s="586"/>
      <c r="H114" s="586"/>
    </row>
    <row r="115" spans="1:8" ht="15.5">
      <c r="A115" s="588" t="s">
        <v>769</v>
      </c>
      <c r="B115" s="586"/>
      <c r="C115" s="586"/>
      <c r="D115" s="586"/>
      <c r="E115" s="586"/>
      <c r="F115" s="586"/>
      <c r="G115" s="586"/>
      <c r="H115" s="586"/>
    </row>
    <row r="116" spans="1:8">
      <c r="A116" s="586"/>
      <c r="B116" s="586"/>
      <c r="C116" s="586"/>
      <c r="D116" s="586"/>
      <c r="E116" s="586"/>
      <c r="F116" s="586"/>
      <c r="G116" s="586"/>
      <c r="H116" s="586"/>
    </row>
    <row r="117" spans="1:8">
      <c r="A117" s="587" t="s">
        <v>770</v>
      </c>
      <c r="B117" s="586"/>
      <c r="C117" s="586"/>
      <c r="D117" s="586"/>
      <c r="E117" s="586"/>
      <c r="F117" s="586"/>
      <c r="G117" s="586"/>
      <c r="H117" s="586"/>
    </row>
    <row r="118" spans="1:8">
      <c r="A118" s="586"/>
      <c r="B118" s="586"/>
      <c r="C118" s="586"/>
      <c r="D118" s="586"/>
      <c r="E118" s="586"/>
      <c r="F118" s="586"/>
      <c r="G118" s="586"/>
      <c r="H118" s="586"/>
    </row>
    <row r="119" spans="1:8">
      <c r="A119" s="587" t="s">
        <v>771</v>
      </c>
      <c r="B119" s="586"/>
      <c r="C119" s="586"/>
      <c r="D119" s="586"/>
      <c r="E119" s="586"/>
      <c r="F119" s="586"/>
      <c r="G119" s="586"/>
      <c r="H119" s="586"/>
    </row>
    <row r="120" spans="1:8">
      <c r="A120" s="587" t="s">
        <v>772</v>
      </c>
      <c r="B120" s="586"/>
      <c r="C120" s="586"/>
      <c r="D120" s="586"/>
      <c r="E120" s="586"/>
      <c r="F120" s="586"/>
      <c r="G120" s="586"/>
      <c r="H120" s="586"/>
    </row>
    <row r="121" spans="1:8">
      <c r="A121" s="586"/>
      <c r="B121" s="586"/>
      <c r="C121" s="586"/>
      <c r="D121" s="586"/>
      <c r="E121" s="586"/>
      <c r="F121" s="586"/>
      <c r="G121" s="586"/>
      <c r="H121" s="586"/>
    </row>
    <row r="122" spans="1:8">
      <c r="A122" s="587" t="s">
        <v>773</v>
      </c>
      <c r="B122" s="586"/>
      <c r="C122" s="586"/>
      <c r="D122" s="586"/>
      <c r="E122" s="586"/>
      <c r="F122" s="586"/>
      <c r="G122" s="586"/>
      <c r="H122" s="586"/>
    </row>
    <row r="123" spans="1:8">
      <c r="A123" s="587" t="s">
        <v>774</v>
      </c>
      <c r="B123" s="586"/>
      <c r="C123" s="586"/>
      <c r="D123" s="586"/>
      <c r="E123" s="586"/>
      <c r="F123" s="586"/>
      <c r="G123" s="586"/>
      <c r="H123" s="586"/>
    </row>
    <row r="124" spans="1:8">
      <c r="A124" s="587" t="s">
        <v>775</v>
      </c>
      <c r="B124" s="586"/>
      <c r="C124" s="586"/>
      <c r="D124" s="586"/>
      <c r="E124" s="586"/>
      <c r="F124" s="586"/>
      <c r="G124" s="586"/>
      <c r="H124" s="586"/>
    </row>
    <row r="125" spans="1:8">
      <c r="A125" s="587" t="s">
        <v>776</v>
      </c>
      <c r="B125" s="586"/>
      <c r="C125" s="586"/>
      <c r="D125" s="586"/>
      <c r="E125" s="586"/>
      <c r="F125" s="586"/>
      <c r="G125" s="586"/>
      <c r="H125" s="586"/>
    </row>
    <row r="126" spans="1:8">
      <c r="A126" s="587" t="s">
        <v>777</v>
      </c>
      <c r="B126" s="586"/>
      <c r="C126" s="586"/>
      <c r="D126" s="586"/>
      <c r="E126" s="586"/>
      <c r="F126" s="586"/>
      <c r="G126" s="586"/>
      <c r="H126" s="586"/>
    </row>
    <row r="127" spans="1:8">
      <c r="A127" s="587" t="s">
        <v>778</v>
      </c>
      <c r="B127" s="586"/>
      <c r="C127" s="586"/>
      <c r="D127" s="586"/>
      <c r="E127" s="586"/>
      <c r="F127" s="586"/>
      <c r="G127" s="586"/>
      <c r="H127" s="586"/>
    </row>
    <row r="128" spans="1:8">
      <c r="A128" s="587" t="s">
        <v>779</v>
      </c>
      <c r="B128" s="586"/>
      <c r="C128" s="586"/>
      <c r="D128" s="586"/>
      <c r="E128" s="586"/>
      <c r="F128" s="586"/>
      <c r="G128" s="586"/>
      <c r="H128" s="586"/>
    </row>
    <row r="129" spans="1:8">
      <c r="A129" s="586"/>
      <c r="B129" s="586"/>
      <c r="C129" s="586"/>
      <c r="D129" s="586"/>
      <c r="E129" s="586"/>
      <c r="F129" s="586"/>
      <c r="G129" s="586"/>
      <c r="H129" s="586"/>
    </row>
    <row r="130" spans="1:8">
      <c r="A130" s="589"/>
      <c r="B130" s="594" t="s">
        <v>780</v>
      </c>
      <c r="C130" s="594"/>
      <c r="D130" s="594" t="s">
        <v>781</v>
      </c>
      <c r="E130" s="594"/>
      <c r="F130" s="594"/>
      <c r="G130" s="594" t="s">
        <v>782</v>
      </c>
      <c r="H130" s="594"/>
    </row>
    <row r="131" spans="1:8">
      <c r="A131" s="589" t="s">
        <v>783</v>
      </c>
      <c r="B131" s="589" t="s">
        <v>784</v>
      </c>
      <c r="C131" s="589" t="s">
        <v>785</v>
      </c>
      <c r="D131" s="589" t="s">
        <v>784</v>
      </c>
      <c r="E131" s="589" t="s">
        <v>786</v>
      </c>
      <c r="F131" s="589" t="s">
        <v>787</v>
      </c>
      <c r="G131" s="589" t="s">
        <v>784</v>
      </c>
      <c r="H131" s="589" t="s">
        <v>788</v>
      </c>
    </row>
    <row r="132" spans="1:8">
      <c r="A132" s="589" t="s">
        <v>789</v>
      </c>
      <c r="B132" s="589">
        <v>1519</v>
      </c>
      <c r="C132" s="589">
        <v>0.41</v>
      </c>
      <c r="D132" s="589">
        <v>415</v>
      </c>
      <c r="E132" s="589">
        <v>0.48</v>
      </c>
      <c r="F132" s="589">
        <v>0.27</v>
      </c>
      <c r="G132" s="589">
        <v>674</v>
      </c>
      <c r="H132" s="589">
        <v>0.42</v>
      </c>
    </row>
    <row r="133" spans="1:8">
      <c r="A133" s="589" t="s">
        <v>790</v>
      </c>
      <c r="B133" s="589">
        <v>1583</v>
      </c>
      <c r="C133" s="589">
        <v>0.43</v>
      </c>
      <c r="D133" s="589">
        <v>362</v>
      </c>
      <c r="E133" s="589">
        <v>0.42</v>
      </c>
      <c r="F133" s="589">
        <v>0.23</v>
      </c>
      <c r="G133" s="589">
        <v>720</v>
      </c>
      <c r="H133" s="589">
        <v>0.45</v>
      </c>
    </row>
    <row r="134" spans="1:8">
      <c r="A134" s="589" t="s">
        <v>791</v>
      </c>
      <c r="B134" s="589">
        <v>4</v>
      </c>
      <c r="C134" s="589">
        <v>0</v>
      </c>
      <c r="D134" s="589">
        <v>1</v>
      </c>
      <c r="E134" s="589">
        <v>0</v>
      </c>
      <c r="F134" s="589">
        <v>0.25</v>
      </c>
      <c r="G134" s="589">
        <v>1</v>
      </c>
      <c r="H134" s="589">
        <v>0</v>
      </c>
    </row>
    <row r="135" spans="1:8">
      <c r="A135" s="589" t="s">
        <v>792</v>
      </c>
      <c r="B135" s="589">
        <v>564</v>
      </c>
      <c r="C135" s="589">
        <v>0.15</v>
      </c>
      <c r="D135" s="589">
        <v>87</v>
      </c>
      <c r="E135" s="589">
        <v>0.1</v>
      </c>
      <c r="F135" s="589">
        <v>0.15</v>
      </c>
      <c r="G135" s="589">
        <v>216</v>
      </c>
      <c r="H135" s="589">
        <v>0.13</v>
      </c>
    </row>
    <row r="136" spans="1:8">
      <c r="A136" s="589" t="s">
        <v>11</v>
      </c>
      <c r="B136" s="589">
        <v>3670</v>
      </c>
      <c r="C136" s="589"/>
      <c r="D136" s="589">
        <v>865</v>
      </c>
      <c r="E136" s="589"/>
      <c r="F136" s="589"/>
      <c r="G136" s="589">
        <v>1611</v>
      </c>
      <c r="H136" s="589"/>
    </row>
    <row r="137" spans="1:8">
      <c r="A137" s="586"/>
      <c r="B137" s="586"/>
      <c r="C137" s="586"/>
      <c r="D137" s="586"/>
      <c r="E137" s="586"/>
      <c r="F137" s="586"/>
      <c r="G137" s="586"/>
      <c r="H137" s="586"/>
    </row>
    <row r="138" spans="1:8">
      <c r="A138" s="587" t="s">
        <v>793</v>
      </c>
      <c r="B138" s="586"/>
      <c r="C138" s="586"/>
      <c r="D138" s="586"/>
      <c r="E138" s="586"/>
      <c r="F138" s="586"/>
      <c r="G138" s="586"/>
      <c r="H138" s="586"/>
    </row>
    <row r="139" spans="1:8">
      <c r="A139" s="587" t="s">
        <v>794</v>
      </c>
      <c r="B139" s="586"/>
      <c r="C139" s="586"/>
      <c r="D139" s="586"/>
      <c r="E139" s="586"/>
      <c r="F139" s="586"/>
      <c r="G139" s="586"/>
      <c r="H139" s="586"/>
    </row>
    <row r="140" spans="1:8">
      <c r="A140" s="587" t="s">
        <v>795</v>
      </c>
      <c r="B140" s="586"/>
      <c r="C140" s="586"/>
      <c r="D140" s="586"/>
      <c r="E140" s="586"/>
      <c r="F140" s="586"/>
      <c r="G140" s="586"/>
      <c r="H140" s="586"/>
    </row>
    <row r="141" spans="1:8">
      <c r="A141" s="587" t="s">
        <v>796</v>
      </c>
      <c r="B141" s="586"/>
      <c r="C141" s="586"/>
      <c r="D141" s="586"/>
      <c r="E141" s="586"/>
      <c r="F141" s="586"/>
      <c r="G141" s="586"/>
      <c r="H141" s="586"/>
    </row>
    <row r="142" spans="1:8">
      <c r="A142" s="586"/>
      <c r="B142" s="586"/>
      <c r="C142" s="586"/>
      <c r="D142" s="586"/>
      <c r="E142" s="586"/>
      <c r="F142" s="586"/>
      <c r="G142" s="586"/>
      <c r="H142" s="586"/>
    </row>
    <row r="143" spans="1:8" ht="15.5">
      <c r="A143" s="588" t="s">
        <v>797</v>
      </c>
      <c r="B143" s="586"/>
      <c r="C143" s="586"/>
      <c r="D143" s="586"/>
      <c r="E143" s="586"/>
      <c r="F143" s="586"/>
      <c r="G143" s="586"/>
      <c r="H143" s="586"/>
    </row>
    <row r="144" spans="1:8">
      <c r="A144" s="586"/>
      <c r="B144" s="586"/>
      <c r="C144" s="586"/>
      <c r="D144" s="586"/>
      <c r="E144" s="586"/>
      <c r="F144" s="586"/>
      <c r="G144" s="586"/>
      <c r="H144" s="586"/>
    </row>
    <row r="145" spans="1:8">
      <c r="A145" s="587" t="s">
        <v>798</v>
      </c>
      <c r="B145" s="586"/>
      <c r="C145" s="586"/>
      <c r="D145" s="586"/>
      <c r="E145" s="586"/>
      <c r="F145" s="586"/>
      <c r="G145" s="586"/>
      <c r="H145" s="586"/>
    </row>
    <row r="146" spans="1:8">
      <c r="A146" s="587" t="s">
        <v>799</v>
      </c>
      <c r="B146" s="586"/>
      <c r="C146" s="586"/>
      <c r="D146" s="586"/>
      <c r="E146" s="586"/>
      <c r="F146" s="586"/>
      <c r="G146" s="586"/>
      <c r="H146" s="586"/>
    </row>
    <row r="147" spans="1:8">
      <c r="A147" s="586"/>
      <c r="B147" s="586"/>
      <c r="C147" s="586"/>
      <c r="D147" s="586"/>
      <c r="E147" s="586"/>
      <c r="F147" s="586"/>
      <c r="G147" s="586"/>
      <c r="H147" s="586"/>
    </row>
    <row r="148" spans="1:8">
      <c r="A148" s="587" t="s">
        <v>800</v>
      </c>
      <c r="B148" s="586"/>
      <c r="C148" s="586"/>
      <c r="D148" s="586"/>
      <c r="E148" s="586"/>
      <c r="F148" s="586"/>
      <c r="G148" s="586"/>
      <c r="H148" s="586"/>
    </row>
    <row r="149" spans="1:8">
      <c r="A149" s="587" t="s">
        <v>801</v>
      </c>
      <c r="B149" s="586"/>
      <c r="C149" s="586"/>
      <c r="D149" s="586"/>
      <c r="E149" s="586"/>
      <c r="F149" s="586"/>
      <c r="G149" s="586"/>
      <c r="H149" s="586"/>
    </row>
    <row r="150" spans="1:8">
      <c r="A150" s="587" t="s">
        <v>802</v>
      </c>
      <c r="B150" s="586"/>
      <c r="C150" s="586"/>
      <c r="D150" s="586"/>
      <c r="E150" s="586"/>
      <c r="F150" s="586"/>
      <c r="G150" s="586"/>
      <c r="H150" s="586"/>
    </row>
    <row r="151" spans="1:8">
      <c r="A151" s="586"/>
      <c r="B151" s="586"/>
      <c r="C151" s="586"/>
      <c r="D151" s="586"/>
      <c r="E151" s="586"/>
      <c r="F151" s="586"/>
      <c r="G151" s="586"/>
      <c r="H151" s="586"/>
    </row>
    <row r="152" spans="1:8">
      <c r="A152" s="587" t="s">
        <v>803</v>
      </c>
      <c r="B152" s="586"/>
      <c r="C152" s="586"/>
      <c r="D152" s="586"/>
      <c r="E152" s="586"/>
      <c r="F152" s="586"/>
      <c r="G152" s="586"/>
      <c r="H152" s="586"/>
    </row>
    <row r="153" spans="1:8">
      <c r="A153" s="587" t="s">
        <v>804</v>
      </c>
      <c r="B153" s="586"/>
      <c r="C153" s="586"/>
      <c r="D153" s="586"/>
      <c r="E153" s="586"/>
      <c r="F153" s="586"/>
      <c r="G153" s="586"/>
      <c r="H153" s="586"/>
    </row>
    <row r="154" spans="1:8">
      <c r="A154" s="587" t="s">
        <v>805</v>
      </c>
      <c r="B154" s="586"/>
      <c r="C154" s="586"/>
      <c r="D154" s="586"/>
      <c r="E154" s="586"/>
      <c r="F154" s="586"/>
      <c r="G154" s="586"/>
      <c r="H154" s="586"/>
    </row>
    <row r="155" spans="1:8">
      <c r="A155" s="586"/>
      <c r="B155" s="586"/>
      <c r="C155" s="586"/>
      <c r="D155" s="586"/>
      <c r="E155" s="586"/>
      <c r="F155" s="586"/>
      <c r="G155" s="586"/>
      <c r="H155" s="586"/>
    </row>
    <row r="156" spans="1:8">
      <c r="A156" s="587" t="s">
        <v>806</v>
      </c>
      <c r="B156" s="586"/>
      <c r="C156" s="586"/>
      <c r="D156" s="586"/>
      <c r="E156" s="586"/>
      <c r="F156" s="586"/>
      <c r="G156" s="586"/>
      <c r="H156" s="586"/>
    </row>
    <row r="157" spans="1:8">
      <c r="A157" s="587" t="s">
        <v>807</v>
      </c>
      <c r="B157" s="586"/>
      <c r="C157" s="586"/>
      <c r="D157" s="586"/>
      <c r="E157" s="586"/>
      <c r="F157" s="586"/>
      <c r="G157" s="586"/>
      <c r="H157" s="586"/>
    </row>
    <row r="158" spans="1:8">
      <c r="A158" s="587" t="s">
        <v>808</v>
      </c>
      <c r="B158" s="586"/>
      <c r="C158" s="586"/>
      <c r="D158" s="586"/>
      <c r="E158" s="586"/>
      <c r="F158" s="586"/>
      <c r="G158" s="586"/>
      <c r="H158" s="586"/>
    </row>
    <row r="159" spans="1:8">
      <c r="A159" s="586"/>
      <c r="B159" s="586"/>
      <c r="C159" s="586"/>
      <c r="D159" s="586"/>
      <c r="E159" s="586"/>
      <c r="F159" s="586"/>
      <c r="G159" s="586"/>
      <c r="H159" s="586"/>
    </row>
    <row r="160" spans="1:8">
      <c r="A160" s="587" t="s">
        <v>809</v>
      </c>
      <c r="B160" s="586"/>
      <c r="C160" s="586"/>
      <c r="D160" s="586"/>
      <c r="E160" s="586"/>
      <c r="F160" s="586"/>
      <c r="G160" s="586"/>
      <c r="H160" s="586"/>
    </row>
    <row r="161" spans="1:8">
      <c r="A161" s="587" t="s">
        <v>810</v>
      </c>
      <c r="B161" s="586"/>
      <c r="C161" s="586"/>
      <c r="D161" s="586"/>
      <c r="E161" s="586"/>
      <c r="F161" s="586"/>
      <c r="G161" s="586"/>
      <c r="H161" s="586"/>
    </row>
    <row r="162" spans="1:8">
      <c r="A162" s="586"/>
      <c r="B162" s="586"/>
      <c r="C162" s="586"/>
      <c r="D162" s="586"/>
      <c r="E162" s="586"/>
      <c r="F162" s="586"/>
      <c r="G162" s="586"/>
      <c r="H162" s="586"/>
    </row>
    <row r="163" spans="1:8" ht="15.5">
      <c r="A163" s="588" t="s">
        <v>811</v>
      </c>
      <c r="B163" s="586"/>
      <c r="C163" s="586"/>
      <c r="D163" s="586"/>
      <c r="E163" s="586"/>
      <c r="F163" s="586"/>
      <c r="G163" s="586"/>
      <c r="H163" s="586"/>
    </row>
    <row r="164" spans="1:8">
      <c r="A164" s="586"/>
      <c r="B164" s="586"/>
      <c r="C164" s="586"/>
      <c r="D164" s="586"/>
      <c r="E164" s="586"/>
      <c r="F164" s="586"/>
      <c r="G164" s="586"/>
      <c r="H164" s="586"/>
    </row>
    <row r="165" spans="1:8">
      <c r="A165" s="587" t="s">
        <v>812</v>
      </c>
      <c r="B165" s="586"/>
      <c r="C165" s="586"/>
      <c r="D165" s="586"/>
      <c r="E165" s="586"/>
      <c r="F165" s="586"/>
      <c r="G165" s="586"/>
      <c r="H165" s="586"/>
    </row>
    <row r="166" spans="1:8">
      <c r="A166" s="587" t="s">
        <v>813</v>
      </c>
      <c r="B166" s="586"/>
      <c r="C166" s="586"/>
      <c r="D166" s="586"/>
      <c r="E166" s="586"/>
      <c r="F166" s="586"/>
      <c r="G166" s="586"/>
      <c r="H166" s="586"/>
    </row>
    <row r="167" spans="1:8">
      <c r="A167" s="586"/>
      <c r="B167" s="586"/>
      <c r="C167" s="586"/>
      <c r="D167" s="586"/>
      <c r="E167" s="586"/>
      <c r="F167" s="586"/>
      <c r="G167" s="586"/>
      <c r="H167" s="586"/>
    </row>
    <row r="168" spans="1:8">
      <c r="A168" s="587" t="s">
        <v>814</v>
      </c>
      <c r="B168" s="586"/>
      <c r="C168" s="586"/>
      <c r="D168" s="586"/>
      <c r="E168" s="586"/>
      <c r="F168" s="586"/>
      <c r="G168" s="586"/>
      <c r="H168" s="586"/>
    </row>
    <row r="169" spans="1:8">
      <c r="A169" s="587" t="s">
        <v>815</v>
      </c>
      <c r="B169" s="586"/>
      <c r="C169" s="586"/>
      <c r="D169" s="586"/>
      <c r="E169" s="586"/>
      <c r="F169" s="586"/>
      <c r="G169" s="586"/>
      <c r="H169" s="586"/>
    </row>
    <row r="170" spans="1:8">
      <c r="A170" s="586"/>
      <c r="B170" s="586"/>
      <c r="C170" s="586"/>
      <c r="D170" s="586"/>
      <c r="E170" s="586"/>
      <c r="F170" s="586"/>
      <c r="G170" s="586"/>
      <c r="H170" s="586"/>
    </row>
    <row r="171" spans="1:8">
      <c r="A171" s="587" t="s">
        <v>816</v>
      </c>
      <c r="B171" s="586"/>
      <c r="C171" s="586"/>
      <c r="D171" s="586"/>
      <c r="E171" s="586"/>
      <c r="F171" s="586"/>
      <c r="G171" s="586"/>
      <c r="H171" s="586"/>
    </row>
    <row r="172" spans="1:8">
      <c r="A172" s="587" t="s">
        <v>817</v>
      </c>
      <c r="B172" s="586"/>
      <c r="C172" s="586"/>
      <c r="D172" s="586"/>
      <c r="E172" s="586"/>
      <c r="F172" s="586"/>
      <c r="G172" s="586"/>
      <c r="H172" s="586"/>
    </row>
    <row r="173" spans="1:8">
      <c r="A173" s="586"/>
      <c r="B173" s="586"/>
      <c r="C173" s="586"/>
      <c r="D173" s="586"/>
      <c r="E173" s="586"/>
      <c r="F173" s="586"/>
      <c r="G173" s="586"/>
      <c r="H173" s="586"/>
    </row>
    <row r="174" spans="1:8">
      <c r="A174" s="587" t="s">
        <v>818</v>
      </c>
      <c r="B174" s="586"/>
      <c r="C174" s="586"/>
      <c r="D174" s="586"/>
      <c r="E174" s="586"/>
      <c r="F174" s="586"/>
      <c r="G174" s="586"/>
      <c r="H174" s="586"/>
    </row>
    <row r="175" spans="1:8">
      <c r="A175" s="587" t="s">
        <v>819</v>
      </c>
      <c r="B175" s="586"/>
      <c r="C175" s="586"/>
      <c r="D175" s="586"/>
      <c r="E175" s="586"/>
      <c r="F175" s="586"/>
      <c r="G175" s="586"/>
      <c r="H175" s="586"/>
    </row>
    <row r="176" spans="1:8">
      <c r="A176" s="587" t="s">
        <v>820</v>
      </c>
      <c r="B176" s="586"/>
      <c r="C176" s="586"/>
      <c r="D176" s="586"/>
      <c r="E176" s="586"/>
      <c r="F176" s="586"/>
      <c r="G176" s="586"/>
      <c r="H176" s="586"/>
    </row>
    <row r="177" spans="1:8">
      <c r="A177" s="586"/>
      <c r="B177" s="586"/>
      <c r="C177" s="586"/>
      <c r="D177" s="586"/>
      <c r="E177" s="586"/>
      <c r="F177" s="586"/>
      <c r="G177" s="586"/>
      <c r="H177" s="586"/>
    </row>
    <row r="178" spans="1:8">
      <c r="A178" s="587" t="s">
        <v>605</v>
      </c>
      <c r="B178" s="586"/>
      <c r="C178" s="586"/>
      <c r="D178" s="586"/>
      <c r="E178" s="586"/>
      <c r="F178" s="586"/>
      <c r="G178" s="586"/>
      <c r="H178" s="586"/>
    </row>
    <row r="179" spans="1:8">
      <c r="A179" s="586"/>
      <c r="B179" s="586"/>
      <c r="C179" s="586"/>
      <c r="D179" s="586"/>
      <c r="E179" s="586"/>
      <c r="F179" s="586"/>
      <c r="G179" s="586"/>
      <c r="H179" s="586"/>
    </row>
    <row r="180" spans="1:8" ht="15.5">
      <c r="A180" s="588" t="s">
        <v>821</v>
      </c>
      <c r="B180" s="586"/>
      <c r="C180" s="586"/>
      <c r="D180" s="586"/>
      <c r="E180" s="586"/>
      <c r="F180" s="586"/>
      <c r="G180" s="586"/>
      <c r="H180" s="586"/>
    </row>
    <row r="181" spans="1:8">
      <c r="A181" s="586"/>
      <c r="B181" s="586"/>
      <c r="C181" s="586"/>
      <c r="D181" s="586"/>
      <c r="E181" s="586"/>
      <c r="F181" s="586"/>
      <c r="G181" s="586"/>
      <c r="H181" s="586"/>
    </row>
    <row r="182" spans="1:8">
      <c r="A182" s="586"/>
      <c r="B182" s="586"/>
      <c r="C182" s="586"/>
      <c r="D182" s="586"/>
      <c r="E182" s="586"/>
      <c r="F182" s="586"/>
      <c r="G182" s="586"/>
      <c r="H182" s="586"/>
    </row>
    <row r="183" spans="1:8">
      <c r="A183" s="586"/>
      <c r="B183" s="586"/>
      <c r="C183" s="586"/>
      <c r="D183" s="586"/>
      <c r="E183" s="586"/>
      <c r="F183" s="586"/>
      <c r="G183" s="586"/>
      <c r="H183" s="586"/>
    </row>
    <row r="184" spans="1:8">
      <c r="A184" s="586"/>
      <c r="B184" s="586"/>
      <c r="C184" s="586"/>
      <c r="D184" s="586"/>
      <c r="E184" s="586"/>
      <c r="F184" s="586"/>
      <c r="G184" s="586"/>
      <c r="H184" s="586"/>
    </row>
    <row r="185" spans="1:8">
      <c r="A185" s="586"/>
      <c r="B185" s="586"/>
      <c r="C185" s="586"/>
      <c r="D185" s="586"/>
      <c r="E185" s="586"/>
      <c r="F185" s="586"/>
      <c r="G185" s="586"/>
      <c r="H185" s="586"/>
    </row>
    <row r="186" spans="1:8">
      <c r="A186" s="586"/>
      <c r="B186" s="586"/>
      <c r="C186" s="586"/>
      <c r="D186" s="586"/>
      <c r="E186" s="586"/>
      <c r="F186" s="586"/>
      <c r="G186" s="586"/>
      <c r="H186" s="586"/>
    </row>
    <row r="187" spans="1:8">
      <c r="A187" s="586"/>
      <c r="B187" s="586"/>
      <c r="C187" s="586"/>
      <c r="D187" s="586"/>
      <c r="E187" s="586"/>
      <c r="F187" s="586"/>
      <c r="G187" s="586"/>
      <c r="H187" s="586"/>
    </row>
    <row r="188" spans="1:8">
      <c r="A188" s="586"/>
      <c r="B188" s="586"/>
      <c r="C188" s="586"/>
      <c r="D188" s="586"/>
      <c r="E188" s="586"/>
      <c r="F188" s="586"/>
      <c r="G188" s="586"/>
      <c r="H188" s="586"/>
    </row>
    <row r="189" spans="1:8">
      <c r="A189" s="586"/>
      <c r="B189" s="586"/>
      <c r="C189" s="586"/>
      <c r="D189" s="586"/>
      <c r="E189" s="586"/>
      <c r="F189" s="586"/>
      <c r="G189" s="586"/>
      <c r="H189" s="586"/>
    </row>
    <row r="190" spans="1:8">
      <c r="A190" s="586"/>
      <c r="B190" s="586"/>
      <c r="C190" s="586"/>
      <c r="D190" s="586"/>
      <c r="E190" s="586"/>
      <c r="F190" s="586"/>
      <c r="G190" s="586"/>
      <c r="H190" s="586"/>
    </row>
    <row r="191" spans="1:8">
      <c r="A191" s="586"/>
      <c r="B191" s="586"/>
      <c r="C191" s="586"/>
      <c r="D191" s="586"/>
      <c r="E191" s="586"/>
      <c r="F191" s="586"/>
      <c r="G191" s="586"/>
      <c r="H191" s="586"/>
    </row>
    <row r="192" spans="1:8">
      <c r="A192" s="586"/>
      <c r="B192" s="586"/>
      <c r="C192" s="586"/>
      <c r="D192" s="586"/>
      <c r="E192" s="586"/>
      <c r="F192" s="586"/>
      <c r="G192" s="586"/>
      <c r="H192" s="586"/>
    </row>
    <row r="193" spans="1:8">
      <c r="A193" s="586"/>
      <c r="B193" s="586"/>
      <c r="C193" s="586"/>
      <c r="D193" s="586"/>
      <c r="E193" s="586"/>
      <c r="F193" s="586"/>
      <c r="G193" s="586"/>
      <c r="H193" s="586"/>
    </row>
    <row r="194" spans="1:8">
      <c r="A194" s="586"/>
      <c r="B194" s="586"/>
      <c r="C194" s="586"/>
      <c r="D194" s="586"/>
      <c r="E194" s="586"/>
      <c r="F194" s="586"/>
      <c r="G194" s="586"/>
      <c r="H194" s="586"/>
    </row>
    <row r="195" spans="1:8">
      <c r="A195" s="586"/>
      <c r="B195" s="586"/>
      <c r="C195" s="586"/>
      <c r="D195" s="586"/>
      <c r="E195" s="586"/>
      <c r="F195" s="586"/>
      <c r="G195" s="586"/>
      <c r="H195" s="586"/>
    </row>
    <row r="196" spans="1:8">
      <c r="A196" s="586"/>
      <c r="B196" s="586"/>
      <c r="C196" s="586"/>
      <c r="D196" s="586"/>
      <c r="E196" s="586"/>
      <c r="F196" s="586"/>
      <c r="G196" s="586"/>
      <c r="H196" s="586"/>
    </row>
    <row r="197" spans="1:8">
      <c r="A197" s="586"/>
      <c r="B197" s="586"/>
      <c r="C197" s="586"/>
      <c r="D197" s="586"/>
      <c r="E197" s="586"/>
      <c r="F197" s="586"/>
      <c r="G197" s="586"/>
      <c r="H197" s="586"/>
    </row>
    <row r="198" spans="1:8">
      <c r="A198" s="586"/>
      <c r="B198" s="586"/>
      <c r="C198" s="586"/>
      <c r="D198" s="586"/>
      <c r="E198" s="586"/>
      <c r="F198" s="586"/>
      <c r="G198" s="586"/>
      <c r="H198" s="586"/>
    </row>
    <row r="199" spans="1:8">
      <c r="A199" s="586"/>
      <c r="B199" s="586"/>
      <c r="C199" s="586"/>
      <c r="D199" s="586"/>
      <c r="E199" s="586"/>
      <c r="F199" s="586"/>
      <c r="G199" s="586"/>
      <c r="H199" s="586"/>
    </row>
    <row r="200" spans="1:8">
      <c r="A200" s="586"/>
      <c r="B200" s="586"/>
      <c r="C200" s="586"/>
      <c r="D200" s="586"/>
      <c r="E200" s="586"/>
      <c r="F200" s="586"/>
      <c r="G200" s="586"/>
      <c r="H200" s="586"/>
    </row>
    <row r="201" spans="1:8">
      <c r="A201" s="586"/>
      <c r="B201" s="586"/>
      <c r="C201" s="586"/>
      <c r="D201" s="586"/>
      <c r="E201" s="586"/>
      <c r="F201" s="586"/>
      <c r="G201" s="586"/>
      <c r="H201" s="586"/>
    </row>
    <row r="202" spans="1:8">
      <c r="A202" s="586"/>
      <c r="B202" s="586"/>
      <c r="C202" s="586"/>
      <c r="D202" s="586"/>
      <c r="E202" s="586"/>
      <c r="F202" s="586"/>
      <c r="G202" s="586"/>
      <c r="H202" s="586"/>
    </row>
    <row r="203" spans="1:8">
      <c r="A203" s="586"/>
      <c r="B203" s="586"/>
      <c r="C203" s="586"/>
      <c r="D203" s="586"/>
      <c r="E203" s="586"/>
      <c r="F203" s="586"/>
      <c r="G203" s="586"/>
      <c r="H203" s="586"/>
    </row>
    <row r="204" spans="1:8" ht="15.5">
      <c r="A204" s="588" t="s">
        <v>822</v>
      </c>
      <c r="B204" s="586"/>
      <c r="C204" s="586"/>
      <c r="D204" s="586"/>
      <c r="E204" s="586"/>
      <c r="F204" s="586"/>
      <c r="G204" s="586"/>
      <c r="H204" s="586"/>
    </row>
    <row r="205" spans="1:8">
      <c r="A205" s="586"/>
      <c r="B205" s="586"/>
      <c r="C205" s="586"/>
      <c r="D205" s="586"/>
      <c r="E205" s="586"/>
      <c r="F205" s="586"/>
      <c r="G205" s="586"/>
      <c r="H205" s="586"/>
    </row>
    <row r="206" spans="1:8">
      <c r="A206" s="587" t="s">
        <v>823</v>
      </c>
      <c r="B206" s="586"/>
      <c r="C206" s="586"/>
      <c r="D206" s="586"/>
      <c r="E206" s="586"/>
      <c r="F206" s="586"/>
      <c r="G206" s="586"/>
      <c r="H206" s="586"/>
    </row>
    <row r="207" spans="1:8">
      <c r="A207" s="587" t="s">
        <v>824</v>
      </c>
      <c r="B207" s="586"/>
      <c r="C207" s="586"/>
      <c r="D207" s="586"/>
      <c r="E207" s="586"/>
      <c r="F207" s="586"/>
      <c r="G207" s="586"/>
      <c r="H207" s="586"/>
    </row>
    <row r="208" spans="1:8">
      <c r="A208" s="587" t="s">
        <v>825</v>
      </c>
      <c r="B208" s="586"/>
      <c r="C208" s="586"/>
      <c r="D208" s="586"/>
      <c r="E208" s="586"/>
      <c r="F208" s="586"/>
      <c r="G208" s="586"/>
      <c r="H208" s="586"/>
    </row>
    <row r="209" spans="1:8">
      <c r="A209" s="587" t="s">
        <v>826</v>
      </c>
      <c r="B209" s="586"/>
      <c r="C209" s="586"/>
      <c r="D209" s="586"/>
      <c r="E209" s="586"/>
      <c r="F209" s="586"/>
      <c r="G209" s="586"/>
      <c r="H209" s="586"/>
    </row>
    <row r="210" spans="1:8">
      <c r="A210" s="587" t="s">
        <v>827</v>
      </c>
      <c r="B210" s="586"/>
      <c r="C210" s="586"/>
      <c r="D210" s="586"/>
      <c r="E210" s="586"/>
      <c r="F210" s="586"/>
      <c r="G210" s="586"/>
      <c r="H210" s="586"/>
    </row>
    <row r="211" spans="1:8">
      <c r="A211" s="586"/>
      <c r="B211" s="586"/>
      <c r="C211" s="586"/>
      <c r="D211" s="586"/>
      <c r="E211" s="586"/>
      <c r="F211" s="586"/>
      <c r="G211" s="586"/>
      <c r="H211" s="586"/>
    </row>
    <row r="212" spans="1:8">
      <c r="A212" s="587" t="s">
        <v>828</v>
      </c>
      <c r="B212" s="586"/>
      <c r="C212" s="586"/>
      <c r="D212" s="586"/>
      <c r="E212" s="586"/>
      <c r="F212" s="586"/>
      <c r="G212" s="586"/>
      <c r="H212" s="586"/>
    </row>
    <row r="213" spans="1:8">
      <c r="A213" s="587" t="s">
        <v>829</v>
      </c>
      <c r="B213" s="586"/>
      <c r="C213" s="586"/>
      <c r="D213" s="586"/>
      <c r="E213" s="586"/>
      <c r="F213" s="586"/>
      <c r="G213" s="586"/>
      <c r="H213" s="586"/>
    </row>
    <row r="214" spans="1:8">
      <c r="A214" s="587" t="s">
        <v>830</v>
      </c>
      <c r="B214" s="586"/>
      <c r="C214" s="586"/>
      <c r="D214" s="586"/>
      <c r="E214" s="586"/>
      <c r="F214" s="586"/>
      <c r="G214" s="586"/>
      <c r="H214" s="586"/>
    </row>
    <row r="215" spans="1:8">
      <c r="A215" s="586"/>
      <c r="B215" s="586"/>
      <c r="C215" s="586"/>
      <c r="D215" s="586"/>
      <c r="E215" s="586"/>
      <c r="F215" s="586"/>
      <c r="G215" s="586"/>
      <c r="H215" s="586"/>
    </row>
    <row r="216" spans="1:8" ht="15.5">
      <c r="A216" s="588" t="s">
        <v>831</v>
      </c>
      <c r="B216" s="586"/>
      <c r="C216" s="586"/>
      <c r="D216" s="586"/>
      <c r="E216" s="586"/>
      <c r="F216" s="586"/>
      <c r="G216" s="586"/>
      <c r="H216" s="586"/>
    </row>
    <row r="217" spans="1:8">
      <c r="A217" s="586"/>
      <c r="B217" s="586"/>
      <c r="C217" s="586"/>
      <c r="D217" s="586"/>
      <c r="E217" s="586"/>
      <c r="F217" s="586"/>
      <c r="G217" s="586"/>
      <c r="H217" s="586"/>
    </row>
    <row r="218" spans="1:8">
      <c r="A218" s="587" t="s">
        <v>832</v>
      </c>
      <c r="B218" s="586"/>
      <c r="C218" s="586"/>
      <c r="D218" s="586"/>
      <c r="E218" s="586"/>
      <c r="F218" s="586"/>
      <c r="G218" s="586"/>
      <c r="H218" s="586"/>
    </row>
    <row r="219" spans="1:8">
      <c r="A219" s="587" t="s">
        <v>833</v>
      </c>
      <c r="B219" s="586"/>
      <c r="C219" s="586"/>
      <c r="D219" s="586"/>
      <c r="E219" s="586"/>
      <c r="F219" s="586"/>
      <c r="G219" s="586"/>
      <c r="H219" s="586"/>
    </row>
    <row r="220" spans="1:8">
      <c r="A220" s="587" t="s">
        <v>834</v>
      </c>
      <c r="B220" s="586"/>
      <c r="C220" s="586"/>
      <c r="D220" s="586"/>
      <c r="E220" s="586"/>
      <c r="F220" s="586"/>
      <c r="G220" s="586"/>
      <c r="H220" s="586"/>
    </row>
    <row r="221" spans="1:8">
      <c r="A221" s="587" t="s">
        <v>835</v>
      </c>
      <c r="B221" s="586"/>
      <c r="C221" s="586"/>
      <c r="D221" s="586"/>
      <c r="E221" s="586"/>
      <c r="F221" s="586"/>
      <c r="G221" s="586"/>
      <c r="H221" s="586"/>
    </row>
    <row r="222" spans="1:8">
      <c r="A222" s="587" t="s">
        <v>836</v>
      </c>
      <c r="B222" s="586"/>
      <c r="C222" s="586"/>
      <c r="D222" s="586"/>
      <c r="E222" s="586"/>
      <c r="F222" s="586"/>
      <c r="G222" s="586"/>
      <c r="H222" s="586"/>
    </row>
    <row r="223" spans="1:8">
      <c r="A223" s="587" t="s">
        <v>837</v>
      </c>
      <c r="B223" s="586"/>
      <c r="C223" s="586"/>
      <c r="D223" s="586"/>
      <c r="E223" s="586"/>
      <c r="F223" s="586"/>
      <c r="G223" s="586"/>
      <c r="H223" s="586"/>
    </row>
    <row r="224" spans="1:8">
      <c r="A224" s="587" t="s">
        <v>838</v>
      </c>
      <c r="B224" s="586"/>
      <c r="C224" s="586"/>
      <c r="D224" s="586"/>
      <c r="E224" s="586"/>
      <c r="F224" s="586"/>
      <c r="G224" s="586"/>
      <c r="H224" s="586"/>
    </row>
    <row r="225" spans="1:8">
      <c r="A225" s="586"/>
      <c r="B225" s="586"/>
      <c r="C225" s="586"/>
      <c r="D225" s="586"/>
      <c r="E225" s="586"/>
      <c r="F225" s="586"/>
      <c r="G225" s="586"/>
      <c r="H225" s="586"/>
    </row>
    <row r="226" spans="1:8">
      <c r="A226" s="587" t="s">
        <v>839</v>
      </c>
      <c r="B226" s="586"/>
      <c r="C226" s="586"/>
      <c r="D226" s="586"/>
      <c r="E226" s="586"/>
      <c r="F226" s="586"/>
      <c r="G226" s="586"/>
      <c r="H226" s="586"/>
    </row>
    <row r="227" spans="1:8">
      <c r="A227" s="587" t="s">
        <v>840</v>
      </c>
      <c r="B227" s="586"/>
      <c r="C227" s="586"/>
      <c r="D227" s="586"/>
      <c r="E227" s="586"/>
      <c r="F227" s="586"/>
      <c r="G227" s="586"/>
      <c r="H227" s="586"/>
    </row>
    <row r="228" spans="1:8">
      <c r="A228" s="587" t="s">
        <v>841</v>
      </c>
      <c r="B228" s="586"/>
      <c r="C228" s="586"/>
      <c r="D228" s="586"/>
      <c r="E228" s="586"/>
      <c r="F228" s="586"/>
      <c r="G228" s="586"/>
      <c r="H228" s="586"/>
    </row>
    <row r="229" spans="1:8">
      <c r="A229" s="586"/>
      <c r="B229" s="586"/>
      <c r="C229" s="586"/>
      <c r="D229" s="586"/>
      <c r="E229" s="586"/>
      <c r="F229" s="586"/>
      <c r="G229" s="586"/>
      <c r="H229" s="586"/>
    </row>
    <row r="230" spans="1:8">
      <c r="A230" s="587" t="s">
        <v>842</v>
      </c>
      <c r="B230" s="586"/>
      <c r="C230" s="586"/>
      <c r="D230" s="586"/>
      <c r="E230" s="586"/>
      <c r="F230" s="586"/>
      <c r="G230" s="586"/>
      <c r="H230" s="586"/>
    </row>
    <row r="231" spans="1:8">
      <c r="A231" s="587" t="s">
        <v>843</v>
      </c>
      <c r="B231" s="586"/>
      <c r="C231" s="586"/>
      <c r="D231" s="586"/>
      <c r="E231" s="586"/>
      <c r="F231" s="586"/>
      <c r="G231" s="586"/>
      <c r="H231" s="586"/>
    </row>
    <row r="232" spans="1:8">
      <c r="A232" s="587" t="s">
        <v>844</v>
      </c>
      <c r="B232" s="586"/>
      <c r="C232" s="586"/>
      <c r="D232" s="586"/>
      <c r="E232" s="586"/>
      <c r="F232" s="586"/>
      <c r="G232" s="586"/>
      <c r="H232" s="586"/>
    </row>
    <row r="233" spans="1:8">
      <c r="A233" s="587" t="s">
        <v>845</v>
      </c>
      <c r="B233" s="586"/>
      <c r="C233" s="586"/>
      <c r="D233" s="586"/>
      <c r="E233" s="586"/>
      <c r="F233" s="586"/>
      <c r="G233" s="586"/>
      <c r="H233" s="586"/>
    </row>
    <row r="234" spans="1:8">
      <c r="A234" s="587" t="s">
        <v>846</v>
      </c>
      <c r="B234" s="586"/>
      <c r="C234" s="586"/>
      <c r="D234" s="586"/>
      <c r="E234" s="586"/>
      <c r="F234" s="586"/>
      <c r="G234" s="586"/>
      <c r="H234" s="586"/>
    </row>
    <row r="235" spans="1:8">
      <c r="A235" s="586"/>
      <c r="B235" s="586"/>
      <c r="C235" s="586"/>
      <c r="D235" s="586"/>
      <c r="E235" s="586"/>
      <c r="F235" s="586"/>
      <c r="G235" s="586"/>
      <c r="H235" s="586"/>
    </row>
    <row r="236" spans="1:8">
      <c r="A236" s="587" t="s">
        <v>847</v>
      </c>
      <c r="B236" s="586"/>
      <c r="C236" s="586"/>
      <c r="D236" s="586"/>
      <c r="E236" s="586"/>
      <c r="F236" s="586"/>
      <c r="G236" s="586"/>
      <c r="H236" s="586"/>
    </row>
    <row r="237" spans="1:8">
      <c r="A237" s="587" t="s">
        <v>848</v>
      </c>
      <c r="B237" s="586"/>
      <c r="C237" s="586"/>
      <c r="D237" s="586"/>
      <c r="E237" s="586"/>
      <c r="F237" s="586"/>
      <c r="G237" s="586"/>
      <c r="H237" s="586"/>
    </row>
    <row r="238" spans="1:8">
      <c r="A238" s="587" t="s">
        <v>849</v>
      </c>
      <c r="B238" s="586"/>
      <c r="C238" s="586"/>
      <c r="D238" s="586"/>
      <c r="E238" s="586"/>
      <c r="F238" s="586"/>
      <c r="G238" s="586"/>
      <c r="H238" s="586"/>
    </row>
    <row r="239" spans="1:8">
      <c r="A239" s="587" t="s">
        <v>850</v>
      </c>
      <c r="B239" s="586"/>
      <c r="C239" s="586"/>
      <c r="D239" s="586"/>
      <c r="E239" s="586"/>
      <c r="F239" s="586"/>
      <c r="G239" s="586"/>
      <c r="H239" s="586"/>
    </row>
    <row r="240" spans="1:8">
      <c r="A240" s="587" t="s">
        <v>851</v>
      </c>
      <c r="B240" s="586"/>
      <c r="C240" s="586"/>
      <c r="D240" s="586"/>
      <c r="E240" s="586"/>
      <c r="F240" s="586"/>
      <c r="G240" s="586"/>
      <c r="H240" s="586"/>
    </row>
    <row r="241" spans="1:8">
      <c r="A241" s="587" t="s">
        <v>852</v>
      </c>
      <c r="B241" s="586"/>
      <c r="C241" s="586"/>
      <c r="D241" s="586"/>
      <c r="E241" s="586"/>
      <c r="F241" s="586"/>
      <c r="G241" s="586"/>
      <c r="H241" s="586"/>
    </row>
    <row r="242" spans="1:8">
      <c r="A242" s="586"/>
      <c r="B242" s="586"/>
      <c r="C242" s="586"/>
      <c r="D242" s="586"/>
      <c r="E242" s="586"/>
      <c r="F242" s="586"/>
      <c r="G242" s="586"/>
      <c r="H242" s="586"/>
    </row>
    <row r="243" spans="1:8">
      <c r="A243" s="587" t="s">
        <v>853</v>
      </c>
      <c r="B243" s="586"/>
      <c r="C243" s="586"/>
      <c r="D243" s="586"/>
      <c r="E243" s="586"/>
      <c r="F243" s="586"/>
      <c r="G243" s="586"/>
      <c r="H243" s="586"/>
    </row>
    <row r="244" spans="1:8">
      <c r="A244" s="587" t="s">
        <v>854</v>
      </c>
      <c r="B244" s="586"/>
      <c r="C244" s="586"/>
      <c r="D244" s="586"/>
      <c r="E244" s="586"/>
      <c r="F244" s="586"/>
      <c r="G244" s="586"/>
      <c r="H244" s="586"/>
    </row>
    <row r="245" spans="1:8">
      <c r="A245" s="587" t="s">
        <v>855</v>
      </c>
      <c r="B245" s="586"/>
      <c r="C245" s="586"/>
      <c r="D245" s="586"/>
      <c r="E245" s="586"/>
      <c r="F245" s="586"/>
      <c r="G245" s="586"/>
      <c r="H245" s="586"/>
    </row>
    <row r="246" spans="1:8">
      <c r="A246" s="587" t="s">
        <v>856</v>
      </c>
      <c r="B246" s="586"/>
      <c r="C246" s="586"/>
      <c r="D246" s="586"/>
      <c r="E246" s="586"/>
      <c r="F246" s="586"/>
      <c r="G246" s="586"/>
      <c r="H246" s="586"/>
    </row>
    <row r="247" spans="1:8">
      <c r="A247" s="587" t="s">
        <v>857</v>
      </c>
      <c r="B247" s="586"/>
      <c r="C247" s="586"/>
      <c r="D247" s="586"/>
      <c r="E247" s="586"/>
      <c r="F247" s="586"/>
      <c r="G247" s="586"/>
      <c r="H247" s="586"/>
    </row>
    <row r="248" spans="1:8">
      <c r="A248" s="587" t="s">
        <v>858</v>
      </c>
      <c r="B248" s="586"/>
      <c r="C248" s="586"/>
      <c r="D248" s="586"/>
      <c r="E248" s="586"/>
      <c r="F248" s="586"/>
      <c r="G248" s="586"/>
      <c r="H248" s="586"/>
    </row>
    <row r="249" spans="1:8">
      <c r="A249" s="587" t="s">
        <v>859</v>
      </c>
      <c r="B249" s="586"/>
      <c r="C249" s="586"/>
      <c r="D249" s="586"/>
      <c r="E249" s="586"/>
      <c r="F249" s="586"/>
      <c r="G249" s="586"/>
      <c r="H249" s="586"/>
    </row>
    <row r="250" spans="1:8">
      <c r="A250" s="587" t="s">
        <v>860</v>
      </c>
      <c r="B250" s="586"/>
      <c r="C250" s="586"/>
      <c r="D250" s="586"/>
      <c r="E250" s="586"/>
      <c r="F250" s="586"/>
      <c r="G250" s="586"/>
      <c r="H250" s="586"/>
    </row>
    <row r="251" spans="1:8">
      <c r="A251" s="587" t="s">
        <v>861</v>
      </c>
      <c r="B251" s="586"/>
      <c r="C251" s="586"/>
      <c r="D251" s="586"/>
      <c r="E251" s="586"/>
      <c r="F251" s="586"/>
      <c r="G251" s="586"/>
      <c r="H251" s="586"/>
    </row>
    <row r="252" spans="1:8">
      <c r="A252" s="587" t="s">
        <v>862</v>
      </c>
      <c r="B252" s="586"/>
      <c r="C252" s="586"/>
      <c r="D252" s="586"/>
      <c r="E252" s="586"/>
      <c r="F252" s="586"/>
      <c r="G252" s="586"/>
      <c r="H252" s="586"/>
    </row>
    <row r="253" spans="1:8">
      <c r="A253" s="587" t="s">
        <v>863</v>
      </c>
      <c r="B253" s="586"/>
      <c r="C253" s="586"/>
      <c r="D253" s="586"/>
      <c r="E253" s="586"/>
      <c r="F253" s="586"/>
      <c r="G253" s="586"/>
      <c r="H253" s="586"/>
    </row>
    <row r="254" spans="1:8">
      <c r="A254" s="587" t="s">
        <v>864</v>
      </c>
      <c r="B254" s="586"/>
      <c r="C254" s="586"/>
      <c r="D254" s="586"/>
      <c r="E254" s="586"/>
      <c r="F254" s="586"/>
      <c r="G254" s="586"/>
      <c r="H254" s="586"/>
    </row>
    <row r="255" spans="1:8">
      <c r="A255" s="587" t="s">
        <v>865</v>
      </c>
      <c r="B255" s="586"/>
      <c r="C255" s="586"/>
      <c r="D255" s="586"/>
      <c r="E255" s="586"/>
      <c r="F255" s="586"/>
      <c r="G255" s="586"/>
      <c r="H255" s="586"/>
    </row>
    <row r="256" spans="1:8">
      <c r="A256" s="587" t="s">
        <v>866</v>
      </c>
      <c r="B256" s="586"/>
      <c r="C256" s="586"/>
      <c r="D256" s="586"/>
      <c r="E256" s="586"/>
      <c r="F256" s="586"/>
      <c r="G256" s="586"/>
      <c r="H256" s="586"/>
    </row>
    <row r="257" spans="1:8">
      <c r="A257" s="586"/>
      <c r="B257" s="586"/>
      <c r="C257" s="586"/>
      <c r="D257" s="586"/>
      <c r="E257" s="586"/>
      <c r="F257" s="586"/>
      <c r="G257" s="586"/>
      <c r="H257" s="586"/>
    </row>
    <row r="258" spans="1:8">
      <c r="A258" s="587" t="s">
        <v>867</v>
      </c>
      <c r="B258" s="586"/>
      <c r="C258" s="586"/>
      <c r="D258" s="586"/>
      <c r="E258" s="586"/>
      <c r="F258" s="586"/>
      <c r="G258" s="586"/>
      <c r="H258" s="586"/>
    </row>
    <row r="259" spans="1:8">
      <c r="A259" s="587" t="s">
        <v>868</v>
      </c>
      <c r="B259" s="586"/>
      <c r="C259" s="586"/>
      <c r="D259" s="586"/>
      <c r="E259" s="586"/>
      <c r="F259" s="586"/>
      <c r="G259" s="586"/>
      <c r="H259" s="586"/>
    </row>
    <row r="260" spans="1:8">
      <c r="A260" s="586"/>
      <c r="B260" s="586"/>
      <c r="C260" s="586"/>
      <c r="D260" s="586"/>
      <c r="E260" s="586"/>
      <c r="F260" s="586"/>
      <c r="G260" s="586"/>
      <c r="H260" s="586"/>
    </row>
    <row r="261" spans="1:8">
      <c r="A261" s="587" t="s">
        <v>869</v>
      </c>
      <c r="B261" s="586"/>
      <c r="C261" s="586"/>
      <c r="D261" s="586"/>
      <c r="E261" s="586"/>
      <c r="F261" s="586"/>
      <c r="G261" s="586"/>
      <c r="H261" s="586"/>
    </row>
    <row r="262" spans="1:8">
      <c r="A262" s="587" t="s">
        <v>870</v>
      </c>
      <c r="B262" s="586"/>
      <c r="C262" s="586"/>
      <c r="D262" s="586"/>
      <c r="E262" s="586"/>
      <c r="F262" s="586"/>
      <c r="G262" s="586"/>
      <c r="H262" s="586"/>
    </row>
    <row r="263" spans="1:8">
      <c r="A263" s="587" t="s">
        <v>871</v>
      </c>
      <c r="B263" s="586"/>
      <c r="C263" s="586"/>
      <c r="D263" s="586"/>
      <c r="E263" s="586"/>
      <c r="F263" s="586"/>
      <c r="G263" s="586"/>
      <c r="H263" s="586"/>
    </row>
    <row r="264" spans="1:8">
      <c r="A264" s="587" t="s">
        <v>872</v>
      </c>
      <c r="B264" s="586"/>
      <c r="C264" s="586"/>
      <c r="D264" s="586"/>
      <c r="E264" s="586"/>
      <c r="F264" s="586"/>
      <c r="G264" s="586"/>
      <c r="H264" s="586"/>
    </row>
    <row r="265" spans="1:8">
      <c r="A265" s="587" t="s">
        <v>873</v>
      </c>
      <c r="B265" s="586"/>
      <c r="C265" s="586"/>
      <c r="D265" s="586"/>
      <c r="E265" s="586"/>
      <c r="F265" s="586"/>
      <c r="G265" s="586"/>
      <c r="H265" s="586"/>
    </row>
    <row r="266" spans="1:8">
      <c r="A266" s="587" t="s">
        <v>874</v>
      </c>
      <c r="B266" s="586"/>
      <c r="C266" s="586"/>
      <c r="D266" s="586"/>
      <c r="E266" s="586"/>
      <c r="F266" s="586"/>
      <c r="G266" s="586"/>
      <c r="H266" s="586"/>
    </row>
    <row r="267" spans="1:8">
      <c r="A267" s="587" t="s">
        <v>875</v>
      </c>
      <c r="B267" s="586"/>
      <c r="C267" s="586"/>
      <c r="D267" s="586"/>
      <c r="E267" s="586"/>
      <c r="F267" s="586"/>
      <c r="G267" s="586"/>
      <c r="H267" s="586"/>
    </row>
    <row r="268" spans="1:8">
      <c r="A268" s="587" t="s">
        <v>876</v>
      </c>
      <c r="B268" s="586"/>
      <c r="C268" s="586"/>
      <c r="D268" s="586"/>
      <c r="E268" s="586"/>
      <c r="F268" s="586"/>
      <c r="G268" s="586"/>
      <c r="H268" s="586"/>
    </row>
    <row r="269" spans="1:8">
      <c r="A269" s="587" t="s">
        <v>877</v>
      </c>
      <c r="B269" s="586"/>
      <c r="C269" s="586"/>
      <c r="D269" s="586"/>
      <c r="E269" s="586"/>
      <c r="F269" s="586"/>
      <c r="G269" s="586"/>
      <c r="H269" s="586"/>
    </row>
    <row r="270" spans="1:8">
      <c r="A270" s="587" t="s">
        <v>878</v>
      </c>
      <c r="B270" s="586"/>
      <c r="C270" s="586"/>
      <c r="D270" s="586"/>
      <c r="E270" s="586"/>
      <c r="F270" s="586"/>
      <c r="G270" s="586"/>
      <c r="H270" s="586"/>
    </row>
    <row r="271" spans="1:8">
      <c r="A271" s="587" t="s">
        <v>879</v>
      </c>
      <c r="B271" s="586"/>
      <c r="C271" s="586"/>
      <c r="D271" s="586"/>
      <c r="E271" s="586"/>
      <c r="F271" s="586"/>
      <c r="G271" s="586"/>
      <c r="H271" s="586"/>
    </row>
    <row r="272" spans="1:8">
      <c r="A272" s="587" t="s">
        <v>880</v>
      </c>
      <c r="B272" s="586"/>
      <c r="C272" s="586"/>
      <c r="D272" s="586"/>
      <c r="E272" s="586"/>
      <c r="F272" s="586"/>
      <c r="G272" s="586"/>
      <c r="H272" s="586"/>
    </row>
    <row r="273" spans="1:8">
      <c r="A273" s="587" t="s">
        <v>881</v>
      </c>
      <c r="B273" s="586"/>
      <c r="C273" s="586"/>
      <c r="D273" s="586"/>
      <c r="E273" s="586"/>
      <c r="F273" s="586"/>
      <c r="G273" s="586"/>
      <c r="H273" s="586"/>
    </row>
    <row r="274" spans="1:8">
      <c r="A274" s="587" t="s">
        <v>882</v>
      </c>
      <c r="B274" s="586"/>
      <c r="C274" s="586"/>
      <c r="D274" s="586"/>
      <c r="E274" s="586"/>
      <c r="F274" s="586"/>
      <c r="G274" s="586"/>
      <c r="H274" s="586"/>
    </row>
    <row r="275" spans="1:8">
      <c r="A275" s="587" t="s">
        <v>883</v>
      </c>
      <c r="B275" s="586"/>
      <c r="C275" s="586"/>
      <c r="D275" s="586"/>
      <c r="E275" s="586"/>
      <c r="F275" s="586"/>
      <c r="G275" s="586"/>
      <c r="H275" s="586"/>
    </row>
    <row r="276" spans="1:8">
      <c r="A276" s="587" t="s">
        <v>884</v>
      </c>
      <c r="B276" s="586"/>
      <c r="C276" s="586"/>
      <c r="D276" s="586"/>
      <c r="E276" s="586"/>
      <c r="F276" s="586"/>
      <c r="G276" s="586"/>
      <c r="H276" s="586"/>
    </row>
    <row r="277" spans="1:8">
      <c r="A277" s="586"/>
      <c r="B277" s="586"/>
      <c r="C277" s="586"/>
      <c r="D277" s="586"/>
      <c r="E277" s="586"/>
      <c r="F277" s="586"/>
      <c r="G277" s="586"/>
      <c r="H277" s="586"/>
    </row>
    <row r="278" spans="1:8">
      <c r="A278" s="587" t="s">
        <v>885</v>
      </c>
      <c r="B278" s="586"/>
      <c r="C278" s="586"/>
      <c r="D278" s="586"/>
      <c r="E278" s="586"/>
      <c r="F278" s="586"/>
      <c r="G278" s="586"/>
      <c r="H278" s="586"/>
    </row>
    <row r="279" spans="1:8">
      <c r="A279" s="587" t="s">
        <v>886</v>
      </c>
      <c r="B279" s="586"/>
      <c r="C279" s="586"/>
      <c r="D279" s="586"/>
      <c r="E279" s="586"/>
      <c r="F279" s="586"/>
      <c r="G279" s="586"/>
      <c r="H279" s="586"/>
    </row>
    <row r="280" spans="1:8">
      <c r="A280" s="587" t="s">
        <v>887</v>
      </c>
      <c r="B280" s="586"/>
      <c r="C280" s="586"/>
      <c r="D280" s="586"/>
      <c r="E280" s="586"/>
      <c r="F280" s="586"/>
      <c r="G280" s="586"/>
      <c r="H280" s="586"/>
    </row>
    <row r="281" spans="1:8">
      <c r="A281" s="587" t="s">
        <v>888</v>
      </c>
      <c r="B281" s="586"/>
      <c r="C281" s="586"/>
      <c r="D281" s="586"/>
      <c r="E281" s="586"/>
      <c r="F281" s="586"/>
      <c r="G281" s="586"/>
      <c r="H281" s="586"/>
    </row>
    <row r="282" spans="1:8">
      <c r="A282" s="587" t="s">
        <v>889</v>
      </c>
      <c r="B282" s="586"/>
      <c r="C282" s="586"/>
      <c r="D282" s="586"/>
      <c r="E282" s="586"/>
      <c r="F282" s="586"/>
      <c r="G282" s="586"/>
      <c r="H282" s="586"/>
    </row>
    <row r="283" spans="1:8">
      <c r="A283" s="587" t="s">
        <v>890</v>
      </c>
      <c r="B283" s="586"/>
      <c r="C283" s="586"/>
      <c r="D283" s="586"/>
      <c r="E283" s="586"/>
      <c r="F283" s="586"/>
      <c r="G283" s="586"/>
      <c r="H283" s="586"/>
    </row>
    <row r="284" spans="1:8">
      <c r="A284" s="587" t="s">
        <v>749</v>
      </c>
      <c r="B284" s="586"/>
      <c r="C284" s="586"/>
      <c r="D284" s="586"/>
      <c r="E284" s="586"/>
      <c r="F284" s="586"/>
      <c r="G284" s="586"/>
      <c r="H284" s="586"/>
    </row>
    <row r="285" spans="1:8">
      <c r="A285" s="586"/>
      <c r="B285" s="586"/>
      <c r="C285" s="586"/>
      <c r="D285" s="586"/>
      <c r="E285" s="586"/>
      <c r="F285" s="586"/>
      <c r="G285" s="586"/>
      <c r="H285" s="586"/>
    </row>
    <row r="286" spans="1:8">
      <c r="A286" s="587" t="s">
        <v>891</v>
      </c>
      <c r="B286" s="586"/>
      <c r="C286" s="586"/>
      <c r="D286" s="586"/>
      <c r="E286" s="586"/>
      <c r="F286" s="586"/>
      <c r="G286" s="586"/>
      <c r="H286" s="586"/>
    </row>
    <row r="287" spans="1:8">
      <c r="A287" s="587" t="s">
        <v>892</v>
      </c>
      <c r="B287" s="586"/>
      <c r="C287" s="586"/>
      <c r="D287" s="586"/>
      <c r="E287" s="586"/>
      <c r="F287" s="586"/>
      <c r="G287" s="586"/>
      <c r="H287" s="586"/>
    </row>
    <row r="288" spans="1:8">
      <c r="A288" s="587" t="s">
        <v>893</v>
      </c>
      <c r="B288" s="586"/>
      <c r="C288" s="586"/>
      <c r="D288" s="586"/>
      <c r="E288" s="586"/>
      <c r="F288" s="586"/>
      <c r="G288" s="586"/>
      <c r="H288" s="586"/>
    </row>
    <row r="289" spans="1:8">
      <c r="A289" s="587" t="s">
        <v>894</v>
      </c>
      <c r="B289" s="586"/>
      <c r="C289" s="586"/>
      <c r="D289" s="586"/>
      <c r="E289" s="586"/>
      <c r="F289" s="586"/>
      <c r="G289" s="586"/>
      <c r="H289" s="586"/>
    </row>
    <row r="290" spans="1:8">
      <c r="A290" s="587" t="s">
        <v>895</v>
      </c>
      <c r="B290" s="586"/>
      <c r="C290" s="586"/>
      <c r="D290" s="586"/>
      <c r="E290" s="586"/>
      <c r="F290" s="586"/>
      <c r="G290" s="586"/>
      <c r="H290" s="586"/>
    </row>
    <row r="291" spans="1:8">
      <c r="A291" s="587" t="s">
        <v>896</v>
      </c>
      <c r="B291" s="586"/>
      <c r="C291" s="586"/>
      <c r="D291" s="586"/>
      <c r="E291" s="586"/>
      <c r="F291" s="586"/>
      <c r="G291" s="586"/>
      <c r="H291" s="586"/>
    </row>
    <row r="292" spans="1:8">
      <c r="A292" s="587" t="s">
        <v>897</v>
      </c>
      <c r="B292" s="586"/>
      <c r="C292" s="586"/>
      <c r="D292" s="586"/>
      <c r="E292" s="586"/>
      <c r="F292" s="586"/>
      <c r="G292" s="586"/>
      <c r="H292" s="586"/>
    </row>
    <row r="293" spans="1:8">
      <c r="A293" s="587" t="s">
        <v>898</v>
      </c>
      <c r="B293" s="586"/>
      <c r="C293" s="586"/>
      <c r="D293" s="586"/>
      <c r="E293" s="586"/>
      <c r="F293" s="586"/>
      <c r="G293" s="586"/>
      <c r="H293" s="586"/>
    </row>
    <row r="294" spans="1:8">
      <c r="A294" s="587" t="s">
        <v>899</v>
      </c>
      <c r="B294" s="586"/>
      <c r="C294" s="586"/>
      <c r="D294" s="586"/>
      <c r="E294" s="586"/>
      <c r="F294" s="586"/>
      <c r="G294" s="586"/>
      <c r="H294" s="586"/>
    </row>
    <row r="295" spans="1:8">
      <c r="A295" s="586"/>
      <c r="B295" s="586"/>
      <c r="C295" s="586"/>
      <c r="D295" s="586"/>
      <c r="E295" s="586"/>
      <c r="F295" s="586"/>
      <c r="G295" s="586"/>
      <c r="H295" s="586"/>
    </row>
    <row r="296" spans="1:8">
      <c r="A296" s="587" t="s">
        <v>900</v>
      </c>
      <c r="B296" s="586"/>
      <c r="C296" s="586"/>
      <c r="D296" s="586"/>
      <c r="E296" s="586"/>
      <c r="F296" s="586"/>
      <c r="G296" s="586"/>
      <c r="H296" s="586"/>
    </row>
    <row r="297" spans="1:8">
      <c r="A297" s="587" t="s">
        <v>901</v>
      </c>
      <c r="B297" s="586"/>
      <c r="C297" s="586"/>
      <c r="D297" s="586"/>
      <c r="E297" s="586"/>
      <c r="F297" s="586"/>
      <c r="G297" s="586"/>
      <c r="H297" s="586"/>
    </row>
    <row r="298" spans="1:8">
      <c r="A298" s="587" t="s">
        <v>902</v>
      </c>
      <c r="B298" s="586"/>
      <c r="C298" s="586"/>
      <c r="D298" s="586"/>
      <c r="E298" s="586"/>
      <c r="F298" s="586"/>
      <c r="G298" s="586"/>
      <c r="H298" s="586"/>
    </row>
    <row r="299" spans="1:8">
      <c r="A299" s="587" t="s">
        <v>903</v>
      </c>
      <c r="B299" s="586"/>
      <c r="C299" s="586"/>
      <c r="D299" s="586"/>
      <c r="E299" s="586"/>
      <c r="F299" s="586"/>
      <c r="G299" s="586"/>
      <c r="H299" s="586"/>
    </row>
    <row r="300" spans="1:8">
      <c r="A300" s="587" t="s">
        <v>904</v>
      </c>
      <c r="B300" s="586"/>
      <c r="C300" s="586"/>
      <c r="D300" s="586"/>
      <c r="E300" s="586"/>
      <c r="F300" s="586"/>
      <c r="G300" s="586"/>
      <c r="H300" s="586"/>
    </row>
    <row r="301" spans="1:8">
      <c r="A301" s="587" t="s">
        <v>905</v>
      </c>
      <c r="B301" s="586"/>
      <c r="C301" s="586"/>
      <c r="D301" s="586"/>
      <c r="E301" s="586"/>
      <c r="F301" s="586"/>
      <c r="G301" s="586"/>
      <c r="H301" s="586"/>
    </row>
    <row r="302" spans="1:8">
      <c r="A302" s="587" t="s">
        <v>906</v>
      </c>
      <c r="B302" s="586"/>
      <c r="C302" s="586"/>
      <c r="D302" s="586"/>
      <c r="E302" s="586"/>
      <c r="F302" s="586"/>
      <c r="G302" s="586"/>
      <c r="H302" s="586"/>
    </row>
    <row r="303" spans="1:8">
      <c r="A303" s="586"/>
      <c r="B303" s="586"/>
      <c r="C303" s="586"/>
      <c r="D303" s="586"/>
      <c r="E303" s="586"/>
      <c r="F303" s="586"/>
      <c r="G303" s="586"/>
      <c r="H303" s="586"/>
    </row>
    <row r="304" spans="1:8">
      <c r="A304" s="587" t="s">
        <v>907</v>
      </c>
      <c r="B304" s="586"/>
      <c r="C304" s="586"/>
      <c r="D304" s="586"/>
      <c r="E304" s="586"/>
      <c r="F304" s="586"/>
      <c r="G304" s="586"/>
      <c r="H304" s="586"/>
    </row>
    <row r="305" spans="1:8">
      <c r="A305" s="587" t="s">
        <v>908</v>
      </c>
      <c r="B305" s="586"/>
      <c r="C305" s="586"/>
      <c r="D305" s="586"/>
      <c r="E305" s="586"/>
      <c r="F305" s="586"/>
      <c r="G305" s="586"/>
      <c r="H305" s="586"/>
    </row>
    <row r="306" spans="1:8">
      <c r="A306" s="587" t="s">
        <v>909</v>
      </c>
      <c r="B306" s="586"/>
      <c r="C306" s="586"/>
      <c r="D306" s="586"/>
      <c r="E306" s="586"/>
      <c r="F306" s="586"/>
      <c r="G306" s="586"/>
      <c r="H306" s="586"/>
    </row>
    <row r="307" spans="1:8">
      <c r="A307" s="586"/>
      <c r="B307" s="586"/>
      <c r="C307" s="586"/>
      <c r="D307" s="586"/>
      <c r="E307" s="586"/>
      <c r="F307" s="586"/>
      <c r="G307" s="586"/>
      <c r="H307" s="586"/>
    </row>
    <row r="308" spans="1:8">
      <c r="A308" s="587" t="s">
        <v>910</v>
      </c>
      <c r="B308" s="586"/>
      <c r="C308" s="586"/>
      <c r="D308" s="586"/>
      <c r="E308" s="586"/>
      <c r="F308" s="586"/>
      <c r="G308" s="586"/>
      <c r="H308" s="586"/>
    </row>
    <row r="309" spans="1:8">
      <c r="A309" s="587" t="s">
        <v>911</v>
      </c>
      <c r="B309" s="586"/>
      <c r="C309" s="586"/>
      <c r="D309" s="586"/>
      <c r="E309" s="586"/>
      <c r="F309" s="586"/>
      <c r="G309" s="586"/>
      <c r="H309" s="586"/>
    </row>
    <row r="310" spans="1:8">
      <c r="A310" s="586"/>
      <c r="B310" s="586"/>
      <c r="C310" s="586"/>
      <c r="D310" s="586"/>
      <c r="E310" s="586"/>
      <c r="F310" s="586"/>
      <c r="G310" s="586"/>
      <c r="H310" s="586"/>
    </row>
    <row r="311" spans="1:8">
      <c r="A311" s="587" t="s">
        <v>912</v>
      </c>
      <c r="B311" s="586"/>
      <c r="C311" s="586"/>
      <c r="D311" s="586"/>
      <c r="E311" s="586"/>
      <c r="F311" s="586"/>
      <c r="G311" s="586"/>
      <c r="H311" s="586"/>
    </row>
    <row r="312" spans="1:8">
      <c r="A312" s="587" t="s">
        <v>913</v>
      </c>
      <c r="B312" s="586"/>
      <c r="C312" s="586"/>
      <c r="D312" s="586"/>
      <c r="E312" s="586"/>
      <c r="F312" s="586"/>
      <c r="G312" s="586"/>
      <c r="H312" s="586"/>
    </row>
    <row r="313" spans="1:8">
      <c r="A313" s="587" t="s">
        <v>914</v>
      </c>
      <c r="B313" s="586"/>
      <c r="C313" s="586"/>
      <c r="D313" s="586"/>
      <c r="E313" s="586"/>
      <c r="F313" s="586"/>
      <c r="G313" s="586"/>
      <c r="H313" s="586"/>
    </row>
    <row r="314" spans="1:8">
      <c r="A314" s="587" t="s">
        <v>915</v>
      </c>
      <c r="B314" s="586"/>
      <c r="C314" s="586"/>
      <c r="D314" s="586"/>
      <c r="E314" s="586"/>
      <c r="F314" s="586"/>
      <c r="G314" s="586"/>
      <c r="H314" s="586"/>
    </row>
    <row r="315" spans="1:8">
      <c r="A315" s="587" t="s">
        <v>916</v>
      </c>
      <c r="B315" s="586"/>
      <c r="C315" s="586"/>
      <c r="D315" s="586"/>
      <c r="E315" s="586"/>
      <c r="F315" s="586"/>
      <c r="G315" s="586"/>
      <c r="H315" s="586"/>
    </row>
    <row r="316" spans="1:8">
      <c r="A316" s="587" t="s">
        <v>917</v>
      </c>
      <c r="B316" s="586"/>
      <c r="C316" s="586"/>
      <c r="D316" s="586"/>
      <c r="E316" s="586"/>
      <c r="F316" s="586"/>
      <c r="G316" s="586"/>
      <c r="H316" s="586"/>
    </row>
    <row r="317" spans="1:8">
      <c r="A317" s="587" t="s">
        <v>918</v>
      </c>
      <c r="B317" s="586"/>
      <c r="C317" s="586"/>
      <c r="D317" s="586"/>
      <c r="E317" s="586"/>
      <c r="F317" s="586"/>
      <c r="G317" s="586"/>
      <c r="H317" s="586"/>
    </row>
    <row r="318" spans="1:8">
      <c r="A318" s="587" t="s">
        <v>919</v>
      </c>
      <c r="B318" s="586"/>
      <c r="C318" s="586"/>
      <c r="D318" s="586"/>
      <c r="E318" s="586"/>
      <c r="F318" s="586"/>
      <c r="G318" s="586"/>
      <c r="H318" s="586"/>
    </row>
    <row r="319" spans="1:8">
      <c r="A319" s="587" t="s">
        <v>920</v>
      </c>
      <c r="B319" s="586"/>
      <c r="C319" s="586"/>
      <c r="D319" s="586"/>
      <c r="E319" s="586"/>
      <c r="F319" s="586"/>
      <c r="G319" s="586"/>
      <c r="H319" s="586"/>
    </row>
    <row r="320" spans="1:8">
      <c r="A320" s="587" t="s">
        <v>921</v>
      </c>
      <c r="B320" s="586"/>
      <c r="C320" s="586"/>
      <c r="D320" s="586"/>
      <c r="E320" s="586"/>
      <c r="F320" s="586"/>
      <c r="G320" s="586"/>
      <c r="H320" s="586"/>
    </row>
    <row r="321" spans="1:8">
      <c r="A321" s="587" t="s">
        <v>922</v>
      </c>
      <c r="B321" s="586"/>
      <c r="C321" s="586"/>
      <c r="D321" s="586"/>
      <c r="E321" s="586"/>
      <c r="F321" s="586"/>
      <c r="G321" s="586"/>
      <c r="H321" s="586"/>
    </row>
    <row r="322" spans="1:8">
      <c r="A322" s="587" t="s">
        <v>923</v>
      </c>
      <c r="B322" s="586"/>
      <c r="C322" s="586"/>
      <c r="D322" s="586"/>
      <c r="E322" s="586"/>
      <c r="F322" s="586"/>
      <c r="G322" s="586"/>
      <c r="H322" s="586"/>
    </row>
    <row r="323" spans="1:8">
      <c r="A323" s="587" t="s">
        <v>924</v>
      </c>
      <c r="B323" s="586"/>
      <c r="C323" s="586"/>
      <c r="D323" s="586"/>
      <c r="E323" s="586"/>
      <c r="F323" s="586"/>
      <c r="G323" s="586"/>
      <c r="H323" s="586"/>
    </row>
    <row r="324" spans="1:8">
      <c r="A324" s="586"/>
      <c r="B324" s="586"/>
      <c r="C324" s="586"/>
      <c r="D324" s="586"/>
      <c r="E324" s="586"/>
      <c r="F324" s="586"/>
      <c r="G324" s="586"/>
      <c r="H324" s="586"/>
    </row>
    <row r="325" spans="1:8">
      <c r="A325" s="587" t="s">
        <v>925</v>
      </c>
      <c r="B325" s="586"/>
      <c r="C325" s="586"/>
      <c r="D325" s="586"/>
      <c r="E325" s="586"/>
      <c r="F325" s="586"/>
      <c r="G325" s="586"/>
      <c r="H325" s="586"/>
    </row>
    <row r="326" spans="1:8">
      <c r="A326" s="587" t="s">
        <v>926</v>
      </c>
      <c r="B326" s="586"/>
      <c r="C326" s="586"/>
      <c r="D326" s="586"/>
      <c r="E326" s="586"/>
      <c r="F326" s="586"/>
      <c r="G326" s="586"/>
      <c r="H326" s="586"/>
    </row>
    <row r="327" spans="1:8">
      <c r="A327" s="587" t="s">
        <v>927</v>
      </c>
      <c r="B327" s="586"/>
      <c r="C327" s="586"/>
      <c r="D327" s="586"/>
      <c r="E327" s="586"/>
      <c r="F327" s="586"/>
      <c r="G327" s="586"/>
      <c r="H327" s="586"/>
    </row>
    <row r="328" spans="1:8">
      <c r="A328" s="587" t="s">
        <v>928</v>
      </c>
      <c r="B328" s="586"/>
      <c r="C328" s="586"/>
      <c r="D328" s="586"/>
      <c r="E328" s="586"/>
      <c r="F328" s="586"/>
      <c r="G328" s="586"/>
      <c r="H328" s="586"/>
    </row>
    <row r="329" spans="1:8">
      <c r="A329" s="587" t="s">
        <v>929</v>
      </c>
      <c r="B329" s="586"/>
      <c r="C329" s="586"/>
      <c r="D329" s="586"/>
      <c r="E329" s="586"/>
      <c r="F329" s="586"/>
      <c r="G329" s="586"/>
      <c r="H329" s="586"/>
    </row>
    <row r="330" spans="1:8">
      <c r="A330" s="587" t="s">
        <v>930</v>
      </c>
      <c r="B330" s="586"/>
      <c r="C330" s="586"/>
      <c r="D330" s="586"/>
      <c r="E330" s="586"/>
      <c r="F330" s="586"/>
      <c r="G330" s="586"/>
      <c r="H330" s="586"/>
    </row>
    <row r="331" spans="1:8">
      <c r="A331" s="587" t="s">
        <v>931</v>
      </c>
      <c r="B331" s="586"/>
      <c r="C331" s="586"/>
      <c r="D331" s="586"/>
      <c r="E331" s="586"/>
      <c r="F331" s="586"/>
      <c r="G331" s="586"/>
      <c r="H331" s="586"/>
    </row>
    <row r="332" spans="1:8">
      <c r="A332" s="587" t="s">
        <v>932</v>
      </c>
      <c r="B332" s="586"/>
      <c r="C332" s="586"/>
      <c r="D332" s="586"/>
      <c r="E332" s="586"/>
      <c r="F332" s="586"/>
      <c r="G332" s="586"/>
      <c r="H332" s="586"/>
    </row>
    <row r="333" spans="1:8">
      <c r="A333" s="586"/>
      <c r="B333" s="586"/>
      <c r="C333" s="586"/>
      <c r="D333" s="586"/>
      <c r="E333" s="586"/>
      <c r="F333" s="586"/>
      <c r="G333" s="586"/>
      <c r="H333" s="586"/>
    </row>
    <row r="334" spans="1:8">
      <c r="A334" s="587" t="s">
        <v>933</v>
      </c>
      <c r="B334" s="586"/>
      <c r="C334" s="586"/>
      <c r="D334" s="586"/>
      <c r="E334" s="586"/>
      <c r="F334" s="586"/>
      <c r="G334" s="586"/>
      <c r="H334" s="586"/>
    </row>
    <row r="335" spans="1:8">
      <c r="A335" s="587" t="s">
        <v>934</v>
      </c>
      <c r="B335" s="586"/>
      <c r="C335" s="586"/>
      <c r="D335" s="586"/>
      <c r="E335" s="586"/>
      <c r="F335" s="586"/>
      <c r="G335" s="586"/>
      <c r="H335" s="586"/>
    </row>
    <row r="336" spans="1:8">
      <c r="A336" s="587" t="s">
        <v>935</v>
      </c>
      <c r="B336" s="586"/>
      <c r="C336" s="586"/>
      <c r="D336" s="586"/>
      <c r="E336" s="586"/>
      <c r="F336" s="586"/>
      <c r="G336" s="586"/>
      <c r="H336" s="586"/>
    </row>
    <row r="337" spans="1:8">
      <c r="A337" s="587" t="s">
        <v>936</v>
      </c>
      <c r="B337" s="586"/>
      <c r="C337" s="586"/>
      <c r="D337" s="586"/>
      <c r="E337" s="586"/>
      <c r="F337" s="586"/>
      <c r="G337" s="586"/>
      <c r="H337" s="586"/>
    </row>
    <row r="338" spans="1:8">
      <c r="A338" s="587" t="s">
        <v>937</v>
      </c>
      <c r="B338" s="586"/>
      <c r="C338" s="586"/>
      <c r="D338" s="586"/>
      <c r="E338" s="586"/>
      <c r="F338" s="586"/>
      <c r="G338" s="586"/>
      <c r="H338" s="586"/>
    </row>
    <row r="339" spans="1:8">
      <c r="A339" s="587" t="s">
        <v>938</v>
      </c>
      <c r="B339" s="586"/>
      <c r="C339" s="586"/>
      <c r="D339" s="586"/>
      <c r="E339" s="586"/>
      <c r="F339" s="586"/>
      <c r="G339" s="586"/>
      <c r="H339" s="586"/>
    </row>
    <row r="340" spans="1:8">
      <c r="A340" s="587" t="s">
        <v>939</v>
      </c>
      <c r="B340" s="586"/>
      <c r="C340" s="586"/>
      <c r="D340" s="586"/>
      <c r="E340" s="586"/>
      <c r="F340" s="586"/>
      <c r="G340" s="586"/>
      <c r="H340" s="586"/>
    </row>
    <row r="341" spans="1:8">
      <c r="A341" s="587" t="s">
        <v>940</v>
      </c>
      <c r="B341" s="586"/>
      <c r="C341" s="586"/>
      <c r="D341" s="586"/>
      <c r="E341" s="586"/>
      <c r="F341" s="586"/>
      <c r="G341" s="586"/>
      <c r="H341" s="586"/>
    </row>
    <row r="342" spans="1:8">
      <c r="A342" s="587" t="s">
        <v>941</v>
      </c>
      <c r="B342" s="586"/>
      <c r="C342" s="586"/>
      <c r="D342" s="586"/>
      <c r="E342" s="586"/>
      <c r="F342" s="586"/>
      <c r="G342" s="586"/>
      <c r="H342" s="586"/>
    </row>
    <row r="343" spans="1:8">
      <c r="A343" s="587" t="s">
        <v>942</v>
      </c>
      <c r="B343" s="586"/>
      <c r="C343" s="586"/>
      <c r="D343" s="586"/>
      <c r="E343" s="586"/>
      <c r="F343" s="586"/>
      <c r="G343" s="586"/>
      <c r="H343" s="586"/>
    </row>
    <row r="344" spans="1:8">
      <c r="A344" s="587" t="s">
        <v>943</v>
      </c>
      <c r="B344" s="586"/>
      <c r="C344" s="586"/>
      <c r="D344" s="586"/>
      <c r="E344" s="586"/>
      <c r="F344" s="586"/>
      <c r="G344" s="586"/>
      <c r="H344" s="586"/>
    </row>
    <row r="345" spans="1:8">
      <c r="A345" s="587" t="s">
        <v>944</v>
      </c>
      <c r="B345" s="586"/>
      <c r="C345" s="586"/>
      <c r="D345" s="586"/>
      <c r="E345" s="586"/>
      <c r="F345" s="586"/>
      <c r="G345" s="586"/>
      <c r="H345" s="586"/>
    </row>
    <row r="346" spans="1:8">
      <c r="A346" s="587" t="s">
        <v>945</v>
      </c>
      <c r="B346" s="586"/>
      <c r="C346" s="586"/>
      <c r="D346" s="586"/>
      <c r="E346" s="586"/>
      <c r="F346" s="586"/>
      <c r="G346" s="586"/>
      <c r="H346" s="586"/>
    </row>
    <row r="347" spans="1:8">
      <c r="A347" s="587" t="s">
        <v>946</v>
      </c>
      <c r="B347" s="586"/>
      <c r="C347" s="586"/>
      <c r="D347" s="586"/>
      <c r="E347" s="586"/>
      <c r="F347" s="586"/>
      <c r="G347" s="586"/>
      <c r="H347" s="586"/>
    </row>
    <row r="348" spans="1:8">
      <c r="A348" s="587" t="s">
        <v>947</v>
      </c>
      <c r="B348" s="586"/>
      <c r="C348" s="586"/>
      <c r="D348" s="586"/>
      <c r="E348" s="586"/>
      <c r="F348" s="586"/>
      <c r="G348" s="586"/>
      <c r="H348" s="586"/>
    </row>
    <row r="349" spans="1:8">
      <c r="A349" s="587" t="s">
        <v>948</v>
      </c>
      <c r="B349" s="586"/>
      <c r="C349" s="586"/>
      <c r="D349" s="586"/>
      <c r="E349" s="586"/>
      <c r="F349" s="586"/>
      <c r="G349" s="586"/>
      <c r="H349" s="586"/>
    </row>
    <row r="350" spans="1:8">
      <c r="A350" s="587" t="s">
        <v>949</v>
      </c>
      <c r="B350" s="586"/>
      <c r="C350" s="586"/>
      <c r="D350" s="586"/>
      <c r="E350" s="586"/>
      <c r="F350" s="586"/>
      <c r="G350" s="586"/>
      <c r="H350" s="586"/>
    </row>
    <row r="351" spans="1:8">
      <c r="A351" s="587" t="s">
        <v>950</v>
      </c>
      <c r="B351" s="586"/>
      <c r="C351" s="586"/>
      <c r="D351" s="586"/>
      <c r="E351" s="586"/>
      <c r="F351" s="586"/>
      <c r="G351" s="586"/>
      <c r="H351" s="586"/>
    </row>
    <row r="352" spans="1:8">
      <c r="A352" s="587" t="s">
        <v>951</v>
      </c>
      <c r="B352" s="586"/>
      <c r="C352" s="586"/>
      <c r="D352" s="586"/>
      <c r="E352" s="586"/>
      <c r="F352" s="586"/>
      <c r="G352" s="586"/>
      <c r="H352" s="586"/>
    </row>
    <row r="353" spans="1:8">
      <c r="A353" s="587" t="s">
        <v>952</v>
      </c>
      <c r="B353" s="586"/>
      <c r="C353" s="586"/>
      <c r="D353" s="586"/>
      <c r="E353" s="586"/>
      <c r="F353" s="586"/>
      <c r="G353" s="586"/>
      <c r="H353" s="586"/>
    </row>
    <row r="354" spans="1:8">
      <c r="A354" s="587" t="s">
        <v>953</v>
      </c>
      <c r="B354" s="586"/>
      <c r="C354" s="586"/>
      <c r="D354" s="586"/>
      <c r="E354" s="586"/>
      <c r="F354" s="586"/>
      <c r="G354" s="586"/>
      <c r="H354" s="586"/>
    </row>
    <row r="355" spans="1:8">
      <c r="A355" s="587" t="s">
        <v>954</v>
      </c>
      <c r="B355" s="586"/>
      <c r="C355" s="586"/>
      <c r="D355" s="586"/>
      <c r="E355" s="586"/>
      <c r="F355" s="586"/>
      <c r="G355" s="586"/>
      <c r="H355" s="586"/>
    </row>
    <row r="356" spans="1:8">
      <c r="A356" s="587" t="s">
        <v>955</v>
      </c>
      <c r="B356" s="586"/>
      <c r="C356" s="586"/>
      <c r="D356" s="586"/>
      <c r="E356" s="586"/>
      <c r="F356" s="586"/>
      <c r="G356" s="586"/>
      <c r="H356" s="586"/>
    </row>
    <row r="357" spans="1:8">
      <c r="A357" s="587" t="s">
        <v>956</v>
      </c>
      <c r="B357" s="586"/>
      <c r="C357" s="586"/>
      <c r="D357" s="586"/>
      <c r="E357" s="586"/>
      <c r="F357" s="586"/>
      <c r="G357" s="586"/>
      <c r="H357" s="586"/>
    </row>
    <row r="358" spans="1:8">
      <c r="A358" s="587" t="s">
        <v>957</v>
      </c>
      <c r="B358" s="586"/>
      <c r="C358" s="586"/>
      <c r="D358" s="586"/>
      <c r="E358" s="586"/>
      <c r="F358" s="586"/>
      <c r="G358" s="586"/>
      <c r="H358" s="586"/>
    </row>
    <row r="359" spans="1:8">
      <c r="A359" s="587" t="s">
        <v>958</v>
      </c>
      <c r="B359" s="586"/>
      <c r="C359" s="586"/>
      <c r="D359" s="586"/>
      <c r="E359" s="586"/>
      <c r="F359" s="586"/>
      <c r="G359" s="586"/>
      <c r="H359" s="586"/>
    </row>
    <row r="360" spans="1:8">
      <c r="A360" s="587" t="s">
        <v>959</v>
      </c>
      <c r="B360" s="586"/>
      <c r="C360" s="586"/>
      <c r="D360" s="586"/>
      <c r="E360" s="586"/>
      <c r="F360" s="586"/>
      <c r="G360" s="586"/>
      <c r="H360" s="586"/>
    </row>
    <row r="361" spans="1:8">
      <c r="A361" s="587" t="s">
        <v>960</v>
      </c>
      <c r="B361" s="586"/>
      <c r="C361" s="586"/>
      <c r="D361" s="586"/>
      <c r="E361" s="586"/>
      <c r="F361" s="586"/>
      <c r="G361" s="586"/>
      <c r="H361" s="586"/>
    </row>
    <row r="362" spans="1:8">
      <c r="A362" s="587" t="s">
        <v>961</v>
      </c>
      <c r="B362" s="586"/>
      <c r="C362" s="586"/>
      <c r="D362" s="586"/>
      <c r="E362" s="586"/>
      <c r="F362" s="586"/>
      <c r="G362" s="586"/>
      <c r="H362" s="586"/>
    </row>
    <row r="363" spans="1:8">
      <c r="A363" s="587" t="s">
        <v>962</v>
      </c>
      <c r="B363" s="586"/>
      <c r="C363" s="586"/>
      <c r="D363" s="586"/>
      <c r="E363" s="586"/>
      <c r="F363" s="586"/>
      <c r="G363" s="586"/>
      <c r="H363" s="586"/>
    </row>
    <row r="364" spans="1:8">
      <c r="A364" s="587" t="s">
        <v>963</v>
      </c>
      <c r="B364" s="586"/>
      <c r="C364" s="586"/>
      <c r="D364" s="586"/>
      <c r="E364" s="586"/>
      <c r="F364" s="586"/>
      <c r="G364" s="586"/>
      <c r="H364" s="586"/>
    </row>
    <row r="365" spans="1:8">
      <c r="A365" s="587" t="s">
        <v>964</v>
      </c>
      <c r="B365" s="586"/>
      <c r="C365" s="586"/>
      <c r="D365" s="586"/>
      <c r="E365" s="586"/>
      <c r="F365" s="586"/>
      <c r="G365" s="586"/>
      <c r="H365" s="586"/>
    </row>
    <row r="366" spans="1:8">
      <c r="A366" s="587" t="s">
        <v>965</v>
      </c>
      <c r="B366" s="586"/>
      <c r="C366" s="586"/>
      <c r="D366" s="586"/>
      <c r="E366" s="586"/>
      <c r="F366" s="586"/>
      <c r="G366" s="586"/>
      <c r="H366" s="586"/>
    </row>
    <row r="367" spans="1:8">
      <c r="A367" s="587" t="s">
        <v>966</v>
      </c>
      <c r="B367" s="586"/>
      <c r="C367" s="586"/>
      <c r="D367" s="586"/>
      <c r="E367" s="586"/>
      <c r="F367" s="586"/>
      <c r="G367" s="586"/>
      <c r="H367" s="586"/>
    </row>
    <row r="368" spans="1:8">
      <c r="A368" s="587" t="s">
        <v>967</v>
      </c>
      <c r="B368" s="586"/>
      <c r="C368" s="586"/>
      <c r="D368" s="586"/>
      <c r="E368" s="586"/>
      <c r="F368" s="586"/>
      <c r="G368" s="586"/>
      <c r="H368" s="586"/>
    </row>
    <row r="369" spans="1:8">
      <c r="A369" s="587" t="s">
        <v>968</v>
      </c>
      <c r="B369" s="586"/>
      <c r="C369" s="586"/>
      <c r="D369" s="586"/>
      <c r="E369" s="586"/>
      <c r="F369" s="586"/>
      <c r="G369" s="586"/>
      <c r="H369" s="586"/>
    </row>
    <row r="370" spans="1:8">
      <c r="A370" s="587" t="s">
        <v>969</v>
      </c>
      <c r="B370" s="586"/>
      <c r="C370" s="586"/>
      <c r="D370" s="586"/>
      <c r="E370" s="586"/>
      <c r="F370" s="586"/>
      <c r="G370" s="586"/>
      <c r="H370" s="586"/>
    </row>
    <row r="371" spans="1:8">
      <c r="A371" s="587" t="s">
        <v>970</v>
      </c>
      <c r="B371" s="586"/>
      <c r="C371" s="586"/>
      <c r="D371" s="586"/>
      <c r="E371" s="586"/>
      <c r="F371" s="586"/>
      <c r="G371" s="586"/>
      <c r="H371" s="586"/>
    </row>
    <row r="372" spans="1:8">
      <c r="A372" s="587" t="s">
        <v>971</v>
      </c>
      <c r="B372" s="586"/>
      <c r="C372" s="586"/>
      <c r="D372" s="586"/>
      <c r="E372" s="586"/>
      <c r="F372" s="586"/>
      <c r="G372" s="586"/>
      <c r="H372" s="586"/>
    </row>
    <row r="373" spans="1:8">
      <c r="A373" s="587" t="s">
        <v>972</v>
      </c>
      <c r="B373" s="586"/>
      <c r="C373" s="586"/>
      <c r="D373" s="586"/>
      <c r="E373" s="586"/>
      <c r="F373" s="586"/>
      <c r="G373" s="586"/>
      <c r="H373" s="586"/>
    </row>
    <row r="374" spans="1:8">
      <c r="A374" s="587" t="s">
        <v>973</v>
      </c>
      <c r="B374" s="586"/>
      <c r="C374" s="586"/>
      <c r="D374" s="586"/>
      <c r="E374" s="586"/>
      <c r="F374" s="586"/>
      <c r="G374" s="586"/>
      <c r="H374" s="586"/>
    </row>
    <row r="375" spans="1:8">
      <c r="A375" s="587" t="s">
        <v>974</v>
      </c>
      <c r="B375" s="586"/>
      <c r="C375" s="586"/>
      <c r="D375" s="586"/>
      <c r="E375" s="586"/>
      <c r="F375" s="586"/>
      <c r="G375" s="586"/>
      <c r="H375" s="586"/>
    </row>
    <row r="376" spans="1:8">
      <c r="A376" s="587" t="s">
        <v>975</v>
      </c>
      <c r="B376" s="586"/>
      <c r="C376" s="586"/>
      <c r="D376" s="586"/>
      <c r="E376" s="586"/>
      <c r="F376" s="586"/>
      <c r="G376" s="586"/>
      <c r="H376" s="586"/>
    </row>
    <row r="377" spans="1:8">
      <c r="A377" s="587" t="s">
        <v>976</v>
      </c>
      <c r="B377" s="586"/>
      <c r="C377" s="586"/>
      <c r="D377" s="586"/>
      <c r="E377" s="586"/>
      <c r="F377" s="586"/>
      <c r="G377" s="586"/>
      <c r="H377" s="586"/>
    </row>
    <row r="378" spans="1:8">
      <c r="A378" s="587" t="s">
        <v>977</v>
      </c>
      <c r="B378" s="586"/>
      <c r="C378" s="586"/>
      <c r="D378" s="586"/>
      <c r="E378" s="586"/>
      <c r="F378" s="586"/>
      <c r="G378" s="586"/>
      <c r="H378" s="586"/>
    </row>
    <row r="379" spans="1:8">
      <c r="A379" s="587" t="s">
        <v>978</v>
      </c>
      <c r="B379" s="586"/>
      <c r="C379" s="586"/>
      <c r="D379" s="586"/>
      <c r="E379" s="586"/>
      <c r="F379" s="586"/>
      <c r="G379" s="586"/>
      <c r="H379" s="586"/>
    </row>
    <row r="380" spans="1:8">
      <c r="A380" s="586"/>
      <c r="B380" s="586"/>
      <c r="C380" s="586"/>
      <c r="D380" s="586"/>
      <c r="E380" s="586"/>
      <c r="F380" s="586"/>
      <c r="G380" s="586"/>
      <c r="H380" s="586"/>
    </row>
    <row r="381" spans="1:8">
      <c r="A381" s="587" t="s">
        <v>979</v>
      </c>
      <c r="B381" s="586"/>
      <c r="C381" s="586"/>
      <c r="D381" s="586"/>
      <c r="E381" s="586"/>
      <c r="F381" s="586"/>
      <c r="G381" s="586"/>
      <c r="H381" s="586"/>
    </row>
    <row r="382" spans="1:8">
      <c r="A382" s="587" t="s">
        <v>980</v>
      </c>
      <c r="B382" s="586"/>
      <c r="C382" s="586"/>
      <c r="D382" s="586"/>
      <c r="E382" s="586"/>
      <c r="F382" s="586"/>
      <c r="G382" s="586"/>
      <c r="H382" s="586"/>
    </row>
    <row r="383" spans="1:8">
      <c r="A383" s="587" t="s">
        <v>981</v>
      </c>
      <c r="B383" s="586"/>
      <c r="C383" s="586"/>
      <c r="D383" s="586"/>
      <c r="E383" s="586"/>
      <c r="F383" s="586"/>
      <c r="G383" s="586"/>
      <c r="H383" s="586"/>
    </row>
    <row r="384" spans="1:8">
      <c r="A384" s="587" t="s">
        <v>982</v>
      </c>
      <c r="B384" s="586"/>
      <c r="C384" s="586"/>
      <c r="D384" s="586"/>
      <c r="E384" s="586"/>
      <c r="F384" s="586"/>
      <c r="G384" s="586"/>
      <c r="H384" s="586"/>
    </row>
    <row r="385" spans="1:8">
      <c r="A385" s="587" t="s">
        <v>983</v>
      </c>
      <c r="B385" s="586"/>
      <c r="C385" s="586"/>
      <c r="D385" s="586"/>
      <c r="E385" s="586"/>
      <c r="F385" s="586"/>
      <c r="G385" s="586"/>
      <c r="H385" s="586"/>
    </row>
    <row r="386" spans="1:8">
      <c r="A386" s="587" t="s">
        <v>984</v>
      </c>
      <c r="B386" s="586"/>
      <c r="C386" s="586"/>
      <c r="D386" s="586"/>
      <c r="E386" s="586"/>
      <c r="F386" s="586"/>
      <c r="G386" s="586"/>
      <c r="H386" s="586"/>
    </row>
    <row r="387" spans="1:8">
      <c r="A387" s="587" t="s">
        <v>985</v>
      </c>
      <c r="B387" s="586"/>
      <c r="C387" s="586"/>
      <c r="D387" s="586"/>
      <c r="E387" s="586"/>
      <c r="F387" s="586"/>
      <c r="G387" s="586"/>
      <c r="H387" s="586"/>
    </row>
    <row r="388" spans="1:8">
      <c r="A388" s="587" t="s">
        <v>986</v>
      </c>
      <c r="B388" s="586"/>
      <c r="C388" s="586"/>
      <c r="D388" s="586"/>
      <c r="E388" s="586"/>
      <c r="F388" s="586"/>
      <c r="G388" s="586"/>
      <c r="H388" s="586"/>
    </row>
    <row r="389" spans="1:8">
      <c r="A389" s="586"/>
      <c r="B389" s="586"/>
      <c r="C389" s="586"/>
      <c r="D389" s="586"/>
      <c r="E389" s="586"/>
      <c r="F389" s="586"/>
      <c r="G389" s="586"/>
      <c r="H389" s="586"/>
    </row>
    <row r="390" spans="1:8">
      <c r="A390" s="587" t="s">
        <v>979</v>
      </c>
      <c r="B390" s="586"/>
      <c r="C390" s="586"/>
      <c r="D390" s="586"/>
      <c r="E390" s="586"/>
      <c r="F390" s="586"/>
      <c r="G390" s="586"/>
      <c r="H390" s="586"/>
    </row>
    <row r="391" spans="1:8">
      <c r="A391" s="587" t="s">
        <v>987</v>
      </c>
      <c r="B391" s="586"/>
      <c r="C391" s="586"/>
      <c r="D391" s="586"/>
      <c r="E391" s="586"/>
      <c r="F391" s="586"/>
      <c r="G391" s="586"/>
      <c r="H391" s="586"/>
    </row>
    <row r="392" spans="1:8">
      <c r="A392" s="587" t="s">
        <v>988</v>
      </c>
      <c r="B392" s="586"/>
      <c r="C392" s="586"/>
      <c r="D392" s="586"/>
      <c r="E392" s="586"/>
      <c r="F392" s="586"/>
      <c r="G392" s="586"/>
      <c r="H392" s="586"/>
    </row>
    <row r="393" spans="1:8">
      <c r="A393" s="587" t="s">
        <v>989</v>
      </c>
      <c r="B393" s="586"/>
      <c r="C393" s="586"/>
      <c r="D393" s="586"/>
      <c r="E393" s="586"/>
      <c r="F393" s="586"/>
      <c r="G393" s="586"/>
      <c r="H393" s="586"/>
    </row>
    <row r="394" spans="1:8">
      <c r="A394" s="586"/>
      <c r="B394" s="586"/>
      <c r="C394" s="586"/>
      <c r="D394" s="586"/>
      <c r="E394" s="586"/>
      <c r="F394" s="586"/>
      <c r="G394" s="586"/>
      <c r="H394" s="586"/>
    </row>
    <row r="395" spans="1:8">
      <c r="A395" s="587" t="s">
        <v>990</v>
      </c>
      <c r="B395" s="586"/>
      <c r="C395" s="586"/>
      <c r="D395" s="586"/>
      <c r="E395" s="586"/>
      <c r="F395" s="586"/>
      <c r="G395" s="586"/>
      <c r="H395" s="586"/>
    </row>
    <row r="396" spans="1:8">
      <c r="A396" s="587" t="s">
        <v>991</v>
      </c>
      <c r="B396" s="586"/>
      <c r="C396" s="586"/>
      <c r="D396" s="586"/>
      <c r="E396" s="586"/>
      <c r="F396" s="586"/>
      <c r="G396" s="586"/>
      <c r="H396" s="586"/>
    </row>
    <row r="397" spans="1:8">
      <c r="A397" s="587" t="s">
        <v>992</v>
      </c>
      <c r="B397" s="586"/>
      <c r="C397" s="586"/>
      <c r="D397" s="586"/>
      <c r="E397" s="586"/>
      <c r="F397" s="586"/>
      <c r="G397" s="586"/>
      <c r="H397" s="586"/>
    </row>
    <row r="398" spans="1:8">
      <c r="A398" s="587" t="s">
        <v>993</v>
      </c>
      <c r="B398" s="586"/>
      <c r="C398" s="586"/>
      <c r="D398" s="586"/>
      <c r="E398" s="586"/>
      <c r="F398" s="586"/>
      <c r="G398" s="586"/>
      <c r="H398" s="586"/>
    </row>
    <row r="399" spans="1:8">
      <c r="A399" s="587" t="s">
        <v>994</v>
      </c>
      <c r="B399" s="586"/>
      <c r="C399" s="586"/>
      <c r="D399" s="586"/>
      <c r="E399" s="586"/>
      <c r="F399" s="586"/>
      <c r="G399" s="586"/>
      <c r="H399" s="586"/>
    </row>
    <row r="400" spans="1:8">
      <c r="A400" s="587" t="s">
        <v>995</v>
      </c>
      <c r="B400" s="586"/>
      <c r="C400" s="586"/>
      <c r="D400" s="586"/>
      <c r="E400" s="586"/>
      <c r="F400" s="586"/>
      <c r="G400" s="586"/>
      <c r="H400" s="586"/>
    </row>
    <row r="401" spans="1:8">
      <c r="A401" s="586"/>
      <c r="B401" s="586"/>
      <c r="C401" s="586"/>
      <c r="D401" s="586"/>
      <c r="E401" s="586"/>
      <c r="F401" s="586"/>
      <c r="G401" s="586"/>
      <c r="H401" s="586"/>
    </row>
    <row r="402" spans="1:8">
      <c r="A402" s="587" t="s">
        <v>996</v>
      </c>
      <c r="B402" s="586"/>
      <c r="C402" s="586"/>
      <c r="D402" s="586"/>
      <c r="E402" s="586"/>
      <c r="F402" s="586"/>
      <c r="G402" s="586"/>
      <c r="H402" s="586"/>
    </row>
    <row r="403" spans="1:8">
      <c r="A403" s="587" t="s">
        <v>997</v>
      </c>
      <c r="B403" s="586"/>
      <c r="C403" s="586"/>
      <c r="D403" s="586"/>
      <c r="E403" s="586"/>
      <c r="F403" s="586"/>
      <c r="G403" s="586"/>
      <c r="H403" s="586"/>
    </row>
    <row r="404" spans="1:8">
      <c r="A404" s="587" t="s">
        <v>998</v>
      </c>
      <c r="B404" s="586"/>
      <c r="C404" s="586"/>
      <c r="D404" s="586"/>
      <c r="E404" s="586"/>
      <c r="F404" s="586"/>
      <c r="G404" s="586"/>
      <c r="H404" s="586"/>
    </row>
    <row r="405" spans="1:8">
      <c r="A405" s="587" t="s">
        <v>999</v>
      </c>
      <c r="B405" s="586"/>
      <c r="C405" s="586"/>
      <c r="D405" s="586"/>
      <c r="E405" s="586"/>
      <c r="F405" s="586"/>
      <c r="G405" s="586"/>
      <c r="H405" s="586"/>
    </row>
    <row r="406" spans="1:8">
      <c r="A406" s="587" t="s">
        <v>1000</v>
      </c>
      <c r="B406" s="586"/>
      <c r="C406" s="586"/>
      <c r="D406" s="586"/>
      <c r="E406" s="586"/>
      <c r="F406" s="586"/>
      <c r="G406" s="586"/>
      <c r="H406" s="586"/>
    </row>
    <row r="407" spans="1:8">
      <c r="A407" s="586"/>
      <c r="B407" s="586"/>
      <c r="C407" s="586"/>
      <c r="D407" s="586"/>
      <c r="E407" s="586"/>
      <c r="F407" s="586"/>
      <c r="G407" s="586"/>
      <c r="H407" s="586"/>
    </row>
    <row r="408" spans="1:8">
      <c r="A408" s="587" t="s">
        <v>1001</v>
      </c>
      <c r="B408" s="586"/>
      <c r="C408" s="586"/>
      <c r="D408" s="586"/>
      <c r="E408" s="586"/>
      <c r="F408" s="586"/>
      <c r="G408" s="586"/>
      <c r="H408" s="586"/>
    </row>
    <row r="409" spans="1:8">
      <c r="A409" s="587" t="s">
        <v>1002</v>
      </c>
      <c r="B409" s="586"/>
      <c r="C409" s="586"/>
      <c r="D409" s="586"/>
      <c r="E409" s="586"/>
      <c r="F409" s="586"/>
      <c r="G409" s="586"/>
      <c r="H409" s="586"/>
    </row>
    <row r="410" spans="1:8">
      <c r="A410" s="586"/>
      <c r="B410" s="586"/>
      <c r="C410" s="586"/>
      <c r="D410" s="586"/>
      <c r="E410" s="586"/>
      <c r="F410" s="586"/>
      <c r="G410" s="586"/>
      <c r="H410" s="586"/>
    </row>
    <row r="411" spans="1:8">
      <c r="A411" s="587" t="s">
        <v>1003</v>
      </c>
      <c r="B411" s="586"/>
      <c r="C411" s="586"/>
      <c r="D411" s="586"/>
      <c r="E411" s="586"/>
      <c r="F411" s="586"/>
      <c r="G411" s="586"/>
      <c r="H411" s="586"/>
    </row>
    <row r="412" spans="1:8">
      <c r="A412" s="587" t="s">
        <v>1004</v>
      </c>
      <c r="B412" s="586"/>
      <c r="C412" s="586"/>
      <c r="D412" s="586"/>
      <c r="E412" s="586"/>
      <c r="F412" s="586"/>
      <c r="G412" s="586"/>
      <c r="H412" s="586"/>
    </row>
    <row r="413" spans="1:8">
      <c r="A413" s="586"/>
      <c r="B413" s="586"/>
      <c r="C413" s="586"/>
      <c r="D413" s="586"/>
      <c r="E413" s="586"/>
      <c r="F413" s="586"/>
      <c r="G413" s="586"/>
      <c r="H413" s="586"/>
    </row>
    <row r="414" spans="1:8">
      <c r="A414" s="587" t="s">
        <v>1005</v>
      </c>
      <c r="B414" s="586"/>
      <c r="C414" s="586"/>
      <c r="D414" s="586"/>
      <c r="E414" s="586"/>
      <c r="F414" s="586"/>
      <c r="G414" s="586"/>
      <c r="H414" s="586"/>
    </row>
    <row r="415" spans="1:8">
      <c r="A415" s="587" t="s">
        <v>1006</v>
      </c>
      <c r="B415" s="586"/>
      <c r="C415" s="586"/>
      <c r="D415" s="586"/>
      <c r="E415" s="586"/>
      <c r="F415" s="586"/>
      <c r="G415" s="586"/>
      <c r="H415" s="586"/>
    </row>
    <row r="416" spans="1:8">
      <c r="A416" s="587" t="s">
        <v>1007</v>
      </c>
      <c r="B416" s="586"/>
      <c r="C416" s="586"/>
      <c r="D416" s="586"/>
      <c r="E416" s="586"/>
      <c r="F416" s="586"/>
      <c r="G416" s="586"/>
      <c r="H416" s="586"/>
    </row>
    <row r="417" spans="1:8">
      <c r="A417" s="587" t="s">
        <v>1008</v>
      </c>
      <c r="B417" s="586"/>
      <c r="C417" s="586"/>
      <c r="D417" s="586"/>
      <c r="E417" s="586"/>
      <c r="F417" s="586"/>
      <c r="G417" s="586"/>
      <c r="H417" s="586"/>
    </row>
    <row r="418" spans="1:8">
      <c r="A418" s="586"/>
      <c r="B418" s="586"/>
      <c r="C418" s="586"/>
      <c r="D418" s="586"/>
      <c r="E418" s="586"/>
      <c r="F418" s="586"/>
      <c r="G418" s="586"/>
      <c r="H418" s="586"/>
    </row>
    <row r="419" spans="1:8">
      <c r="A419" s="587" t="s">
        <v>1009</v>
      </c>
      <c r="B419" s="586"/>
      <c r="C419" s="586"/>
      <c r="D419" s="586"/>
      <c r="E419" s="586"/>
      <c r="F419" s="586"/>
      <c r="G419" s="586"/>
      <c r="H419" s="586"/>
    </row>
    <row r="420" spans="1:8">
      <c r="A420" s="587" t="s">
        <v>1010</v>
      </c>
      <c r="B420" s="586"/>
      <c r="C420" s="586"/>
      <c r="D420" s="586"/>
      <c r="E420" s="586"/>
      <c r="F420" s="586"/>
      <c r="G420" s="586"/>
      <c r="H420" s="586"/>
    </row>
    <row r="421" spans="1:8">
      <c r="A421" s="586"/>
      <c r="B421" s="586"/>
      <c r="C421" s="586"/>
      <c r="D421" s="586"/>
      <c r="E421" s="586"/>
      <c r="F421" s="586"/>
      <c r="G421" s="586"/>
      <c r="H421" s="586"/>
    </row>
    <row r="422" spans="1:8">
      <c r="A422" s="587" t="s">
        <v>1011</v>
      </c>
      <c r="B422" s="586"/>
      <c r="C422" s="586"/>
      <c r="D422" s="586"/>
      <c r="E422" s="586"/>
      <c r="F422" s="586"/>
      <c r="G422" s="586"/>
      <c r="H422" s="586"/>
    </row>
    <row r="423" spans="1:8">
      <c r="A423" s="587" t="s">
        <v>1012</v>
      </c>
      <c r="B423" s="586"/>
      <c r="C423" s="586"/>
      <c r="D423" s="586"/>
      <c r="E423" s="586"/>
      <c r="F423" s="586"/>
      <c r="G423" s="586"/>
      <c r="H423" s="586"/>
    </row>
    <row r="424" spans="1:8">
      <c r="A424" s="587" t="s">
        <v>1013</v>
      </c>
      <c r="B424" s="586"/>
      <c r="C424" s="586"/>
      <c r="D424" s="586"/>
      <c r="E424" s="586"/>
      <c r="F424" s="586"/>
      <c r="G424" s="586"/>
      <c r="H424" s="586"/>
    </row>
    <row r="425" spans="1:8">
      <c r="A425" s="587" t="s">
        <v>1014</v>
      </c>
      <c r="B425" s="586"/>
      <c r="C425" s="586"/>
      <c r="D425" s="586"/>
      <c r="E425" s="586"/>
      <c r="F425" s="586"/>
      <c r="G425" s="586"/>
      <c r="H425" s="586"/>
    </row>
    <row r="427" spans="1:8">
      <c r="A427" s="515" t="s">
        <v>1015</v>
      </c>
    </row>
  </sheetData>
  <mergeCells count="3">
    <mergeCell ref="B130:C130"/>
    <mergeCell ref="D130:F130"/>
    <mergeCell ref="G130:H13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AB154"/>
  <sheetViews>
    <sheetView showGridLines="0" zoomScale="85" zoomScaleNormal="85" workbookViewId="0">
      <pane xSplit="1" ySplit="2" topLeftCell="H30" activePane="bottomRight" state="frozen"/>
      <selection activeCell="Q38" sqref="Q38"/>
      <selection pane="topRight" activeCell="Q38" sqref="Q38"/>
      <selection pane="bottomLeft" activeCell="Q38" sqref="Q38"/>
      <selection pane="bottomRight"/>
    </sheetView>
  </sheetViews>
  <sheetFormatPr defaultRowHeight="14.5" outlineLevelRow="1"/>
  <cols>
    <col min="1" max="1" width="47.81640625" customWidth="1"/>
    <col min="2" max="28" width="12.1796875" style="26" customWidth="1"/>
  </cols>
  <sheetData>
    <row r="1" spans="1:28">
      <c r="A1" s="15" t="s">
        <v>132</v>
      </c>
      <c r="B1" s="68"/>
      <c r="C1" s="68"/>
      <c r="D1" s="68"/>
      <c r="E1" s="68"/>
      <c r="F1" s="68"/>
      <c r="G1" s="68"/>
      <c r="H1" s="68"/>
      <c r="I1" s="68"/>
      <c r="J1" s="68"/>
      <c r="K1" s="68"/>
      <c r="L1" s="68"/>
      <c r="M1" s="68"/>
      <c r="N1" s="68"/>
      <c r="O1" s="68"/>
      <c r="P1" s="68"/>
      <c r="Q1" s="68"/>
      <c r="R1" s="68"/>
      <c r="S1" s="68"/>
      <c r="T1" s="68"/>
      <c r="U1" s="68"/>
      <c r="V1" s="68"/>
      <c r="W1" s="68"/>
      <c r="X1" s="68"/>
      <c r="Y1" s="68"/>
      <c r="Z1" s="68"/>
      <c r="AA1" s="68"/>
      <c r="AB1" s="68"/>
    </row>
    <row r="2" spans="1:28">
      <c r="B2" s="172" t="str">
        <f>Income_Statement_Annual!B2</f>
        <v>CY2000A</v>
      </c>
      <c r="C2" s="172" t="str">
        <f>Income_Statement_Annual!C2</f>
        <v>CY2001A</v>
      </c>
      <c r="D2" s="172" t="str">
        <f>Income_Statement_Annual!D2</f>
        <v>CY2002A</v>
      </c>
      <c r="E2" s="172" t="str">
        <f>Income_Statement_Annual!E2</f>
        <v>CY2003A</v>
      </c>
      <c r="F2" s="172" t="str">
        <f>Income_Statement_Annual!F2</f>
        <v>CY2004A</v>
      </c>
      <c r="G2" s="172" t="str">
        <f>Income_Statement_Annual!G2</f>
        <v>CY2005A</v>
      </c>
      <c r="H2" s="172" t="str">
        <f>Income_Statement_Annual!H2</f>
        <v>CY2006A</v>
      </c>
      <c r="I2" s="172" t="str">
        <f>Income_Statement_Annual!I2</f>
        <v>CY2007A</v>
      </c>
      <c r="J2" s="172" t="str">
        <f>Income_Statement_Annual!J2</f>
        <v>CY2008A</v>
      </c>
      <c r="K2" s="172" t="str">
        <f>Income_Statement_Annual!K2</f>
        <v>CY2009A</v>
      </c>
      <c r="L2" s="172" t="str">
        <f>Income_Statement_Annual!L2</f>
        <v>CY2010A</v>
      </c>
      <c r="M2" s="172" t="str">
        <f>Income_Statement_Annual!M2</f>
        <v>CY2011A</v>
      </c>
      <c r="N2" s="172" t="str">
        <f>Income_Statement_Annual!N2</f>
        <v>CY2012A</v>
      </c>
      <c r="O2" s="172" t="str">
        <f>Income_Statement_Annual!O2</f>
        <v>CY2013A</v>
      </c>
      <c r="P2" s="172" t="str">
        <f>Income_Statement_Annual!P2</f>
        <v>CY2014A</v>
      </c>
      <c r="Q2" s="172" t="str">
        <f>Income_Statement_Annual!Q2</f>
        <v>CY2015A</v>
      </c>
      <c r="R2" s="172" t="str">
        <f>Income_Statement_Annual!R2</f>
        <v>CY2016A</v>
      </c>
      <c r="S2" s="172" t="str">
        <f>Income_Statement_Annual!S2</f>
        <v>CY2017A</v>
      </c>
      <c r="T2" s="172" t="str">
        <f>Income_Statement_Annual!T2</f>
        <v>CY2018A</v>
      </c>
      <c r="U2" s="172" t="str">
        <f>Income_Statement_Annual!U2</f>
        <v>CY2019A</v>
      </c>
      <c r="V2" s="172" t="str">
        <f>Income_Statement_Annual!V2</f>
        <v>CY2020A</v>
      </c>
      <c r="W2" s="172" t="str">
        <f>Income_Statement_Annual!W2</f>
        <v>CY2021A</v>
      </c>
      <c r="X2" s="172" t="str">
        <f>Income_Statement_Annual!X2</f>
        <v>CY2022A</v>
      </c>
      <c r="Y2" s="172" t="str">
        <f>Income_Statement_Annual!Y2</f>
        <v>CY2023A</v>
      </c>
      <c r="Z2" s="172" t="str">
        <f>Income_Statement_Annual!Z2</f>
        <v>CY2024A</v>
      </c>
      <c r="AA2" s="107" t="str">
        <f>Income_Statement_Annual!AA2</f>
        <v>CY2025A</v>
      </c>
      <c r="AB2" s="107" t="str">
        <f>Income_Statement_Annual!AB2</f>
        <v>CY2026E</v>
      </c>
    </row>
    <row r="3" spans="1:28">
      <c r="A3" s="9" t="s">
        <v>133</v>
      </c>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25"/>
      <c r="AB3" s="25"/>
    </row>
    <row r="4" spans="1:28">
      <c r="A4" s="1" t="s">
        <v>134</v>
      </c>
      <c r="B4" s="127">
        <f>Income_Statement_Annual!B10</f>
        <v>51321</v>
      </c>
      <c r="C4" s="127">
        <f>Income_Statement_Annual!C10</f>
        <v>58198</v>
      </c>
      <c r="D4" s="127">
        <f>Income_Statement_Annual!D10</f>
        <v>54061</v>
      </c>
      <c r="E4" s="127">
        <f>Income_Statement_Annual!E10</f>
        <v>50256</v>
      </c>
      <c r="F4" s="127">
        <f>Income_Statement_Annual!F10</f>
        <v>52457</v>
      </c>
      <c r="G4" s="127">
        <f>Income_Statement_Annual!G10</f>
        <v>53621</v>
      </c>
      <c r="H4" s="127">
        <f>Income_Statement_Annual!H10</f>
        <v>61530</v>
      </c>
      <c r="I4" s="127">
        <f>Income_Statement_Annual!I10</f>
        <v>66387</v>
      </c>
      <c r="J4" s="127">
        <f>Income_Statement_Annual!J10</f>
        <v>60909</v>
      </c>
      <c r="K4" s="127">
        <f>Income_Statement_Annual!K10</f>
        <v>68281</v>
      </c>
      <c r="L4" s="127">
        <f>Income_Statement_Annual!L10</f>
        <v>64306</v>
      </c>
      <c r="M4" s="127">
        <f>Income_Statement_Annual!M10</f>
        <v>68735</v>
      </c>
      <c r="N4" s="127">
        <f>Income_Statement_Annual!N10</f>
        <v>81698</v>
      </c>
      <c r="O4" s="127">
        <f>Income_Statement_Annual!O10</f>
        <v>86623</v>
      </c>
      <c r="P4" s="127">
        <f>Income_Statement_Annual!P10</f>
        <v>90762</v>
      </c>
      <c r="Q4" s="127">
        <f>Income_Statement_Annual!Q10</f>
        <v>96114</v>
      </c>
      <c r="R4" s="127">
        <f>Income_Statement_Annual!R10</f>
        <v>94571</v>
      </c>
      <c r="S4" s="127">
        <f>Income_Statement_Annual!S10</f>
        <v>94005</v>
      </c>
      <c r="T4" s="127">
        <f>Income_Statement_Annual!T10</f>
        <v>101127</v>
      </c>
      <c r="U4" s="127">
        <f>Income_Statement_Annual!U10</f>
        <v>76559</v>
      </c>
      <c r="V4" s="127">
        <f>Income_Statement_Annual!V10</f>
        <v>58158</v>
      </c>
      <c r="W4" s="127">
        <f>Income_Statement_Annual!W10</f>
        <v>62286</v>
      </c>
      <c r="X4" s="127">
        <f>Income_Statement_Annual!X10</f>
        <v>66608</v>
      </c>
      <c r="Y4" s="127">
        <f>Income_Statement_Annual!Y10</f>
        <v>77794</v>
      </c>
      <c r="Z4" s="127">
        <f>Income_Statement_Annual!Z10</f>
        <v>66517</v>
      </c>
      <c r="AA4" s="166">
        <f>Income_Statement_Annual!AA10</f>
        <v>89463</v>
      </c>
      <c r="AB4" s="166">
        <f>Income_Statement_Annual!AB10</f>
        <v>99714.978128554954</v>
      </c>
    </row>
    <row r="5" spans="1:28">
      <c r="A5" s="1" t="s">
        <v>135</v>
      </c>
      <c r="B5" s="126">
        <f>Income_Statement_Annual!B11</f>
        <v>-0.11504836790647144</v>
      </c>
      <c r="C5" s="126">
        <f>Income_Statement_Annual!C11</f>
        <v>0.13399972720718623</v>
      </c>
      <c r="D5" s="126">
        <f>Income_Statement_Annual!D11</f>
        <v>-7.1084917007457338E-2</v>
      </c>
      <c r="E5" s="126">
        <f>Income_Statement_Annual!E11</f>
        <v>-7.0383455725939181E-2</v>
      </c>
      <c r="F5" s="126">
        <f>Income_Statement_Annual!F11</f>
        <v>4.3795765679719878E-2</v>
      </c>
      <c r="G5" s="126">
        <f>Income_Statement_Annual!G11</f>
        <v>2.2189602912861872E-2</v>
      </c>
      <c r="H5" s="126">
        <f>Income_Statement_Annual!H11</f>
        <v>0.1474981816825498</v>
      </c>
      <c r="I5" s="126">
        <f>Income_Statement_Annual!I11</f>
        <v>7.8937103851779655E-2</v>
      </c>
      <c r="J5" s="126">
        <f>Income_Statement_Annual!J11</f>
        <v>-8.2516155271363356E-2</v>
      </c>
      <c r="K5" s="126">
        <f>Income_Statement_Annual!K11</f>
        <v>0.12103301646718867</v>
      </c>
      <c r="L5" s="126">
        <f>Income_Statement_Annual!L11</f>
        <v>-5.8215316120150518E-2</v>
      </c>
      <c r="M5" s="126">
        <f>Income_Statement_Annual!M11</f>
        <v>6.8873822038379107E-2</v>
      </c>
      <c r="N5" s="126">
        <f>Income_Statement_Annual!N11</f>
        <v>0.18859387502727865</v>
      </c>
      <c r="O5" s="126">
        <f>Income_Statement_Annual!O11</f>
        <v>6.0282993463732337E-2</v>
      </c>
      <c r="P5" s="126">
        <f>Income_Statement_Annual!P11</f>
        <v>4.778176696720271E-2</v>
      </c>
      <c r="Q5" s="126">
        <f>Income_Statement_Annual!Q11</f>
        <v>5.8967409268195992E-2</v>
      </c>
      <c r="R5" s="126">
        <f>Income_Statement_Annual!R11</f>
        <v>-1.6053852716565786E-2</v>
      </c>
      <c r="S5" s="126">
        <f>Income_Statement_Annual!S11</f>
        <v>-5.9849213818189417E-3</v>
      </c>
      <c r="T5" s="126">
        <f>Income_Statement_Annual!T11</f>
        <v>7.5761927557044917E-2</v>
      </c>
      <c r="U5" s="126">
        <f>Income_Statement_Annual!U11</f>
        <v>-0.24294204317343537</v>
      </c>
      <c r="V5" s="126">
        <f>Income_Statement_Annual!V11</f>
        <v>-0.24035057929178805</v>
      </c>
      <c r="W5" s="126">
        <f>Income_Statement_Annual!W11</f>
        <v>7.0979057051480554E-2</v>
      </c>
      <c r="X5" s="126">
        <f>Income_Statement_Annual!X11</f>
        <v>6.9389589956009301E-2</v>
      </c>
      <c r="Y5" s="126">
        <f>Income_Statement_Annual!Y11</f>
        <v>0.16793778525102088</v>
      </c>
      <c r="Z5" s="126">
        <f>Income_Statement_Annual!Z11</f>
        <v>-0.14495976553461709</v>
      </c>
      <c r="AA5" s="182">
        <f>Income_Statement_Annual!AA11</f>
        <v>0.34496444517942781</v>
      </c>
      <c r="AB5" s="182">
        <f>Income_Statement_Annual!AB11</f>
        <v>0.11459461597034482</v>
      </c>
    </row>
    <row r="6" spans="1:28">
      <c r="A6" s="1" t="s">
        <v>39</v>
      </c>
      <c r="B6" s="127">
        <f>Income_Statement_Annual!B97</f>
        <v>4537</v>
      </c>
      <c r="C6" s="127">
        <f>Income_Statement_Annual!C97</f>
        <v>5639</v>
      </c>
      <c r="D6" s="127">
        <f>Income_Statement_Annual!D97</f>
        <v>4947</v>
      </c>
      <c r="E6" s="127">
        <f>Income_Statement_Annual!E97</f>
        <v>2711</v>
      </c>
      <c r="F6" s="127">
        <f>Income_Statement_Annual!F97</f>
        <v>4071</v>
      </c>
      <c r="G6" s="127">
        <f>Income_Statement_Annual!G97</f>
        <v>4315</v>
      </c>
      <c r="H6" s="127">
        <f>Income_Statement_Annual!H97</f>
        <v>5465</v>
      </c>
      <c r="I6" s="127">
        <f>Income_Statement_Annual!I97</f>
        <v>7316</v>
      </c>
      <c r="J6" s="127">
        <f>Income_Statement_Annual!J97</f>
        <v>8312.1384615384613</v>
      </c>
      <c r="K6" s="127">
        <f>Income_Statement_Annual!K97</f>
        <v>7807</v>
      </c>
      <c r="L6" s="127">
        <f>Income_Statement_Annual!L97</f>
        <v>6698</v>
      </c>
      <c r="M6" s="127">
        <f>Income_Statement_Annual!M97</f>
        <v>7519</v>
      </c>
      <c r="N6" s="127">
        <f>Income_Statement_Annual!N97</f>
        <v>8101</v>
      </c>
      <c r="O6" s="127">
        <f>Income_Statement_Annual!O97</f>
        <v>8812</v>
      </c>
      <c r="P6" s="127">
        <f>Income_Statement_Annual!P97</f>
        <v>9379</v>
      </c>
      <c r="Q6" s="127">
        <f>Income_Statement_Annual!Q97</f>
        <v>9276</v>
      </c>
      <c r="R6" s="127">
        <f>Income_Statement_Annual!R97</f>
        <v>7744</v>
      </c>
      <c r="S6" s="127">
        <f>Income_Statement_Annual!S97</f>
        <v>12391</v>
      </c>
      <c r="T6" s="127">
        <f>Income_Statement_Annual!T97</f>
        <v>14101</v>
      </c>
      <c r="U6" s="127">
        <f>Income_Statement_Annual!U97</f>
        <v>296</v>
      </c>
      <c r="V6" s="127">
        <f>Income_Statement_Annual!V97</f>
        <v>-10521</v>
      </c>
      <c r="W6" s="127">
        <f>Income_Statement_Annual!W97</f>
        <v>-758</v>
      </c>
      <c r="X6" s="127">
        <f>Income_Statement_Annual!X97</f>
        <v>-1568</v>
      </c>
      <c r="Y6" s="127">
        <f>Income_Statement_Annual!Y97</f>
        <v>1088</v>
      </c>
      <c r="Z6" s="127">
        <f>Income_Statement_Annual!Z97</f>
        <v>-8871</v>
      </c>
      <c r="AA6" s="166">
        <f>Income_Statement_Annual!AA97</f>
        <v>6234</v>
      </c>
      <c r="AB6" s="166">
        <f>Income_Statement_Annual!AB97</f>
        <v>4185.728755254615</v>
      </c>
    </row>
    <row r="7" spans="1:28">
      <c r="A7" s="1" t="s">
        <v>40</v>
      </c>
      <c r="B7" s="126">
        <f>Income_Statement_Annual!B98</f>
        <v>8.8404356890941324E-2</v>
      </c>
      <c r="C7" s="126">
        <f>Income_Statement_Annual!C98</f>
        <v>9.6893364033128287E-2</v>
      </c>
      <c r="D7" s="126">
        <f>Income_Statement_Annual!D98</f>
        <v>9.1507741255248701E-2</v>
      </c>
      <c r="E7" s="126">
        <f>Income_Statement_Annual!E98</f>
        <v>5.394380770455269E-2</v>
      </c>
      <c r="F7" s="126">
        <f>Income_Statement_Annual!F98</f>
        <v>7.7606420496787842E-2</v>
      </c>
      <c r="G7" s="126">
        <f>Income_Statement_Annual!G98</f>
        <v>8.0472203054773317E-2</v>
      </c>
      <c r="H7" s="126">
        <f>Income_Statement_Annual!H98</f>
        <v>8.8818462538599055E-2</v>
      </c>
      <c r="I7" s="126">
        <f>Income_Statement_Annual!I98</f>
        <v>0.11020229864280658</v>
      </c>
      <c r="J7" s="126">
        <f>Income_Statement_Annual!J98</f>
        <v>0.1364681485747338</v>
      </c>
      <c r="K7" s="126">
        <f>Income_Statement_Annual!K98</f>
        <v>0.11433634539623029</v>
      </c>
      <c r="L7" s="126">
        <f>Income_Statement_Annual!L98</f>
        <v>0.10415824339874973</v>
      </c>
      <c r="M7" s="126">
        <f>Income_Statement_Annual!M98</f>
        <v>0.10939113988506584</v>
      </c>
      <c r="N7" s="126">
        <f>Income_Statement_Annual!N98</f>
        <v>9.9157874121765521E-2</v>
      </c>
      <c r="O7" s="126">
        <f>Income_Statement_Annual!O98</f>
        <v>0.10172817842836199</v>
      </c>
      <c r="P7" s="126">
        <f>Income_Statement_Annual!P98</f>
        <v>0.10333619796831273</v>
      </c>
      <c r="Q7" s="126">
        <f>Income_Statement_Annual!Q98</f>
        <v>9.6510393907235162E-2</v>
      </c>
      <c r="R7" s="126">
        <f>Income_Statement_Annual!R98</f>
        <v>8.1885567457254338E-2</v>
      </c>
      <c r="S7" s="126">
        <f>Income_Statement_Annual!S98</f>
        <v>0.13181213765225255</v>
      </c>
      <c r="T7" s="126">
        <f>Income_Statement_Annual!T98</f>
        <v>0.13943852779178656</v>
      </c>
      <c r="U7" s="126">
        <f>Income_Statement_Annual!U98</f>
        <v>3.8662991940856071E-3</v>
      </c>
      <c r="V7" s="126">
        <f>Income_Statement_Annual!V98</f>
        <v>-0.18090374497059733</v>
      </c>
      <c r="W7" s="126">
        <f>Income_Statement_Annual!W98</f>
        <v>-1.2169668946472723E-2</v>
      </c>
      <c r="X7" s="126">
        <f>Income_Statement_Annual!X98</f>
        <v>-2.354071582993034E-2</v>
      </c>
      <c r="Y7" s="126">
        <f>Income_Statement_Annual!Y98</f>
        <v>1.3985654420649408E-2</v>
      </c>
      <c r="Z7" s="126">
        <f>Income_Statement_Annual!Z98</f>
        <v>-0.13336440308492567</v>
      </c>
      <c r="AA7" s="182">
        <f>Income_Statement_Annual!AA98</f>
        <v>6.9682438550015088E-2</v>
      </c>
      <c r="AB7" s="182">
        <f>Income_Statement_Annual!AB98</f>
        <v>4.1976930986819982E-2</v>
      </c>
    </row>
    <row r="8" spans="1:28">
      <c r="A8" s="1" t="s">
        <v>136</v>
      </c>
      <c r="B8" s="127">
        <f>Income_Statement_Annual!B34</f>
        <v>3058</v>
      </c>
      <c r="C8" s="127">
        <f>Income_Statement_Annual!C34</f>
        <v>3896</v>
      </c>
      <c r="D8" s="127">
        <f>Income_Statement_Annual!D34</f>
        <v>3450</v>
      </c>
      <c r="E8" s="127">
        <f>Income_Statement_Annual!E34</f>
        <v>1311</v>
      </c>
      <c r="F8" s="127">
        <f>Income_Statement_Annual!F34</f>
        <v>2562</v>
      </c>
      <c r="G8" s="127">
        <f>Income_Statement_Annual!G34</f>
        <v>2812</v>
      </c>
      <c r="H8" s="127">
        <f>Income_Statement_Annual!H34</f>
        <v>3920</v>
      </c>
      <c r="I8" s="127">
        <f>Income_Statement_Annual!I34</f>
        <v>5830</v>
      </c>
      <c r="J8" s="127">
        <f>Income_Statement_Annual!J34</f>
        <v>6821.1384615384613</v>
      </c>
      <c r="K8" s="127">
        <f>Income_Statement_Annual!K34</f>
        <v>6141</v>
      </c>
      <c r="L8" s="127">
        <f>Income_Statement_Annual!L34</f>
        <v>4971</v>
      </c>
      <c r="M8" s="127">
        <f>Income_Statement_Annual!M34</f>
        <v>5844</v>
      </c>
      <c r="N8" s="127">
        <f>Income_Statement_Annual!N34</f>
        <v>6290</v>
      </c>
      <c r="O8" s="127">
        <f>Income_Statement_Annual!O34</f>
        <v>6968</v>
      </c>
      <c r="P8" s="127">
        <f>Income_Statement_Annual!P34</f>
        <v>7473</v>
      </c>
      <c r="Q8" s="127">
        <f>Income_Statement_Annual!Q34</f>
        <v>7443</v>
      </c>
      <c r="R8" s="127">
        <f>Income_Statement_Annual!R34</f>
        <v>5834</v>
      </c>
      <c r="S8" s="127">
        <f>Income_Statement_Annual!S34</f>
        <v>10344</v>
      </c>
      <c r="T8" s="127">
        <f>Income_Statement_Annual!T34</f>
        <v>11987</v>
      </c>
      <c r="U8" s="127">
        <f>Income_Statement_Annual!U34</f>
        <v>-1975</v>
      </c>
      <c r="V8" s="127">
        <f>Income_Statement_Annual!V34</f>
        <v>-12767</v>
      </c>
      <c r="W8" s="127">
        <f>Income_Statement_Annual!W34</f>
        <v>-2902</v>
      </c>
      <c r="X8" s="127">
        <f>Income_Statement_Annual!X34</f>
        <v>-3547</v>
      </c>
      <c r="Y8" s="127">
        <f>Income_Statement_Annual!Y34</f>
        <v>-773</v>
      </c>
      <c r="Z8" s="127">
        <f>Income_Statement_Annual!Z34</f>
        <v>-10707</v>
      </c>
      <c r="AA8" s="166">
        <f>Income_Statement_Annual!AA34</f>
        <v>4281</v>
      </c>
      <c r="AB8" s="166">
        <f>Income_Statement_Annual!AB34</f>
        <v>2111.9937552546153</v>
      </c>
    </row>
    <row r="9" spans="1:28">
      <c r="A9" s="1" t="s">
        <v>137</v>
      </c>
      <c r="B9" s="126">
        <f>Income_Statement_Annual!B35</f>
        <v>5.9585744626955831E-2</v>
      </c>
      <c r="C9" s="126">
        <f>Income_Statement_Annual!C35</f>
        <v>6.6943881233032063E-2</v>
      </c>
      <c r="D9" s="126">
        <f>Income_Statement_Annual!D35</f>
        <v>6.3816799541258948E-2</v>
      </c>
      <c r="E9" s="126">
        <f>Income_Statement_Annual!E35</f>
        <v>2.6086437440305636E-2</v>
      </c>
      <c r="F9" s="126">
        <f>Income_Statement_Annual!F35</f>
        <v>4.8840002287587926E-2</v>
      </c>
      <c r="G9" s="126">
        <f>Income_Statement_Annual!G35</f>
        <v>5.2442140206262471E-2</v>
      </c>
      <c r="H9" s="126">
        <f>Income_Statement_Annual!H35</f>
        <v>6.3708759954493738E-2</v>
      </c>
      <c r="I9" s="126">
        <f>Income_Statement_Annual!I35</f>
        <v>8.7818398180366644E-2</v>
      </c>
      <c r="J9" s="126">
        <f>Income_Statement_Annual!J35</f>
        <v>0.1119890075610905</v>
      </c>
      <c r="K9" s="126">
        <f>Income_Statement_Annual!K35</f>
        <v>8.993717139467787E-2</v>
      </c>
      <c r="L9" s="126">
        <f>Income_Statement_Annual!L35</f>
        <v>7.7302273504805147E-2</v>
      </c>
      <c r="M9" s="126">
        <f>Income_Statement_Annual!M35</f>
        <v>8.50221866589074E-2</v>
      </c>
      <c r="N9" s="126">
        <f>Income_Statement_Annual!N35</f>
        <v>7.6990868809517984E-2</v>
      </c>
      <c r="O9" s="126">
        <f>Income_Statement_Annual!O35</f>
        <v>8.0440529651478243E-2</v>
      </c>
      <c r="P9" s="126">
        <f>Income_Statement_Annual!P35</f>
        <v>8.2336220003966412E-2</v>
      </c>
      <c r="Q9" s="126">
        <f>Income_Statement_Annual!Q35</f>
        <v>7.7439290842124975E-2</v>
      </c>
      <c r="R9" s="126">
        <f>Income_Statement_Annual!R35</f>
        <v>6.1689101310126782E-2</v>
      </c>
      <c r="S9" s="126">
        <f>Income_Statement_Annual!S35</f>
        <v>0.11003670017552258</v>
      </c>
      <c r="T9" s="126">
        <f>Income_Statement_Annual!T35</f>
        <v>0.11853412046238888</v>
      </c>
      <c r="U9" s="126">
        <f>Income_Statement_Annual!U35</f>
        <v>-2.5797097663240117E-2</v>
      </c>
      <c r="V9" s="126">
        <f>Income_Statement_Annual!V35</f>
        <v>-0.21952267959696001</v>
      </c>
      <c r="W9" s="126">
        <f>Income_Statement_Annual!W35</f>
        <v>-4.6591529396654147E-2</v>
      </c>
      <c r="X9" s="126">
        <f>Income_Statement_Annual!X35</f>
        <v>-5.3251861638241652E-2</v>
      </c>
      <c r="Y9" s="126">
        <f>Income_Statement_Annual!Y35</f>
        <v>-9.9364989587885956E-3</v>
      </c>
      <c r="Z9" s="126">
        <f>Income_Statement_Annual!Z35</f>
        <v>-0.16096636949952645</v>
      </c>
      <c r="AA9" s="182">
        <f>Income_Statement_Annual!AA35</f>
        <v>4.78521847020556E-2</v>
      </c>
      <c r="AB9" s="182">
        <f>Income_Statement_Annual!AB35</f>
        <v>2.118030605724831E-2</v>
      </c>
    </row>
    <row r="10" spans="1:28">
      <c r="A10" s="1" t="s">
        <v>48</v>
      </c>
      <c r="B10" s="127">
        <f>Income_Statement_Annual!B40</f>
        <v>2999</v>
      </c>
      <c r="C10" s="127">
        <f>Income_Statement_Annual!C40</f>
        <v>3564</v>
      </c>
      <c r="D10" s="127">
        <f>Income_Statement_Annual!D40</f>
        <v>3180</v>
      </c>
      <c r="E10" s="127">
        <f>Income_Statement_Annual!E40</f>
        <v>1413</v>
      </c>
      <c r="F10" s="127">
        <f>Income_Statement_Annual!F40</f>
        <v>2296</v>
      </c>
      <c r="G10" s="127">
        <f>Income_Statement_Annual!G40</f>
        <v>2755</v>
      </c>
      <c r="H10" s="127">
        <f>Income_Statement_Annual!H40</f>
        <v>4100</v>
      </c>
      <c r="I10" s="127">
        <f>Income_Statement_Annual!I40</f>
        <v>6118</v>
      </c>
      <c r="J10" s="127">
        <f>Income_Statement_Annual!J40</f>
        <v>6866.1384615384613</v>
      </c>
      <c r="K10" s="127">
        <f>Income_Statement_Annual!K40</f>
        <v>5776</v>
      </c>
      <c r="L10" s="127">
        <f>Income_Statement_Annual!L40</f>
        <v>4507</v>
      </c>
      <c r="M10" s="127">
        <f>Income_Statement_Annual!M40</f>
        <v>5393</v>
      </c>
      <c r="N10" s="127">
        <f>Income_Statement_Annual!N40</f>
        <v>5910</v>
      </c>
      <c r="O10" s="127">
        <f>Income_Statement_Annual!O40</f>
        <v>6638</v>
      </c>
      <c r="P10" s="127">
        <f>Income_Statement_Annual!P40</f>
        <v>7137</v>
      </c>
      <c r="Q10" s="127">
        <f>Income_Statement_Annual!Q40</f>
        <v>7155</v>
      </c>
      <c r="R10" s="127">
        <f>Income_Statement_Annual!R40</f>
        <v>5568</v>
      </c>
      <c r="S10" s="127">
        <f>Income_Statement_Annual!S40</f>
        <v>10107</v>
      </c>
      <c r="T10" s="127">
        <f>Income_Statement_Annual!T40</f>
        <v>11604</v>
      </c>
      <c r="U10" s="127">
        <f>Income_Statement_Annual!U40</f>
        <v>-2259</v>
      </c>
      <c r="V10" s="127">
        <f>Income_Statement_Annual!V40</f>
        <v>-14476</v>
      </c>
      <c r="W10" s="127">
        <f>Income_Statement_Annual!W40</f>
        <v>-5033</v>
      </c>
      <c r="X10" s="127">
        <f>Income_Statement_Annual!X40</f>
        <v>-5022</v>
      </c>
      <c r="Y10" s="127">
        <f>Income_Statement_Annual!Y40</f>
        <v>-2005</v>
      </c>
      <c r="Z10" s="127">
        <f>Income_Statement_Annual!Z40</f>
        <v>-12210</v>
      </c>
      <c r="AA10" s="166">
        <f>Income_Statement_Annual!AA40</f>
        <v>2635</v>
      </c>
      <c r="AB10" s="166">
        <f>Income_Statement_Annual!AB40</f>
        <v>527.84550525461509</v>
      </c>
    </row>
    <row r="11" spans="1:28">
      <c r="A11" s="1" t="s">
        <v>49</v>
      </c>
      <c r="B11" s="126">
        <f>Income_Statement_Annual!B44</f>
        <v>0.29043014338112705</v>
      </c>
      <c r="C11" s="126">
        <f>Income_Statement_Annual!C44</f>
        <v>0.20707070707070707</v>
      </c>
      <c r="D11" s="126">
        <f>Income_Statement_Annual!D44</f>
        <v>0.27075471698113207</v>
      </c>
      <c r="E11" s="126" t="str">
        <f>Income_Statement_Annual!E44</f>
        <v>NM</v>
      </c>
      <c r="F11" s="126">
        <f>Income_Statement_Annual!F44</f>
        <v>0.27155487804878048</v>
      </c>
      <c r="G11" s="126">
        <f>Income_Statement_Annual!G44</f>
        <v>0.29152268602540832</v>
      </c>
      <c r="H11" s="126">
        <f>Income_Statement_Annual!H44</f>
        <v>0.27267707317073175</v>
      </c>
      <c r="I11" s="126">
        <f>Income_Statement_Annual!I44</f>
        <v>0.33671134357633214</v>
      </c>
      <c r="J11" s="126">
        <f>Income_Statement_Annual!J44</f>
        <v>0.34166197997306741</v>
      </c>
      <c r="K11" s="126">
        <f>Income_Statement_Annual!K44</f>
        <v>0.32670152354570642</v>
      </c>
      <c r="L11" s="126">
        <f>Income_Statement_Annual!L44</f>
        <v>0.31490792101175952</v>
      </c>
      <c r="M11" s="126">
        <f>Income_Statement_Annual!M44</f>
        <v>0.33002373447061006</v>
      </c>
      <c r="N11" s="126">
        <f>Income_Statement_Annual!N44</f>
        <v>0.33959390862944161</v>
      </c>
      <c r="O11" s="126">
        <f>Income_Statement_Annual!O44</f>
        <v>0.26981259415486591</v>
      </c>
      <c r="P11" s="126">
        <f>Income_Statement_Annual!P44</f>
        <v>0.23693428611461398</v>
      </c>
      <c r="Q11" s="126">
        <f>Income_Statement_Annual!Q44</f>
        <v>0.27658979734451433</v>
      </c>
      <c r="R11" s="126">
        <f>Income_Statement_Annual!R44</f>
        <v>0.12086925287356322</v>
      </c>
      <c r="S11" s="126">
        <f>Income_Statement_Annual!S44</f>
        <v>0.16315424953002869</v>
      </c>
      <c r="T11" s="126">
        <f>Income_Statement_Annual!T44</f>
        <v>9.8586694243364359E-2</v>
      </c>
      <c r="U11" s="126" t="str">
        <f>Income_Statement_Annual!U44</f>
        <v>NM</v>
      </c>
      <c r="V11" s="126" t="str">
        <f>Income_Statement_Annual!V44</f>
        <v>NM</v>
      </c>
      <c r="W11" s="126" t="str">
        <f>Income_Statement_Annual!W44</f>
        <v>NM</v>
      </c>
      <c r="X11" s="126">
        <f>Income_Statement_Annual!X44</f>
        <v>-6.1728395061728392E-3</v>
      </c>
      <c r="Y11" s="126">
        <f>Income_Statement_Annual!Y44</f>
        <v>-0.11820448877805487</v>
      </c>
      <c r="Z11" s="126" t="str">
        <f>Income_Statement_Annual!Z44</f>
        <v>NM</v>
      </c>
      <c r="AA11" s="182">
        <f>Income_Statement_Annual!AA44</f>
        <v>-5.9150000000000001E-2</v>
      </c>
      <c r="AB11" s="182">
        <f>Income_Statement_Annual!AB44</f>
        <v>0.1</v>
      </c>
    </row>
    <row r="12" spans="1:28">
      <c r="A12" s="1" t="s">
        <v>575</v>
      </c>
      <c r="B12" s="127">
        <f>Income_Statement_Annual!B56</f>
        <v>2128</v>
      </c>
      <c r="C12" s="127">
        <f>Income_Statement_Annual!C56</f>
        <v>2827</v>
      </c>
      <c r="D12" s="127">
        <f>Income_Statement_Annual!D56</f>
        <v>492</v>
      </c>
      <c r="E12" s="127">
        <f>Income_Statement_Annual!E56</f>
        <v>718</v>
      </c>
      <c r="F12" s="127">
        <f>Income_Statement_Annual!F56</f>
        <v>1872</v>
      </c>
      <c r="G12" s="127">
        <f>Income_Statement_Annual!G56</f>
        <v>2572</v>
      </c>
      <c r="H12" s="127">
        <f>Income_Statement_Annual!H56</f>
        <v>2215</v>
      </c>
      <c r="I12" s="127">
        <f>Income_Statement_Annual!I56</f>
        <v>4074</v>
      </c>
      <c r="J12" s="127">
        <f>Income_Statement_Annual!J56</f>
        <v>2672</v>
      </c>
      <c r="K12" s="127">
        <f>Income_Statement_Annual!K56</f>
        <v>1312</v>
      </c>
      <c r="L12" s="127">
        <f>Income_Statement_Annual!L56</f>
        <v>3307</v>
      </c>
      <c r="M12" s="127">
        <f>Income_Statement_Annual!M56</f>
        <v>4018</v>
      </c>
      <c r="N12" s="127">
        <f>Income_Statement_Annual!N56</f>
        <v>3900</v>
      </c>
      <c r="O12" s="127">
        <f>Income_Statement_Annual!O56</f>
        <v>4585</v>
      </c>
      <c r="P12" s="127">
        <f>Income_Statement_Annual!P56</f>
        <v>5446</v>
      </c>
      <c r="Q12" s="127">
        <f>Income_Statement_Annual!Q56</f>
        <v>5176</v>
      </c>
      <c r="R12" s="127">
        <f>Income_Statement_Annual!R56</f>
        <v>4895</v>
      </c>
      <c r="S12" s="127">
        <f>Income_Statement_Annual!S56</f>
        <v>8458</v>
      </c>
      <c r="T12" s="127">
        <f>Income_Statement_Annual!T56</f>
        <v>10460</v>
      </c>
      <c r="U12" s="127">
        <f>Income_Statement_Annual!U56</f>
        <v>-636</v>
      </c>
      <c r="V12" s="127">
        <f>Income_Statement_Annual!V56</f>
        <v>-11941</v>
      </c>
      <c r="W12" s="127">
        <f>Income_Statement_Annual!W56</f>
        <v>-4290</v>
      </c>
      <c r="X12" s="127">
        <f>Income_Statement_Annual!X56</f>
        <v>-5053</v>
      </c>
      <c r="Y12" s="127">
        <f>Income_Statement_Annual!Y56</f>
        <v>-2242</v>
      </c>
      <c r="Z12" s="127">
        <f>Income_Statement_Annual!Z56</f>
        <v>-11829</v>
      </c>
      <c r="AA12" s="127">
        <f>Income_Statement_Annual!AA56</f>
        <v>2238</v>
      </c>
      <c r="AB12" s="127">
        <f>Income_Statement_Annual!AB56</f>
        <v>475.06095472915359</v>
      </c>
    </row>
    <row r="13" spans="1:28">
      <c r="A13" s="1" t="s">
        <v>138</v>
      </c>
      <c r="B13" s="147">
        <f>Income_Statement_Annual!B70</f>
        <v>2.4423275565247331</v>
      </c>
      <c r="C13" s="147">
        <f>Income_Statement_Annual!C70</f>
        <v>3.4076932352586522</v>
      </c>
      <c r="D13" s="147">
        <f>Income_Statement_Annual!D70</f>
        <v>2.8686293913904009</v>
      </c>
      <c r="E13" s="147">
        <f>Income_Statement_Annual!E70</f>
        <v>1.8568290270738039</v>
      </c>
      <c r="F13" s="147">
        <f>Income_Statement_Annual!F70</f>
        <v>2.0572078720787208</v>
      </c>
      <c r="G13" s="147">
        <f>Income_Statement_Annual!G70</f>
        <v>2.4310063519740939</v>
      </c>
      <c r="H13" s="147">
        <f>Income_Statement_Annual!H70</f>
        <v>3.8204977145759265</v>
      </c>
      <c r="I13" s="147">
        <f>Income_Statement_Annual!I70</f>
        <v>5.2530744336569581</v>
      </c>
      <c r="J13" s="147">
        <f>Income_Statement_Annual!J70</f>
        <v>6.2006035665294919</v>
      </c>
      <c r="K13" s="147">
        <f>Income_Statement_Annual!K70</f>
        <v>5.4513204373423045</v>
      </c>
      <c r="L13" s="147">
        <f>Income_Statement_Annual!L70</f>
        <v>4.1484750772537957</v>
      </c>
      <c r="M13" s="147">
        <f>Income_Statement_Annual!M70</f>
        <v>4.8017346123101516</v>
      </c>
      <c r="N13" s="147">
        <f>Income_Statement_Annual!N70</f>
        <v>5.1149047931713723</v>
      </c>
      <c r="O13" s="147">
        <f>Income_Statement_Annual!O70</f>
        <v>6.3053465346534656</v>
      </c>
      <c r="P13" s="147">
        <f>Income_Statement_Annual!P70</f>
        <v>7.3842812542418894</v>
      </c>
      <c r="Q13" s="147">
        <f>Income_Statement_Annual!Q70</f>
        <v>7.4417266187050357</v>
      </c>
      <c r="R13" s="147">
        <f>Income_Statement_Annual!R70</f>
        <v>7.6104542626011202</v>
      </c>
      <c r="S13" s="147">
        <f>Income_Statement_Annual!S70</f>
        <v>13.855737704918033</v>
      </c>
      <c r="T13" s="147">
        <f>Income_Statement_Annual!T70</f>
        <v>17.853116994022205</v>
      </c>
      <c r="U13" s="147">
        <f>Income_Statement_Annual!U70</f>
        <v>-1.1248673505482845</v>
      </c>
      <c r="V13" s="147">
        <f>Income_Statement_Annual!V70</f>
        <v>-20.896730760769131</v>
      </c>
      <c r="W13" s="147">
        <f>Income_Statement_Annual!W70</f>
        <v>-7.1398836073233944</v>
      </c>
      <c r="X13" s="147">
        <f>Income_Statement_Annual!X70</f>
        <v>-8.2824943147012178</v>
      </c>
      <c r="Y13" s="147">
        <f>Income_Statement_Annual!Y70</f>
        <v>-3.6659380541922713</v>
      </c>
      <c r="Z13" s="147">
        <f>Income_Statement_Annual!Z70</f>
        <v>-18.348269468479604</v>
      </c>
      <c r="AA13" s="219">
        <f>Income_Statement_Annual!AA70</f>
        <v>2.4793388429752068</v>
      </c>
      <c r="AB13" s="219">
        <f>Income_Statement_Annual!AB70</f>
        <v>0.16056351670708335</v>
      </c>
    </row>
    <row r="14" spans="1:28">
      <c r="A14" s="1" t="s">
        <v>154</v>
      </c>
      <c r="B14" s="123">
        <f>Income_Statement_Annual!B79</f>
        <v>871.3</v>
      </c>
      <c r="C14" s="123">
        <f>Income_Statement_Annual!C79</f>
        <v>829.3</v>
      </c>
      <c r="D14" s="123">
        <f>Income_Statement_Annual!D79</f>
        <v>808.4</v>
      </c>
      <c r="E14" s="123">
        <f>Income_Statement_Annual!E79</f>
        <v>808.9</v>
      </c>
      <c r="F14" s="123">
        <f>Income_Statement_Annual!F79</f>
        <v>813</v>
      </c>
      <c r="G14" s="123">
        <f>Income_Statement_Annual!G79</f>
        <v>802.9</v>
      </c>
      <c r="H14" s="123">
        <f>Income_Statement_Annual!H79</f>
        <v>787.6</v>
      </c>
      <c r="I14" s="123">
        <f>Income_Statement_Annual!I79</f>
        <v>772.5</v>
      </c>
      <c r="J14" s="123">
        <f>Income_Statement_Annual!J79</f>
        <v>729</v>
      </c>
      <c r="K14" s="123">
        <f>Income_Statement_Annual!K79</f>
        <v>713.4</v>
      </c>
      <c r="L14" s="123">
        <f>Income_Statement_Annual!L79</f>
        <v>744.3</v>
      </c>
      <c r="M14" s="123">
        <f>Income_Statement_Annual!M79</f>
        <v>750.6</v>
      </c>
      <c r="N14" s="123">
        <f>Income_Statement_Annual!N79</f>
        <v>761.5</v>
      </c>
      <c r="O14" s="123">
        <f>Income_Statement_Annual!O79</f>
        <v>767.6</v>
      </c>
      <c r="P14" s="123">
        <f>Income_Statement_Annual!P79</f>
        <v>736.7</v>
      </c>
      <c r="Q14" s="123">
        <f>Income_Statement_Annual!Q79</f>
        <v>695</v>
      </c>
      <c r="R14" s="123">
        <f>Income_Statement_Annual!R79</f>
        <v>642.79999999999995</v>
      </c>
      <c r="S14" s="123">
        <f>Income_Statement_Annual!S79</f>
        <v>610</v>
      </c>
      <c r="T14" s="123">
        <f>Income_Statement_Annual!T79</f>
        <v>585.5</v>
      </c>
      <c r="U14" s="123">
        <f>Income_Statement_Annual!U79</f>
        <v>565.4</v>
      </c>
      <c r="V14" s="123">
        <f>Income_Statement_Annual!V79</f>
        <v>568.17499999999995</v>
      </c>
      <c r="W14" s="123">
        <f>Income_Statement_Annual!W79</f>
        <v>588.52499999999986</v>
      </c>
      <c r="X14" s="123">
        <f>Income_Statement_Annual!X79</f>
        <v>595.83500000000004</v>
      </c>
      <c r="Y14" s="123">
        <f>Income_Statement_Annual!Y79</f>
        <v>606.17499999999995</v>
      </c>
      <c r="Z14" s="123">
        <f>Income_Statement_Annual!Z79</f>
        <v>647.20000000000005</v>
      </c>
      <c r="AA14" s="38">
        <f>Income_Statement_Annual!AA79</f>
        <v>762.3</v>
      </c>
      <c r="AB14" s="38">
        <f>Income_Statement_Annual!AB79</f>
        <v>803.8</v>
      </c>
    </row>
    <row r="15" spans="1:28">
      <c r="A15" s="1" t="s">
        <v>65</v>
      </c>
      <c r="B15" s="129">
        <v>0</v>
      </c>
      <c r="C15" s="129">
        <v>0.69399292071892504</v>
      </c>
      <c r="D15" s="129">
        <v>1.0881966667283254</v>
      </c>
      <c r="E15" s="129">
        <v>1.3277220630372493</v>
      </c>
      <c r="F15" s="129">
        <v>1.0413862782850716</v>
      </c>
      <c r="G15" s="129">
        <v>1.890266873053468</v>
      </c>
      <c r="H15" s="129">
        <v>1.7318381277425645</v>
      </c>
      <c r="I15" s="129">
        <v>2.1556027535511473</v>
      </c>
      <c r="J15" s="129">
        <v>1.4094961335763188</v>
      </c>
      <c r="K15" s="129">
        <v>0.46737745492889676</v>
      </c>
      <c r="L15" s="129">
        <v>1.0819208160980314</v>
      </c>
      <c r="M15" s="129">
        <v>1.5034698479668291</v>
      </c>
      <c r="N15" s="129">
        <v>1.4259100589977722</v>
      </c>
      <c r="O15" s="129">
        <v>1.5852948985835171</v>
      </c>
      <c r="P15" s="129">
        <v>1.6771886913025276</v>
      </c>
      <c r="Q15" s="129">
        <v>0.86378675323053877</v>
      </c>
      <c r="R15" s="129">
        <v>0.83285573801693968</v>
      </c>
      <c r="S15" s="129">
        <v>1.0122121163767885</v>
      </c>
      <c r="T15" s="129">
        <v>1.1566446151868444</v>
      </c>
      <c r="U15" s="129">
        <v>0.64631199467077682</v>
      </c>
      <c r="V15" s="129">
        <v>-0.40613261116449723</v>
      </c>
      <c r="W15" s="129">
        <v>1.226294833509938</v>
      </c>
      <c r="X15" s="129">
        <v>1.4035851549363441</v>
      </c>
      <c r="Y15" s="129">
        <v>2.488726637015708</v>
      </c>
      <c r="Z15" s="129">
        <v>0</v>
      </c>
      <c r="AA15" s="250">
        <v>0</v>
      </c>
      <c r="AB15" s="250">
        <v>0</v>
      </c>
    </row>
    <row r="16" spans="1:28">
      <c r="A16" s="1"/>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38"/>
      <c r="AB16" s="38"/>
    </row>
    <row r="17" spans="1:28">
      <c r="A17" s="9" t="s">
        <v>139</v>
      </c>
      <c r="B17" s="150"/>
      <c r="C17" s="150"/>
      <c r="D17" s="150"/>
      <c r="E17" s="150"/>
      <c r="F17" s="150"/>
      <c r="G17" s="150"/>
      <c r="H17" s="150"/>
      <c r="I17" s="150"/>
      <c r="J17" s="150"/>
      <c r="K17" s="150"/>
      <c r="L17" s="150"/>
      <c r="M17" s="150"/>
      <c r="N17" s="150"/>
      <c r="O17" s="150"/>
      <c r="P17" s="150"/>
      <c r="Q17" s="150"/>
      <c r="R17" s="150"/>
      <c r="S17" s="150"/>
      <c r="T17" s="150"/>
      <c r="U17" s="150"/>
      <c r="V17" s="150"/>
      <c r="W17" s="150"/>
      <c r="X17" s="150"/>
      <c r="Y17" s="150"/>
      <c r="Z17" s="150"/>
      <c r="AA17" s="25"/>
      <c r="AB17" s="25"/>
    </row>
    <row r="18" spans="1:28">
      <c r="A18" s="1" t="s">
        <v>152</v>
      </c>
      <c r="B18" s="127">
        <f>Cash_Flow_Annual!B29</f>
        <v>5942</v>
      </c>
      <c r="C18" s="127">
        <f>Cash_Flow_Annual!C29</f>
        <v>3894</v>
      </c>
      <c r="D18" s="127">
        <f>Cash_Flow_Annual!D29</f>
        <v>4236</v>
      </c>
      <c r="E18" s="127">
        <f>Cash_Flow_Annual!E29</f>
        <v>2709</v>
      </c>
      <c r="F18" s="127">
        <f>Cash_Flow_Annual!F29</f>
        <v>3504</v>
      </c>
      <c r="G18" s="127">
        <f>Cash_Flow_Annual!G29</f>
        <v>7000</v>
      </c>
      <c r="H18" s="127">
        <f>Cash_Flow_Annual!H29</f>
        <v>7499</v>
      </c>
      <c r="I18" s="127">
        <f>Cash_Flow_Annual!I29</f>
        <v>9584</v>
      </c>
      <c r="J18" s="127">
        <f>Cash_Flow_Annual!J29</f>
        <v>-401</v>
      </c>
      <c r="K18" s="127">
        <f>Cash_Flow_Annual!K29</f>
        <v>5603</v>
      </c>
      <c r="L18" s="127">
        <f>Cash_Flow_Annual!L29</f>
        <v>2952</v>
      </c>
      <c r="M18" s="127">
        <f>Cash_Flow_Annual!M29</f>
        <v>4023</v>
      </c>
      <c r="N18" s="127">
        <f>Cash_Flow_Annual!N29</f>
        <v>7508</v>
      </c>
      <c r="O18" s="127">
        <f>Cash_Flow_Annual!O29</f>
        <v>8179</v>
      </c>
      <c r="P18" s="127">
        <f>Cash_Flow_Annual!P29</f>
        <v>8858</v>
      </c>
      <c r="Q18" s="127">
        <f>Cash_Flow_Annual!Q29</f>
        <v>9363</v>
      </c>
      <c r="R18" s="127">
        <f>Cash_Flow_Annual!R29</f>
        <v>10499</v>
      </c>
      <c r="S18" s="127">
        <f>Cash_Flow_Annual!S29</f>
        <v>13346</v>
      </c>
      <c r="T18" s="127">
        <f>Cash_Flow_Annual!T29</f>
        <v>15322</v>
      </c>
      <c r="U18" s="127">
        <f>Cash_Flow_Annual!U29</f>
        <v>-2446</v>
      </c>
      <c r="V18" s="127">
        <f>Cash_Flow_Annual!V29</f>
        <v>-18410</v>
      </c>
      <c r="W18" s="127">
        <f>Cash_Flow_Annual!W29</f>
        <v>-3416</v>
      </c>
      <c r="X18" s="127">
        <f>Cash_Flow_Annual!X29</f>
        <v>3512</v>
      </c>
      <c r="Y18" s="127">
        <f>Cash_Flow_Annual!Y29</f>
        <v>5960</v>
      </c>
      <c r="Z18" s="127">
        <f>Cash_Flow_Annual!Z29</f>
        <v>-12080</v>
      </c>
      <c r="AA18" s="166">
        <f>Cash_Flow_Annual!AA29</f>
        <v>1065</v>
      </c>
      <c r="AB18" s="166">
        <f ca="1">Cash_Flow_Annual!AB29</f>
        <v>6229.8021594402344</v>
      </c>
    </row>
    <row r="19" spans="1:28">
      <c r="A19" s="1" t="s">
        <v>140</v>
      </c>
      <c r="B19" s="127">
        <f>Cash_Flow_Annual!B33</f>
        <v>-932</v>
      </c>
      <c r="C19" s="127">
        <f>Cash_Flow_Annual!C33</f>
        <v>-1189</v>
      </c>
      <c r="D19" s="127">
        <f>Cash_Flow_Annual!D33</f>
        <v>-1001</v>
      </c>
      <c r="E19" s="127">
        <f>Cash_Flow_Annual!E33</f>
        <v>-741</v>
      </c>
      <c r="F19" s="127">
        <f>Cash_Flow_Annual!F33</f>
        <v>-1246</v>
      </c>
      <c r="G19" s="127">
        <f>Cash_Flow_Annual!G33</f>
        <v>-1547</v>
      </c>
      <c r="H19" s="127">
        <f>Cash_Flow_Annual!H33</f>
        <v>-1681</v>
      </c>
      <c r="I19" s="127">
        <f>Cash_Flow_Annual!I33</f>
        <v>-1731</v>
      </c>
      <c r="J19" s="127">
        <f>Cash_Flow_Annual!J33</f>
        <v>-1674</v>
      </c>
      <c r="K19" s="127">
        <f>Cash_Flow_Annual!K33</f>
        <v>-1186</v>
      </c>
      <c r="L19" s="127">
        <f>Cash_Flow_Annual!L33</f>
        <v>-1125</v>
      </c>
      <c r="M19" s="127">
        <f>Cash_Flow_Annual!M33</f>
        <v>-1713</v>
      </c>
      <c r="N19" s="127">
        <f>Cash_Flow_Annual!N33</f>
        <v>-1703</v>
      </c>
      <c r="O19" s="127">
        <f>Cash_Flow_Annual!O33</f>
        <v>-2098</v>
      </c>
      <c r="P19" s="127">
        <f>Cash_Flow_Annual!P33</f>
        <v>-2236</v>
      </c>
      <c r="Q19" s="127">
        <f>Cash_Flow_Annual!Q33</f>
        <v>-2450</v>
      </c>
      <c r="R19" s="127">
        <f>Cash_Flow_Annual!R33</f>
        <v>-2613</v>
      </c>
      <c r="S19" s="127">
        <f>Cash_Flow_Annual!S33</f>
        <v>-1739</v>
      </c>
      <c r="T19" s="127">
        <f>Cash_Flow_Annual!T33</f>
        <v>-1722</v>
      </c>
      <c r="U19" s="127">
        <f>Cash_Flow_Annual!U33</f>
        <v>-1834</v>
      </c>
      <c r="V19" s="127">
        <f>Cash_Flow_Annual!V33</f>
        <v>-1303</v>
      </c>
      <c r="W19" s="127">
        <f>Cash_Flow_Annual!W33</f>
        <v>-980</v>
      </c>
      <c r="X19" s="127">
        <f>Cash_Flow_Annual!X33</f>
        <v>-1222</v>
      </c>
      <c r="Y19" s="127">
        <f>Cash_Flow_Annual!Y33</f>
        <v>-1527</v>
      </c>
      <c r="Z19" s="127">
        <f>Cash_Flow_Annual!Z33</f>
        <v>-2230</v>
      </c>
      <c r="AA19" s="166">
        <f>Cash_Flow_Annual!AA33</f>
        <v>-2942</v>
      </c>
      <c r="AB19" s="166">
        <f>Cash_Flow_Annual!AB33</f>
        <v>-4058.3996098321868</v>
      </c>
    </row>
    <row r="20" spans="1:28">
      <c r="A20" s="1" t="s">
        <v>25</v>
      </c>
      <c r="B20" s="127">
        <f>Cash_Flow_Annual!B77</f>
        <v>5010</v>
      </c>
      <c r="C20" s="127">
        <f>Cash_Flow_Annual!C77</f>
        <v>2705</v>
      </c>
      <c r="D20" s="127">
        <f>Cash_Flow_Annual!D77</f>
        <v>3235</v>
      </c>
      <c r="E20" s="127">
        <f>Cash_Flow_Annual!E77</f>
        <v>1968</v>
      </c>
      <c r="F20" s="127">
        <f>Cash_Flow_Annual!F77</f>
        <v>2258</v>
      </c>
      <c r="G20" s="127">
        <f>Cash_Flow_Annual!G77</f>
        <v>5453</v>
      </c>
      <c r="H20" s="127">
        <f>Cash_Flow_Annual!H77</f>
        <v>5818</v>
      </c>
      <c r="I20" s="127">
        <f>Cash_Flow_Annual!I77</f>
        <v>7853</v>
      </c>
      <c r="J20" s="127">
        <f>Cash_Flow_Annual!J77</f>
        <v>-2075</v>
      </c>
      <c r="K20" s="127">
        <f>Cash_Flow_Annual!K77</f>
        <v>4417</v>
      </c>
      <c r="L20" s="127">
        <f>Cash_Flow_Annual!L77</f>
        <v>1827</v>
      </c>
      <c r="M20" s="127">
        <f>Cash_Flow_Annual!M77</f>
        <v>2310</v>
      </c>
      <c r="N20" s="127">
        <f>Cash_Flow_Annual!N77</f>
        <v>5805</v>
      </c>
      <c r="O20" s="127">
        <f>Cash_Flow_Annual!O77</f>
        <v>6081</v>
      </c>
      <c r="P20" s="127">
        <f>Cash_Flow_Annual!P77</f>
        <v>6622</v>
      </c>
      <c r="Q20" s="127">
        <f>Cash_Flow_Annual!Q77</f>
        <v>6913</v>
      </c>
      <c r="R20" s="127">
        <f>Cash_Flow_Annual!R77</f>
        <v>7886</v>
      </c>
      <c r="S20" s="127">
        <f>Cash_Flow_Annual!S77</f>
        <v>11607</v>
      </c>
      <c r="T20" s="127">
        <f>Cash_Flow_Annual!T77</f>
        <v>13600</v>
      </c>
      <c r="U20" s="127">
        <f>Cash_Flow_Annual!U77</f>
        <v>-4280</v>
      </c>
      <c r="V20" s="127">
        <f>Cash_Flow_Annual!V77</f>
        <v>-19713</v>
      </c>
      <c r="W20" s="127">
        <f>Cash_Flow_Annual!W77</f>
        <v>-4396</v>
      </c>
      <c r="X20" s="127">
        <f>Cash_Flow_Annual!X77</f>
        <v>2290</v>
      </c>
      <c r="Y20" s="127">
        <f>Cash_Flow_Annual!Y77</f>
        <v>4433</v>
      </c>
      <c r="Z20" s="127">
        <f>Cash_Flow_Annual!Z77</f>
        <v>-14310</v>
      </c>
      <c r="AA20" s="166">
        <f>Cash_Flow_Annual!AA77</f>
        <v>-1877</v>
      </c>
      <c r="AB20" s="166">
        <f ca="1">Cash_Flow_Annual!AB77</f>
        <v>2171.4025496080476</v>
      </c>
    </row>
    <row r="21" spans="1:28">
      <c r="A21" s="1" t="s">
        <v>141</v>
      </c>
      <c r="B21" s="126">
        <f>Cash_Flow_Annual!B78</f>
        <v>2.3543233082706765</v>
      </c>
      <c r="C21" s="126">
        <f>Cash_Flow_Annual!C78</f>
        <v>0.95684471170852492</v>
      </c>
      <c r="D21" s="126">
        <f>Cash_Flow_Annual!D78</f>
        <v>6.5752032520325203</v>
      </c>
      <c r="E21" s="126">
        <f>Cash_Flow_Annual!E78</f>
        <v>2.7409470752089136</v>
      </c>
      <c r="F21" s="126">
        <f>Cash_Flow_Annual!F78</f>
        <v>1.2061965811965811</v>
      </c>
      <c r="G21" s="126">
        <f>Cash_Flow_Annual!G78</f>
        <v>2.1201399688958009</v>
      </c>
      <c r="H21" s="126">
        <f>Cash_Flow_Annual!H78</f>
        <v>2.6266365688487583</v>
      </c>
      <c r="I21" s="126">
        <f>Cash_Flow_Annual!I78</f>
        <v>1.9275895925380462</v>
      </c>
      <c r="J21" s="126">
        <f>Cash_Flow_Annual!J78</f>
        <v>-0.7765718562874252</v>
      </c>
      <c r="K21" s="126">
        <f>Cash_Flow_Annual!K78</f>
        <v>3.3666158536585367</v>
      </c>
      <c r="L21" s="126">
        <f>Cash_Flow_Annual!L78</f>
        <v>0.55246446930752946</v>
      </c>
      <c r="M21" s="126">
        <f>Cash_Flow_Annual!M78</f>
        <v>0.57491289198606277</v>
      </c>
      <c r="N21" s="126">
        <f>Cash_Flow_Annual!N78</f>
        <v>1.4884615384615385</v>
      </c>
      <c r="O21" s="126">
        <f>Cash_Flow_Annual!O78</f>
        <v>1.3262813522355508</v>
      </c>
      <c r="P21" s="126">
        <f>Cash_Flow_Annual!P78</f>
        <v>1.2159383033419022</v>
      </c>
      <c r="Q21" s="126">
        <f>Cash_Flow_Annual!Q78</f>
        <v>1.3355873261205564</v>
      </c>
      <c r="R21" s="126">
        <f>Cash_Flow_Annual!R78</f>
        <v>1.6110316649642493</v>
      </c>
      <c r="S21" s="126">
        <f>Cash_Flow_Annual!S78</f>
        <v>1.372310238827146</v>
      </c>
      <c r="T21" s="126">
        <f>Cash_Flow_Annual!T78</f>
        <v>1.3001912045889101</v>
      </c>
      <c r="U21" s="126">
        <f>Cash_Flow_Annual!U78</f>
        <v>6.7295597484276728</v>
      </c>
      <c r="V21" s="126">
        <f>Cash_Flow_Annual!V78</f>
        <v>1.6508667615777572</v>
      </c>
      <c r="W21" s="126">
        <f>Cash_Flow_Annual!W78</f>
        <v>1.0247086247086248</v>
      </c>
      <c r="X21" s="126">
        <f>Cash_Flow_Annual!X78</f>
        <v>-0.45319612111616864</v>
      </c>
      <c r="Y21" s="126">
        <f>Cash_Flow_Annual!Y78</f>
        <v>-1.9772524531668154</v>
      </c>
      <c r="Z21" s="126">
        <f>Cash_Flow_Annual!Z78</f>
        <v>1.2097387775805224</v>
      </c>
      <c r="AA21" s="182">
        <f>Cash_Flow_Annual!AA78</f>
        <v>-0.83869526362823954</v>
      </c>
      <c r="AB21" s="182">
        <f ca="1">Cash_Flow_Annual!AB78</f>
        <v>2.6446301423800334</v>
      </c>
    </row>
    <row r="22" spans="1:28">
      <c r="A22" s="1" t="s">
        <v>142</v>
      </c>
      <c r="B22" s="127">
        <f>Cash_Flow_Annual!B81</f>
        <v>2861</v>
      </c>
      <c r="C22" s="127">
        <f>Cash_Flow_Annual!C81</f>
        <v>2999</v>
      </c>
      <c r="D22" s="127">
        <f>Cash_Flow_Annual!D81</f>
        <v>571</v>
      </c>
      <c r="E22" s="127">
        <f>Cash_Flow_Annual!E81</f>
        <v>572</v>
      </c>
      <c r="F22" s="127">
        <f>Cash_Flow_Annual!F81</f>
        <v>1400</v>
      </c>
      <c r="G22" s="127">
        <f>Cash_Flow_Annual!G81</f>
        <v>3697</v>
      </c>
      <c r="H22" s="127">
        <f>Cash_Flow_Annual!H81</f>
        <v>2654</v>
      </c>
      <c r="I22" s="127">
        <f>Cash_Flow_Annual!I81</f>
        <v>3871</v>
      </c>
      <c r="J22" s="127">
        <f>Cash_Flow_Annual!J81</f>
        <v>4129</v>
      </c>
      <c r="K22" s="127">
        <f>Cash_Flow_Annual!K81</f>
        <v>1270</v>
      </c>
      <c r="L22" s="127">
        <f>Cash_Flow_Annual!L81</f>
        <v>1253</v>
      </c>
      <c r="M22" s="127">
        <f>Cash_Flow_Annual!M81</f>
        <v>1244</v>
      </c>
      <c r="N22" s="127">
        <f>Cash_Flow_Annual!N81</f>
        <v>1322</v>
      </c>
      <c r="O22" s="127">
        <f>Cash_Flow_Annual!O81</f>
        <v>4268</v>
      </c>
      <c r="P22" s="127">
        <f>Cash_Flow_Annual!P81</f>
        <v>8116</v>
      </c>
      <c r="Q22" s="127">
        <f>Cash_Flow_Annual!Q81</f>
        <v>9241</v>
      </c>
      <c r="R22" s="127">
        <f>Cash_Flow_Annual!R81</f>
        <v>9757</v>
      </c>
      <c r="S22" s="127">
        <f>Cash_Flow_Annual!S81</f>
        <v>12653</v>
      </c>
      <c r="T22" s="127">
        <f>Cash_Flow_Annual!T81</f>
        <v>12946</v>
      </c>
      <c r="U22" s="127">
        <f>Cash_Flow_Annual!U81</f>
        <v>7281</v>
      </c>
      <c r="V22" s="127">
        <f>Cash_Flow_Annual!V81</f>
        <v>1158</v>
      </c>
      <c r="W22" s="127">
        <f>Cash_Flow_Annual!W81</f>
        <v>0</v>
      </c>
      <c r="X22" s="127">
        <f>Cash_Flow_Annual!X81</f>
        <v>0</v>
      </c>
      <c r="Y22" s="127">
        <f>Cash_Flow_Annual!Y81</f>
        <v>0</v>
      </c>
      <c r="Z22" s="127">
        <f>Cash_Flow_Annual!Z81</f>
        <v>0</v>
      </c>
      <c r="AA22" s="166">
        <f>Cash_Flow_Annual!AA81</f>
        <v>331</v>
      </c>
      <c r="AB22" s="166">
        <f>Cash_Flow_Annual!AB81</f>
        <v>346</v>
      </c>
    </row>
    <row r="23" spans="1:28">
      <c r="A23" s="1" t="s">
        <v>143</v>
      </c>
      <c r="B23" s="126">
        <f>Cash_Flow_Annual!B82</f>
        <v>0.57105788423153692</v>
      </c>
      <c r="C23" s="126">
        <f>Cash_Flow_Annual!C82</f>
        <v>1.1086876155268022</v>
      </c>
      <c r="D23" s="126">
        <f>Cash_Flow_Annual!D82</f>
        <v>0.17650695517774342</v>
      </c>
      <c r="E23" s="126">
        <f>Cash_Flow_Annual!E82</f>
        <v>0.29065040650406504</v>
      </c>
      <c r="F23" s="126">
        <f>Cash_Flow_Annual!F82</f>
        <v>0.62001771479185119</v>
      </c>
      <c r="G23" s="126">
        <f>Cash_Flow_Annual!G82</f>
        <v>0.6779754263708051</v>
      </c>
      <c r="H23" s="126">
        <f>Cash_Flow_Annual!H82</f>
        <v>0.45617050532829151</v>
      </c>
      <c r="I23" s="126">
        <f>Cash_Flow_Annual!I82</f>
        <v>0.49293263720871006</v>
      </c>
      <c r="J23" s="126">
        <f>Cash_Flow_Annual!J82</f>
        <v>-1.9898795180722892</v>
      </c>
      <c r="K23" s="126">
        <f>Cash_Flow_Annual!K82</f>
        <v>0.28752546977586596</v>
      </c>
      <c r="L23" s="126">
        <f>Cash_Flow_Annual!L82</f>
        <v>0.68582375478927204</v>
      </c>
      <c r="M23" s="126">
        <f>Cash_Flow_Annual!M82</f>
        <v>0.53852813852813852</v>
      </c>
      <c r="N23" s="126">
        <f>Cash_Flow_Annual!N82</f>
        <v>0.2277347114556417</v>
      </c>
      <c r="O23" s="126">
        <f>Cash_Flow_Annual!O82</f>
        <v>0.70185824699884891</v>
      </c>
      <c r="P23" s="126">
        <f>Cash_Flow_Annual!P82</f>
        <v>1.2256115977046209</v>
      </c>
      <c r="Q23" s="126">
        <f>Cash_Flow_Annual!Q82</f>
        <v>1.3367568349486474</v>
      </c>
      <c r="R23" s="126">
        <f>Cash_Flow_Annual!R82</f>
        <v>1.2372558965254883</v>
      </c>
      <c r="S23" s="126">
        <f>Cash_Flow_Annual!S82</f>
        <v>1.090118032221935</v>
      </c>
      <c r="T23" s="126">
        <f>Cash_Flow_Annual!T82</f>
        <v>0.95191176470588235</v>
      </c>
      <c r="U23" s="126">
        <f>Cash_Flow_Annual!U82</f>
        <v>-1.7011682242990653</v>
      </c>
      <c r="V23" s="126">
        <f>Cash_Flow_Annual!V82</f>
        <v>-5.874296149748897E-2</v>
      </c>
      <c r="W23" s="126">
        <f>Cash_Flow_Annual!W82</f>
        <v>0</v>
      </c>
      <c r="X23" s="126">
        <f>Cash_Flow_Annual!X82</f>
        <v>0</v>
      </c>
      <c r="Y23" s="126">
        <f>Cash_Flow_Annual!Y82</f>
        <v>0</v>
      </c>
      <c r="Z23" s="126">
        <f>Cash_Flow_Annual!Z82</f>
        <v>0</v>
      </c>
      <c r="AA23" s="182">
        <f>Cash_Flow_Annual!AA82</f>
        <v>-0.17634523175279701</v>
      </c>
      <c r="AB23" s="182">
        <f ca="1">Cash_Flow_Annual!AB82</f>
        <v>0.15934401479930807</v>
      </c>
    </row>
    <row r="24" spans="1:28">
      <c r="A24" s="1"/>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3"/>
      <c r="AA24" s="38"/>
      <c r="AB24" s="38"/>
    </row>
    <row r="25" spans="1:28">
      <c r="A25" s="9" t="s">
        <v>144</v>
      </c>
      <c r="B25" s="150"/>
      <c r="C25" s="150"/>
      <c r="D25" s="150"/>
      <c r="E25" s="150"/>
      <c r="F25" s="150"/>
      <c r="G25" s="150"/>
      <c r="H25" s="150"/>
      <c r="I25" s="150"/>
      <c r="J25" s="150"/>
      <c r="K25" s="150"/>
      <c r="L25" s="150"/>
      <c r="M25" s="150"/>
      <c r="N25" s="150"/>
      <c r="O25" s="150"/>
      <c r="P25" s="150"/>
      <c r="Q25" s="150"/>
      <c r="R25" s="150"/>
      <c r="S25" s="150"/>
      <c r="T25" s="150"/>
      <c r="U25" s="150"/>
      <c r="V25" s="150"/>
      <c r="W25" s="150"/>
      <c r="X25" s="150"/>
      <c r="Y25" s="150"/>
      <c r="Z25" s="150"/>
      <c r="AA25" s="25"/>
      <c r="AB25" s="25"/>
    </row>
    <row r="26" spans="1:28">
      <c r="A26" s="1" t="s">
        <v>145</v>
      </c>
      <c r="B26" s="127">
        <f>Balance_Sheet_Annual!B5</f>
        <v>1010</v>
      </c>
      <c r="C26" s="127">
        <f>Balance_Sheet_Annual!C5</f>
        <v>633</v>
      </c>
      <c r="D26" s="127">
        <f>Balance_Sheet_Annual!D5</f>
        <v>2333</v>
      </c>
      <c r="E26" s="127">
        <f>Balance_Sheet_Annual!E5</f>
        <v>4633</v>
      </c>
      <c r="F26" s="127">
        <f>Balance_Sheet_Annual!F5</f>
        <v>3204</v>
      </c>
      <c r="G26" s="127">
        <f>Balance_Sheet_Annual!G5</f>
        <v>5412</v>
      </c>
      <c r="H26" s="127">
        <f>Balance_Sheet_Annual!H5</f>
        <v>6118</v>
      </c>
      <c r="I26" s="127">
        <f>Balance_Sheet_Annual!I5</f>
        <v>7042</v>
      </c>
      <c r="J26" s="127">
        <f>Balance_Sheet_Annual!J5</f>
        <v>3268</v>
      </c>
      <c r="K26" s="127">
        <f>Balance_Sheet_Annual!K5</f>
        <v>9215</v>
      </c>
      <c r="L26" s="127">
        <f>Balance_Sheet_Annual!L5</f>
        <v>5359</v>
      </c>
      <c r="M26" s="127">
        <f>Balance_Sheet_Annual!M5</f>
        <v>10049</v>
      </c>
      <c r="N26" s="127">
        <f>Balance_Sheet_Annual!N5</f>
        <v>10341</v>
      </c>
      <c r="O26" s="127">
        <f>Balance_Sheet_Annual!O5</f>
        <v>9088</v>
      </c>
      <c r="P26" s="127">
        <f>Balance_Sheet_Annual!P5</f>
        <v>11733</v>
      </c>
      <c r="Q26" s="127">
        <f>Balance_Sheet_Annual!Q5</f>
        <v>11302</v>
      </c>
      <c r="R26" s="127">
        <f>Balance_Sheet_Annual!R5</f>
        <v>8801</v>
      </c>
      <c r="S26" s="127">
        <f>Balance_Sheet_Annual!S5</f>
        <v>8813</v>
      </c>
      <c r="T26" s="127">
        <f>Balance_Sheet_Annual!T5</f>
        <v>7637</v>
      </c>
      <c r="U26" s="127">
        <f>Balance_Sheet_Annual!U5</f>
        <v>9485</v>
      </c>
      <c r="V26" s="127">
        <f>Balance_Sheet_Annual!V5</f>
        <v>7752</v>
      </c>
      <c r="W26" s="127">
        <f>Balance_Sheet_Annual!W5</f>
        <v>8052</v>
      </c>
      <c r="X26" s="127">
        <f>Balance_Sheet_Annual!X5</f>
        <v>14614</v>
      </c>
      <c r="Y26" s="127">
        <f>Balance_Sheet_Annual!Y5</f>
        <v>12691</v>
      </c>
      <c r="Z26" s="127">
        <f>Balance_Sheet_Annual!Z5</f>
        <v>13801</v>
      </c>
      <c r="AA26" s="166">
        <f>Balance_Sheet_Annual!AA5</f>
        <v>10921</v>
      </c>
      <c r="AB26" s="166">
        <f ca="1">Balance_Sheet_Annual!AB5</f>
        <v>8329.4025496080467</v>
      </c>
    </row>
    <row r="27" spans="1:28">
      <c r="A27" s="1" t="s">
        <v>106</v>
      </c>
      <c r="B27" s="127">
        <f>Balance_Sheet_Annual!B82</f>
        <v>8799</v>
      </c>
      <c r="C27" s="127">
        <f>Balance_Sheet_Annual!C82</f>
        <v>12265</v>
      </c>
      <c r="D27" s="127">
        <f>Balance_Sheet_Annual!D82</f>
        <v>14403</v>
      </c>
      <c r="E27" s="127">
        <f>Balance_Sheet_Annual!E82</f>
        <v>14443</v>
      </c>
      <c r="F27" s="127">
        <f>Balance_Sheet_Annual!F82</f>
        <v>12200</v>
      </c>
      <c r="G27" s="127">
        <f>Balance_Sheet_Annual!G82</f>
        <v>10727</v>
      </c>
      <c r="H27" s="127">
        <f>Balance_Sheet_Annual!H82</f>
        <v>9538</v>
      </c>
      <c r="I27" s="127">
        <f>Balance_Sheet_Annual!I82</f>
        <v>8217</v>
      </c>
      <c r="J27" s="127">
        <f>Balance_Sheet_Annual!J82</f>
        <v>7512</v>
      </c>
      <c r="K27" s="127">
        <f>Balance_Sheet_Annual!K82</f>
        <v>12924</v>
      </c>
      <c r="L27" s="127">
        <f>Balance_Sheet_Annual!L82</f>
        <v>12421</v>
      </c>
      <c r="M27" s="127">
        <f>Balance_Sheet_Annual!M82</f>
        <v>12371</v>
      </c>
      <c r="N27" s="127">
        <f>Balance_Sheet_Annual!N82</f>
        <v>10409</v>
      </c>
      <c r="O27" s="127">
        <f>Balance_Sheet_Annual!O82</f>
        <v>9635</v>
      </c>
      <c r="P27" s="127">
        <f>Balance_Sheet_Annual!P82</f>
        <v>9070</v>
      </c>
      <c r="Q27" s="127">
        <f>Balance_Sheet_Annual!Q82</f>
        <v>9964</v>
      </c>
      <c r="R27" s="127">
        <f>Balance_Sheet_Annual!R82</f>
        <v>9952</v>
      </c>
      <c r="S27" s="127">
        <f>Balance_Sheet_Annual!S82</f>
        <v>11117</v>
      </c>
      <c r="T27" s="127">
        <f>Balance_Sheet_Annual!T82</f>
        <v>13847</v>
      </c>
      <c r="U27" s="127">
        <f>Balance_Sheet_Annual!U82</f>
        <v>27302</v>
      </c>
      <c r="V27" s="127">
        <f>Balance_Sheet_Annual!V82</f>
        <v>63583</v>
      </c>
      <c r="W27" s="127">
        <f>Balance_Sheet_Annual!W82</f>
        <v>58102</v>
      </c>
      <c r="X27" s="127">
        <f>Balance_Sheet_Annual!X82</f>
        <v>57001</v>
      </c>
      <c r="Y27" s="127">
        <f>Balance_Sheet_Annual!Y82</f>
        <v>52307</v>
      </c>
      <c r="Z27" s="127">
        <f>Balance_Sheet_Annual!Z82</f>
        <v>53864</v>
      </c>
      <c r="AA27" s="166">
        <f>Balance_Sheet_Annual!AA82</f>
        <v>54098</v>
      </c>
      <c r="AB27" s="166">
        <f>Balance_Sheet_Annual!AB82</f>
        <v>49648</v>
      </c>
    </row>
    <row r="28" spans="1:28">
      <c r="A28" s="1" t="s">
        <v>107</v>
      </c>
      <c r="B28" s="127">
        <f>Balance_Sheet_Annual!B83</f>
        <v>7789</v>
      </c>
      <c r="C28" s="127">
        <f>Balance_Sheet_Annual!C83</f>
        <v>11632</v>
      </c>
      <c r="D28" s="127">
        <f>Balance_Sheet_Annual!D83</f>
        <v>12070</v>
      </c>
      <c r="E28" s="127">
        <f>Balance_Sheet_Annual!E83</f>
        <v>9810</v>
      </c>
      <c r="F28" s="127">
        <f>Balance_Sheet_Annual!F83</f>
        <v>8996</v>
      </c>
      <c r="G28" s="127">
        <f>Balance_Sheet_Annual!G83</f>
        <v>5315</v>
      </c>
      <c r="H28" s="127">
        <f>Balance_Sheet_Annual!H83</f>
        <v>3420</v>
      </c>
      <c r="I28" s="127">
        <f>Balance_Sheet_Annual!I83</f>
        <v>1175</v>
      </c>
      <c r="J28" s="127">
        <f>Balance_Sheet_Annual!J83</f>
        <v>4244</v>
      </c>
      <c r="K28" s="127">
        <f>Balance_Sheet_Annual!K83</f>
        <v>3709</v>
      </c>
      <c r="L28" s="127">
        <f>Balance_Sheet_Annual!L83</f>
        <v>7062</v>
      </c>
      <c r="M28" s="127">
        <f>Balance_Sheet_Annual!M83</f>
        <v>2322</v>
      </c>
      <c r="N28" s="127">
        <f>Balance_Sheet_Annual!N83</f>
        <v>68</v>
      </c>
      <c r="O28" s="127">
        <f>Balance_Sheet_Annual!O83</f>
        <v>547</v>
      </c>
      <c r="P28" s="127">
        <f>Balance_Sheet_Annual!P83</f>
        <v>-2663</v>
      </c>
      <c r="Q28" s="127">
        <f>Balance_Sheet_Annual!Q83</f>
        <v>-2088</v>
      </c>
      <c r="R28" s="127">
        <f>Balance_Sheet_Annual!R83</f>
        <v>-77</v>
      </c>
      <c r="S28" s="127">
        <f>Balance_Sheet_Annual!S83</f>
        <v>1199</v>
      </c>
      <c r="T28" s="127">
        <f>Balance_Sheet_Annual!T83</f>
        <v>5459</v>
      </c>
      <c r="U28" s="127">
        <f>Balance_Sheet_Annual!U83</f>
        <v>17358</v>
      </c>
      <c r="V28" s="127">
        <f>Balance_Sheet_Annual!V83</f>
        <v>38076</v>
      </c>
      <c r="W28" s="127">
        <f>Balance_Sheet_Annual!W83</f>
        <v>41910</v>
      </c>
      <c r="X28" s="127">
        <f>Balance_Sheet_Annual!X83</f>
        <v>39781</v>
      </c>
      <c r="Y28" s="127">
        <f>Balance_Sheet_Annual!Y83</f>
        <v>36342</v>
      </c>
      <c r="Z28" s="127">
        <f>Balance_Sheet_Annual!Z83</f>
        <v>27582</v>
      </c>
      <c r="AA28" s="166">
        <f>Balance_Sheet_Annual!AA83</f>
        <v>24698</v>
      </c>
      <c r="AB28" s="166">
        <f ca="1">Balance_Sheet_Annual!AB83</f>
        <v>22839.597450391957</v>
      </c>
    </row>
    <row r="29" spans="1:28">
      <c r="A29" s="1" t="s">
        <v>108</v>
      </c>
      <c r="B29" s="143">
        <f>Balance_Sheet_Annual!B85</f>
        <v>1.7167731981485563</v>
      </c>
      <c r="C29" s="143">
        <f>Balance_Sheet_Annual!C85</f>
        <v>2.0627770881361944</v>
      </c>
      <c r="D29" s="143">
        <f>Balance_Sheet_Annual!D85</f>
        <v>2.4398625429553267</v>
      </c>
      <c r="E29" s="143">
        <f>Balance_Sheet_Annual!E85</f>
        <v>3.618590925857617</v>
      </c>
      <c r="F29" s="143">
        <f>Balance_Sheet_Annual!F85</f>
        <v>2.209776467698354</v>
      </c>
      <c r="G29" s="143">
        <f>Balance_Sheet_Annual!G85</f>
        <v>1.2317497103128621</v>
      </c>
      <c r="H29" s="143">
        <f>Balance_Sheet_Annual!H85</f>
        <v>0.62580054894784998</v>
      </c>
      <c r="I29" s="143">
        <f>Balance_Sheet_Annual!I85</f>
        <v>0.16060688901038819</v>
      </c>
      <c r="J29" s="143">
        <f>Balance_Sheet_Annual!J85</f>
        <v>0.51057859775046321</v>
      </c>
      <c r="K29" s="143">
        <f>Balance_Sheet_Annual!K85</f>
        <v>0.47508646086845141</v>
      </c>
      <c r="L29" s="143">
        <f>Balance_Sheet_Annual!L85</f>
        <v>1.0543445804717826</v>
      </c>
      <c r="M29" s="143">
        <f>Balance_Sheet_Annual!M85</f>
        <v>0.3088176619231281</v>
      </c>
      <c r="N29" s="143">
        <f>Balance_Sheet_Annual!N85</f>
        <v>8.3940254289593882E-3</v>
      </c>
      <c r="O29" s="143">
        <f>Balance_Sheet_Annual!O85</f>
        <v>6.2074443940081707E-2</v>
      </c>
      <c r="P29" s="143">
        <f>Balance_Sheet_Annual!P85</f>
        <v>-0.28393218893272204</v>
      </c>
      <c r="Q29" s="143">
        <f>Balance_Sheet_Annual!Q85</f>
        <v>-0.22509702457956016</v>
      </c>
      <c r="R29" s="143">
        <f>Balance_Sheet_Annual!R85</f>
        <v>-9.943181818181818E-3</v>
      </c>
      <c r="S29" s="143">
        <f>Balance_Sheet_Annual!S85</f>
        <v>9.6763780163021548E-2</v>
      </c>
      <c r="T29" s="143">
        <f>Balance_Sheet_Annual!T85</f>
        <v>0.38713566413729522</v>
      </c>
      <c r="U29" s="143">
        <f>Balance_Sheet_Annual!U85</f>
        <v>58.641891891891895</v>
      </c>
      <c r="V29" s="143">
        <f>Balance_Sheet_Annual!V85</f>
        <v>-3.6190476190476191</v>
      </c>
      <c r="W29" s="143">
        <f>Balance_Sheet_Annual!W85</f>
        <v>-55.290237467018471</v>
      </c>
      <c r="X29" s="143">
        <f>Balance_Sheet_Annual!X85</f>
        <v>-25.370535714285715</v>
      </c>
      <c r="Y29" s="143">
        <f>Balance_Sheet_Annual!Y85</f>
        <v>33.402573529411768</v>
      </c>
      <c r="Z29" s="143">
        <f>Balance_Sheet_Annual!Z85</f>
        <v>-3.1092323300642541</v>
      </c>
      <c r="AA29" s="215">
        <f>Balance_Sheet_Annual!AA85</f>
        <v>3.9618222649983958</v>
      </c>
      <c r="AB29" s="215">
        <f ca="1">Balance_Sheet_Annual!AB85</f>
        <v>5.4565402551992745</v>
      </c>
    </row>
    <row r="30" spans="1:28">
      <c r="A30" s="1"/>
      <c r="B30" s="123"/>
      <c r="C30" s="123"/>
      <c r="D30" s="123"/>
      <c r="E30" s="123"/>
      <c r="F30" s="123"/>
      <c r="G30" s="123"/>
      <c r="H30" s="123"/>
      <c r="I30" s="123"/>
      <c r="J30" s="123"/>
      <c r="K30" s="123"/>
      <c r="L30" s="123"/>
      <c r="M30" s="123"/>
      <c r="N30" s="123"/>
      <c r="O30" s="123"/>
      <c r="P30" s="123"/>
      <c r="Q30" s="123"/>
      <c r="R30" s="123"/>
      <c r="S30" s="123"/>
      <c r="T30" s="123"/>
      <c r="U30" s="123"/>
      <c r="V30" s="123"/>
      <c r="W30" s="123"/>
      <c r="X30" s="123"/>
      <c r="Y30" s="123"/>
      <c r="Z30" s="123"/>
      <c r="AA30" s="38"/>
      <c r="AB30" s="38"/>
    </row>
    <row r="31" spans="1:28">
      <c r="A31" s="9" t="s">
        <v>146</v>
      </c>
      <c r="B31" s="150"/>
      <c r="C31" s="150"/>
      <c r="D31" s="150"/>
      <c r="E31" s="150"/>
      <c r="F31" s="150"/>
      <c r="G31" s="150"/>
      <c r="H31" s="150"/>
      <c r="I31" s="150"/>
      <c r="J31" s="150"/>
      <c r="K31" s="150"/>
      <c r="L31" s="150"/>
      <c r="M31" s="150"/>
      <c r="N31" s="150"/>
      <c r="O31" s="150"/>
      <c r="P31" s="150"/>
      <c r="Q31" s="150"/>
      <c r="R31" s="150"/>
      <c r="S31" s="150"/>
      <c r="T31" s="150"/>
      <c r="U31" s="150"/>
      <c r="V31" s="150"/>
      <c r="W31" s="150"/>
      <c r="X31" s="150"/>
      <c r="Y31" s="150"/>
      <c r="Z31" s="150"/>
      <c r="AA31" s="25"/>
      <c r="AB31" s="25"/>
    </row>
    <row r="32" spans="1:28">
      <c r="A32" s="1" t="s">
        <v>147</v>
      </c>
      <c r="B32" s="127">
        <f>Balance_Sheet_Annual!B91</f>
        <v>0</v>
      </c>
      <c r="C32" s="127">
        <f>Balance_Sheet_Annual!C91</f>
        <v>0</v>
      </c>
      <c r="D32" s="127">
        <f>Balance_Sheet_Annual!D91</f>
        <v>0</v>
      </c>
      <c r="E32" s="127">
        <f>Balance_Sheet_Annual!E91</f>
        <v>0</v>
      </c>
      <c r="F32" s="127">
        <f>Balance_Sheet_Annual!F91</f>
        <v>0</v>
      </c>
      <c r="G32" s="127">
        <f>Balance_Sheet_Annual!G91</f>
        <v>0</v>
      </c>
      <c r="H32" s="127">
        <f>Balance_Sheet_Annual!H91</f>
        <v>0</v>
      </c>
      <c r="I32" s="127">
        <f>Balance_Sheet_Annual!I91</f>
        <v>0</v>
      </c>
      <c r="J32" s="127">
        <f>Balance_Sheet_Annual!J91</f>
        <v>0</v>
      </c>
      <c r="K32" s="127">
        <f>Balance_Sheet_Annual!K91</f>
        <v>0</v>
      </c>
      <c r="L32" s="127">
        <f>Balance_Sheet_Annual!L91</f>
        <v>0</v>
      </c>
      <c r="M32" s="127">
        <f>Balance_Sheet_Annual!M91</f>
        <v>0</v>
      </c>
      <c r="N32" s="127">
        <f>Balance_Sheet_Annual!N91</f>
        <v>0</v>
      </c>
      <c r="O32" s="127">
        <f>Balance_Sheet_Annual!O91</f>
        <v>0</v>
      </c>
      <c r="P32" s="127">
        <f>Balance_Sheet_Annual!P91</f>
        <v>0</v>
      </c>
      <c r="Q32" s="127">
        <f>Balance_Sheet_Annual!Q91</f>
        <v>0</v>
      </c>
      <c r="R32" s="127">
        <f>Balance_Sheet_Annual!R91</f>
        <v>0</v>
      </c>
      <c r="S32" s="127">
        <f>Balance_Sheet_Annual!S91</f>
        <v>0</v>
      </c>
      <c r="T32" s="127">
        <f>Balance_Sheet_Annual!T91</f>
        <v>0</v>
      </c>
      <c r="U32" s="127">
        <f>Balance_Sheet_Annual!U91</f>
        <v>0</v>
      </c>
      <c r="V32" s="127">
        <f>Balance_Sheet_Annual!V91</f>
        <v>0</v>
      </c>
      <c r="W32" s="127">
        <f ca="1">Balance_Sheet_Annual!W91</f>
        <v>-74708.830958582403</v>
      </c>
      <c r="X32" s="127">
        <f>Balance_Sheet_Annual!X91</f>
        <v>0</v>
      </c>
      <c r="Y32" s="127">
        <f ca="1">Balance_Sheet_Annual!Y91</f>
        <v>-68671.314982506301</v>
      </c>
      <c r="Z32" s="127">
        <f ca="1">Balance_Sheet_Annual!Z91</f>
        <v>-88901.333333333343</v>
      </c>
      <c r="AA32" s="166">
        <f ca="1">Balance_Sheet_Annual!AA91</f>
        <v>-32633.333333333336</v>
      </c>
      <c r="AB32" s="166">
        <f ca="1">Balance_Sheet_Annual!AB91</f>
        <v>-38348.548246170816</v>
      </c>
    </row>
    <row r="33" spans="1:28">
      <c r="A33" s="1" t="s">
        <v>148</v>
      </c>
      <c r="B33" s="143">
        <f>Balance_Sheet_Annual!B92</f>
        <v>0</v>
      </c>
      <c r="C33" s="143">
        <f>Balance_Sheet_Annual!C92</f>
        <v>0</v>
      </c>
      <c r="D33" s="143">
        <f>Balance_Sheet_Annual!D92</f>
        <v>0</v>
      </c>
      <c r="E33" s="143">
        <f>Balance_Sheet_Annual!E92</f>
        <v>0</v>
      </c>
      <c r="F33" s="143">
        <f>Balance_Sheet_Annual!F92</f>
        <v>0</v>
      </c>
      <c r="G33" s="143">
        <f>Balance_Sheet_Annual!G92</f>
        <v>0</v>
      </c>
      <c r="H33" s="143">
        <f>Balance_Sheet_Annual!H92</f>
        <v>0</v>
      </c>
      <c r="I33" s="143">
        <f>Balance_Sheet_Annual!I92</f>
        <v>0</v>
      </c>
      <c r="J33" s="143">
        <f>Balance_Sheet_Annual!J92</f>
        <v>0</v>
      </c>
      <c r="K33" s="143">
        <f>Balance_Sheet_Annual!K92</f>
        <v>0</v>
      </c>
      <c r="L33" s="143">
        <f>Balance_Sheet_Annual!L92</f>
        <v>0</v>
      </c>
      <c r="M33" s="143">
        <f>Balance_Sheet_Annual!M92</f>
        <v>0</v>
      </c>
      <c r="N33" s="143">
        <f>Balance_Sheet_Annual!N92</f>
        <v>0</v>
      </c>
      <c r="O33" s="143">
        <f>Balance_Sheet_Annual!O92</f>
        <v>0</v>
      </c>
      <c r="P33" s="143">
        <f>Balance_Sheet_Annual!P92</f>
        <v>0</v>
      </c>
      <c r="Q33" s="143">
        <f>Balance_Sheet_Annual!Q92</f>
        <v>0</v>
      </c>
      <c r="R33" s="143">
        <f>Balance_Sheet_Annual!R92</f>
        <v>0</v>
      </c>
      <c r="S33" s="143">
        <f>Balance_Sheet_Annual!S92</f>
        <v>0</v>
      </c>
      <c r="T33" s="143">
        <f>Balance_Sheet_Annual!T92</f>
        <v>0</v>
      </c>
      <c r="U33" s="143">
        <f>Balance_Sheet_Annual!U92</f>
        <v>0</v>
      </c>
      <c r="V33" s="143">
        <f>Balance_Sheet_Annual!V92</f>
        <v>0</v>
      </c>
      <c r="W33" s="143">
        <f>Balance_Sheet_Annual!W92</f>
        <v>3.5308939606265666</v>
      </c>
      <c r="X33" s="143">
        <f>Balance_Sheet_Annual!X92</f>
        <v>0</v>
      </c>
      <c r="Y33" s="143">
        <f>Balance_Sheet_Annual!Y92</f>
        <v>3.5308939606265666</v>
      </c>
      <c r="Z33" s="143">
        <f>Balance_Sheet_Annual!Z92</f>
        <v>3</v>
      </c>
      <c r="AA33" s="215">
        <f>Balance_Sheet_Annual!AA92</f>
        <v>3</v>
      </c>
      <c r="AB33" s="215">
        <f>Balance_Sheet_Annual!AB92</f>
        <v>3</v>
      </c>
    </row>
    <row r="34" spans="1:28">
      <c r="A34" s="1" t="s">
        <v>123</v>
      </c>
      <c r="B34" s="147">
        <f>Balance_Sheet_Annual!B106</f>
        <v>0</v>
      </c>
      <c r="C34" s="147">
        <f>Balance_Sheet_Annual!C106</f>
        <v>0</v>
      </c>
      <c r="D34" s="147">
        <f>Balance_Sheet_Annual!D106</f>
        <v>0</v>
      </c>
      <c r="E34" s="147">
        <f>Balance_Sheet_Annual!E106</f>
        <v>0</v>
      </c>
      <c r="F34" s="147">
        <f>Balance_Sheet_Annual!F106</f>
        <v>0</v>
      </c>
      <c r="G34" s="147">
        <f>Balance_Sheet_Annual!G106</f>
        <v>0</v>
      </c>
      <c r="H34" s="147">
        <f>Balance_Sheet_Annual!H106</f>
        <v>0</v>
      </c>
      <c r="I34" s="147">
        <f>Balance_Sheet_Annual!I106</f>
        <v>0</v>
      </c>
      <c r="J34" s="147">
        <f>Balance_Sheet_Annual!J106</f>
        <v>0</v>
      </c>
      <c r="K34" s="147">
        <f>Balance_Sheet_Annual!K106</f>
        <v>0</v>
      </c>
      <c r="L34" s="147">
        <f>Balance_Sheet_Annual!L106</f>
        <v>0</v>
      </c>
      <c r="M34" s="147">
        <f>Balance_Sheet_Annual!M106</f>
        <v>0</v>
      </c>
      <c r="N34" s="147">
        <f>Balance_Sheet_Annual!N106</f>
        <v>0</v>
      </c>
      <c r="O34" s="147">
        <f>Balance_Sheet_Annual!O106</f>
        <v>0</v>
      </c>
      <c r="P34" s="147">
        <f>Balance_Sheet_Annual!P106</f>
        <v>0</v>
      </c>
      <c r="Q34" s="147">
        <f>Balance_Sheet_Annual!Q106</f>
        <v>0</v>
      </c>
      <c r="R34" s="147">
        <f>Balance_Sheet_Annual!R106</f>
        <v>0</v>
      </c>
      <c r="S34" s="147">
        <f>Balance_Sheet_Annual!S106</f>
        <v>0</v>
      </c>
      <c r="T34" s="147">
        <f>Balance_Sheet_Annual!T106</f>
        <v>0</v>
      </c>
      <c r="U34" s="147">
        <f>Balance_Sheet_Annual!U106</f>
        <v>0</v>
      </c>
      <c r="V34" s="147">
        <f>Balance_Sheet_Annual!V106</f>
        <v>0</v>
      </c>
      <c r="W34" s="147">
        <f ca="1">Balance_Sheet_Annual!W106</f>
        <v>-2.3399732959571855</v>
      </c>
      <c r="X34" s="147">
        <f>Balance_Sheet_Annual!X106</f>
        <v>0</v>
      </c>
      <c r="Y34" s="147">
        <f ca="1">Balance_Sheet_Annual!Y106</f>
        <v>-2.08824388915885</v>
      </c>
      <c r="Z34" s="147">
        <f ca="1">Balance_Sheet_Annual!Z106</f>
        <v>-2.5320579590715568</v>
      </c>
      <c r="AA34" s="219">
        <f ca="1">Balance_Sheet_Annual!AA106</f>
        <v>-0.7891133557800224</v>
      </c>
      <c r="AB34" s="219">
        <f ca="1">Balance_Sheet_Annual!AB106</f>
        <v>-0.87943713942657631</v>
      </c>
    </row>
    <row r="35" spans="1:28">
      <c r="A35" s="1" t="s">
        <v>125</v>
      </c>
      <c r="B35" s="126">
        <f>Balance_Sheet_Annual!B107</f>
        <v>0</v>
      </c>
      <c r="C35" s="126">
        <f>Balance_Sheet_Annual!C107</f>
        <v>0</v>
      </c>
      <c r="D35" s="126">
        <f>Balance_Sheet_Annual!D107</f>
        <v>0</v>
      </c>
      <c r="E35" s="126">
        <f>Balance_Sheet_Annual!E107</f>
        <v>0</v>
      </c>
      <c r="F35" s="126">
        <f>Balance_Sheet_Annual!F107</f>
        <v>0</v>
      </c>
      <c r="G35" s="126">
        <f>Balance_Sheet_Annual!G107</f>
        <v>0</v>
      </c>
      <c r="H35" s="126">
        <f>Balance_Sheet_Annual!H107</f>
        <v>0</v>
      </c>
      <c r="I35" s="126">
        <f>Balance_Sheet_Annual!I107</f>
        <v>0</v>
      </c>
      <c r="J35" s="126">
        <f>Balance_Sheet_Annual!J107</f>
        <v>0</v>
      </c>
      <c r="K35" s="126">
        <f>Balance_Sheet_Annual!K107</f>
        <v>0</v>
      </c>
      <c r="L35" s="126">
        <f>Balance_Sheet_Annual!L107</f>
        <v>0</v>
      </c>
      <c r="M35" s="126">
        <f>Balance_Sheet_Annual!M107</f>
        <v>0</v>
      </c>
      <c r="N35" s="126">
        <f>Balance_Sheet_Annual!N107</f>
        <v>0</v>
      </c>
      <c r="O35" s="126">
        <f>Balance_Sheet_Annual!O107</f>
        <v>0</v>
      </c>
      <c r="P35" s="126">
        <f>Balance_Sheet_Annual!P107</f>
        <v>0</v>
      </c>
      <c r="Q35" s="126">
        <f>Balance_Sheet_Annual!Q107</f>
        <v>0</v>
      </c>
      <c r="R35" s="126">
        <f>Balance_Sheet_Annual!R107</f>
        <v>0</v>
      </c>
      <c r="S35" s="126">
        <f>Balance_Sheet_Annual!S107</f>
        <v>0</v>
      </c>
      <c r="T35" s="126">
        <f>Balance_Sheet_Annual!T107</f>
        <v>0</v>
      </c>
      <c r="U35" s="126">
        <f>Balance_Sheet_Annual!U107</f>
        <v>0</v>
      </c>
      <c r="V35" s="126">
        <f>Balance_Sheet_Annual!V107</f>
        <v>0</v>
      </c>
      <c r="W35" s="126">
        <f ca="1">Balance_Sheet_Annual!W107</f>
        <v>0.32773269490794915</v>
      </c>
      <c r="X35" s="126">
        <f>Balance_Sheet_Annual!X107</f>
        <v>0</v>
      </c>
      <c r="Y35" s="126">
        <f ca="1">Balance_Sheet_Annual!Y107</f>
        <v>0.56963425412243085</v>
      </c>
      <c r="Z35" s="126">
        <f ca="1">Balance_Sheet_Annual!Z107</f>
        <v>0.13799982409356729</v>
      </c>
      <c r="AA35" s="182">
        <f ca="1">Balance_Sheet_Annual!AA107</f>
        <v>-0.31827572016460903</v>
      </c>
      <c r="AB35" s="182">
        <f ca="1">Balance_Sheet_Annual!AB107</f>
        <v>-5.4771915654471925</v>
      </c>
    </row>
    <row r="36" spans="1:28">
      <c r="A36" s="1"/>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38"/>
      <c r="AB36" s="38"/>
    </row>
    <row r="37" spans="1:28">
      <c r="A37" s="1" t="s">
        <v>149</v>
      </c>
      <c r="B37" s="127">
        <f>Balance_Sheet_Annual!B111</f>
        <v>0</v>
      </c>
      <c r="C37" s="127">
        <f>Balance_Sheet_Annual!C111</f>
        <v>0</v>
      </c>
      <c r="D37" s="127">
        <f>Balance_Sheet_Annual!D111</f>
        <v>0</v>
      </c>
      <c r="E37" s="127">
        <f>Balance_Sheet_Annual!E111</f>
        <v>0</v>
      </c>
      <c r="F37" s="127">
        <f>Balance_Sheet_Annual!F111</f>
        <v>0</v>
      </c>
      <c r="G37" s="127">
        <f>Balance_Sheet_Annual!G111</f>
        <v>0</v>
      </c>
      <c r="H37" s="127">
        <f>Balance_Sheet_Annual!H111</f>
        <v>0</v>
      </c>
      <c r="I37" s="127">
        <f>Balance_Sheet_Annual!I111</f>
        <v>0</v>
      </c>
      <c r="J37" s="127">
        <f>Balance_Sheet_Annual!J111</f>
        <v>0</v>
      </c>
      <c r="K37" s="127">
        <f>Balance_Sheet_Annual!K111</f>
        <v>0</v>
      </c>
      <c r="L37" s="127">
        <f>Balance_Sheet_Annual!L111</f>
        <v>0</v>
      </c>
      <c r="M37" s="127">
        <f>Balance_Sheet_Annual!M111</f>
        <v>0</v>
      </c>
      <c r="N37" s="127">
        <f>Balance_Sheet_Annual!N111</f>
        <v>0</v>
      </c>
      <c r="O37" s="127">
        <f>Balance_Sheet_Annual!O111</f>
        <v>0</v>
      </c>
      <c r="P37" s="127">
        <f>Balance_Sheet_Annual!P111</f>
        <v>0</v>
      </c>
      <c r="Q37" s="127">
        <f>Balance_Sheet_Annual!Q111</f>
        <v>0</v>
      </c>
      <c r="R37" s="127">
        <f>Balance_Sheet_Annual!R111</f>
        <v>0</v>
      </c>
      <c r="S37" s="127">
        <f>Balance_Sheet_Annual!S111</f>
        <v>0</v>
      </c>
      <c r="T37" s="127">
        <f>Balance_Sheet_Annual!T111</f>
        <v>0</v>
      </c>
      <c r="U37" s="127">
        <f>Balance_Sheet_Annual!U111</f>
        <v>0</v>
      </c>
      <c r="V37" s="127">
        <f>Balance_Sheet_Annual!V111</f>
        <v>0</v>
      </c>
      <c r="W37" s="127">
        <f>Balance_Sheet_Annual!W111</f>
        <v>-52726.417622154935</v>
      </c>
      <c r="X37" s="127">
        <f>Balance_Sheet_Annual!X111</f>
        <v>0</v>
      </c>
      <c r="Y37" s="127">
        <f>Balance_Sheet_Annual!Y111</f>
        <v>-48465.387370838296</v>
      </c>
      <c r="Z37" s="127">
        <f>Balance_Sheet_Annual!Z111</f>
        <v>-66676</v>
      </c>
      <c r="AA37" s="166">
        <f>Balance_Sheet_Annual!AA111</f>
        <v>-24475</v>
      </c>
      <c r="AB37" s="166">
        <f ca="1">Balance_Sheet_Annual!AB111</f>
        <v>-28761.411184628112</v>
      </c>
    </row>
    <row r="38" spans="1:28">
      <c r="A38" s="1" t="s">
        <v>148</v>
      </c>
      <c r="B38" s="143">
        <f>Balance_Sheet_Annual!B113</f>
        <v>0</v>
      </c>
      <c r="C38" s="143">
        <f>Balance_Sheet_Annual!C113</f>
        <v>0</v>
      </c>
      <c r="D38" s="143">
        <f>Balance_Sheet_Annual!D113</f>
        <v>0</v>
      </c>
      <c r="E38" s="143">
        <f>Balance_Sheet_Annual!E113</f>
        <v>0</v>
      </c>
      <c r="F38" s="143">
        <f>Balance_Sheet_Annual!F113</f>
        <v>0</v>
      </c>
      <c r="G38" s="143">
        <f>Balance_Sheet_Annual!G113</f>
        <v>0</v>
      </c>
      <c r="H38" s="143">
        <f>Balance_Sheet_Annual!H113</f>
        <v>0</v>
      </c>
      <c r="I38" s="143">
        <f>Balance_Sheet_Annual!I113</f>
        <v>0</v>
      </c>
      <c r="J38" s="143">
        <f>Balance_Sheet_Annual!J113</f>
        <v>0</v>
      </c>
      <c r="K38" s="143">
        <f>Balance_Sheet_Annual!K113</f>
        <v>0</v>
      </c>
      <c r="L38" s="143">
        <f>Balance_Sheet_Annual!L113</f>
        <v>0</v>
      </c>
      <c r="M38" s="143">
        <f>Balance_Sheet_Annual!M113</f>
        <v>0</v>
      </c>
      <c r="N38" s="143">
        <f>Balance_Sheet_Annual!N113</f>
        <v>0</v>
      </c>
      <c r="O38" s="143">
        <f>Balance_Sheet_Annual!O113</f>
        <v>0</v>
      </c>
      <c r="P38" s="143">
        <f>Balance_Sheet_Annual!P113</f>
        <v>0</v>
      </c>
      <c r="Q38" s="143">
        <f>Balance_Sheet_Annual!Q113</f>
        <v>0</v>
      </c>
      <c r="R38" s="143">
        <f>Balance_Sheet_Annual!R113</f>
        <v>0</v>
      </c>
      <c r="S38" s="143">
        <f>Balance_Sheet_Annual!S113</f>
        <v>0</v>
      </c>
      <c r="T38" s="143">
        <f>Balance_Sheet_Annual!T113</f>
        <v>0</v>
      </c>
      <c r="U38" s="143">
        <f>Balance_Sheet_Annual!U113</f>
        <v>0</v>
      </c>
      <c r="V38" s="143">
        <f>Balance_Sheet_Annual!V113</f>
        <v>0</v>
      </c>
      <c r="W38" s="143">
        <f>Balance_Sheet_Annual!W113</f>
        <v>3.5308939606265666</v>
      </c>
      <c r="X38" s="143">
        <f>Balance_Sheet_Annual!X113</f>
        <v>0</v>
      </c>
      <c r="Y38" s="143">
        <f>Balance_Sheet_Annual!Y113</f>
        <v>3.5308939606265666</v>
      </c>
      <c r="Z38" s="143">
        <f>Balance_Sheet_Annual!Z113</f>
        <v>3</v>
      </c>
      <c r="AA38" s="215">
        <f>Balance_Sheet_Annual!AA113</f>
        <v>3</v>
      </c>
      <c r="AB38" s="215">
        <f>Balance_Sheet_Annual!AB113</f>
        <v>3</v>
      </c>
    </row>
    <row r="39" spans="1:28">
      <c r="A39" s="1" t="s">
        <v>123</v>
      </c>
      <c r="B39" s="147">
        <f>Balance_Sheet_Annual!B121</f>
        <v>0</v>
      </c>
      <c r="C39" s="147">
        <f>Balance_Sheet_Annual!C121</f>
        <v>0</v>
      </c>
      <c r="D39" s="147">
        <f>Balance_Sheet_Annual!D121</f>
        <v>0</v>
      </c>
      <c r="E39" s="147">
        <f>Balance_Sheet_Annual!E121</f>
        <v>0</v>
      </c>
      <c r="F39" s="147">
        <f>Balance_Sheet_Annual!F121</f>
        <v>0</v>
      </c>
      <c r="G39" s="147">
        <f>Balance_Sheet_Annual!G121</f>
        <v>0</v>
      </c>
      <c r="H39" s="147">
        <f>Balance_Sheet_Annual!H121</f>
        <v>0</v>
      </c>
      <c r="I39" s="147">
        <f>Balance_Sheet_Annual!I121</f>
        <v>0</v>
      </c>
      <c r="J39" s="147">
        <f>Balance_Sheet_Annual!J121</f>
        <v>0</v>
      </c>
      <c r="K39" s="147">
        <f>Balance_Sheet_Annual!K121</f>
        <v>0</v>
      </c>
      <c r="L39" s="147">
        <f>Balance_Sheet_Annual!L121</f>
        <v>0</v>
      </c>
      <c r="M39" s="147">
        <f>Balance_Sheet_Annual!M121</f>
        <v>0</v>
      </c>
      <c r="N39" s="147">
        <f>Balance_Sheet_Annual!N121</f>
        <v>0</v>
      </c>
      <c r="O39" s="147">
        <f>Balance_Sheet_Annual!O121</f>
        <v>0</v>
      </c>
      <c r="P39" s="147">
        <f>Balance_Sheet_Annual!P121</f>
        <v>0</v>
      </c>
      <c r="Q39" s="147">
        <f>Balance_Sheet_Annual!Q121</f>
        <v>0</v>
      </c>
      <c r="R39" s="147">
        <f>Balance_Sheet_Annual!R121</f>
        <v>0</v>
      </c>
      <c r="S39" s="147">
        <f>Balance_Sheet_Annual!S121</f>
        <v>0</v>
      </c>
      <c r="T39" s="147">
        <f>Balance_Sheet_Annual!T121</f>
        <v>0</v>
      </c>
      <c r="U39" s="147">
        <f>Balance_Sheet_Annual!U121</f>
        <v>0</v>
      </c>
      <c r="V39" s="147">
        <f>Balance_Sheet_Annual!V121</f>
        <v>0</v>
      </c>
      <c r="W39" s="147">
        <f>Balance_Sheet_Annual!W121</f>
        <v>3.348208679678248</v>
      </c>
      <c r="X39" s="147">
        <f>Balance_Sheet_Annual!X121</f>
        <v>0</v>
      </c>
      <c r="Y39" s="147">
        <f>Balance_Sheet_Annual!Y121</f>
        <v>2.4582745495531348</v>
      </c>
      <c r="Z39" s="147">
        <f>Balance_Sheet_Annual!Z121</f>
        <v>6.0873934797117588</v>
      </c>
      <c r="AA39" s="219">
        <f>Balance_Sheet_Annual!AA121</f>
        <v>0.631640864706009</v>
      </c>
      <c r="AB39" s="219">
        <f ca="1">Balance_Sheet_Annual!AB121</f>
        <v>1.5400308570131684</v>
      </c>
    </row>
    <row r="40" spans="1:28">
      <c r="A40" s="1" t="s">
        <v>125</v>
      </c>
      <c r="B40" s="126">
        <f>Balance_Sheet_Annual!B122</f>
        <v>0</v>
      </c>
      <c r="C40" s="126">
        <f>Balance_Sheet_Annual!C122</f>
        <v>0</v>
      </c>
      <c r="D40" s="126">
        <f>Balance_Sheet_Annual!D122</f>
        <v>0</v>
      </c>
      <c r="E40" s="126">
        <f>Balance_Sheet_Annual!E122</f>
        <v>0</v>
      </c>
      <c r="F40" s="126">
        <f>Balance_Sheet_Annual!F122</f>
        <v>0</v>
      </c>
      <c r="G40" s="126">
        <f>Balance_Sheet_Annual!G122</f>
        <v>0</v>
      </c>
      <c r="H40" s="126">
        <f>Balance_Sheet_Annual!H122</f>
        <v>0</v>
      </c>
      <c r="I40" s="126">
        <f>Balance_Sheet_Annual!I122</f>
        <v>0</v>
      </c>
      <c r="J40" s="126">
        <f>Balance_Sheet_Annual!J122</f>
        <v>0</v>
      </c>
      <c r="K40" s="126">
        <f>Balance_Sheet_Annual!K122</f>
        <v>0</v>
      </c>
      <c r="L40" s="126">
        <f>Balance_Sheet_Annual!L122</f>
        <v>0</v>
      </c>
      <c r="M40" s="126">
        <f>Balance_Sheet_Annual!M122</f>
        <v>0</v>
      </c>
      <c r="N40" s="126">
        <f>Balance_Sheet_Annual!N122</f>
        <v>0</v>
      </c>
      <c r="O40" s="126">
        <f>Balance_Sheet_Annual!O122</f>
        <v>0</v>
      </c>
      <c r="P40" s="126">
        <f>Balance_Sheet_Annual!P122</f>
        <v>0</v>
      </c>
      <c r="Q40" s="126">
        <f>Balance_Sheet_Annual!Q122</f>
        <v>0</v>
      </c>
      <c r="R40" s="126">
        <f>Balance_Sheet_Annual!R122</f>
        <v>0</v>
      </c>
      <c r="S40" s="126">
        <f>Balance_Sheet_Annual!S122</f>
        <v>0</v>
      </c>
      <c r="T40" s="126">
        <f>Balance_Sheet_Annual!T122</f>
        <v>0</v>
      </c>
      <c r="U40" s="126">
        <f>Balance_Sheet_Annual!U122</f>
        <v>0</v>
      </c>
      <c r="V40" s="126">
        <f>Balance_Sheet_Annual!V122</f>
        <v>0</v>
      </c>
      <c r="W40" s="126">
        <f>Balance_Sheet_Annual!W122</f>
        <v>-0.46894443436640665</v>
      </c>
      <c r="X40" s="126">
        <f>Balance_Sheet_Annual!X122</f>
        <v>0</v>
      </c>
      <c r="Y40" s="126">
        <f>Balance_Sheet_Annual!Y122</f>
        <v>-0.67057176450156208</v>
      </c>
      <c r="Z40" s="126">
        <f>Balance_Sheet_Annual!Z122</f>
        <v>-0.33176935242690109</v>
      </c>
      <c r="AA40" s="182">
        <f>Balance_Sheet_Annual!AA122</f>
        <v>0.25476181543142351</v>
      </c>
      <c r="AB40" s="182">
        <f ca="1">Balance_Sheet_Annual!AB122</f>
        <v>9.5914121003132529</v>
      </c>
    </row>
    <row r="41" spans="1:28">
      <c r="A41" s="1"/>
      <c r="B41" s="123"/>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3"/>
      <c r="AA41" s="38"/>
      <c r="AB41" s="38"/>
    </row>
    <row r="42" spans="1:28">
      <c r="A42" s="9" t="s">
        <v>150</v>
      </c>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25"/>
      <c r="AB42" s="25"/>
    </row>
    <row r="43" spans="1:28">
      <c r="A43" s="5" t="s">
        <v>299</v>
      </c>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c r="AA43" s="38"/>
      <c r="AB43" s="38"/>
    </row>
    <row r="44" spans="1:28">
      <c r="A44" s="1" t="s">
        <v>134</v>
      </c>
      <c r="B44" s="127"/>
      <c r="C44" s="127"/>
      <c r="D44" s="127"/>
      <c r="E44" s="127"/>
      <c r="F44" s="127"/>
      <c r="G44" s="127"/>
      <c r="H44" s="127"/>
      <c r="I44" s="127"/>
      <c r="J44" s="127"/>
      <c r="K44" s="127"/>
      <c r="L44" s="127"/>
      <c r="M44" s="127"/>
      <c r="N44" s="127"/>
      <c r="O44" s="127"/>
      <c r="P44" s="127"/>
      <c r="Q44" s="127"/>
      <c r="R44" s="127">
        <f>BCA_Annual!R3</f>
        <v>58012</v>
      </c>
      <c r="S44" s="127">
        <f>BCA_Annual!S3</f>
        <v>58014</v>
      </c>
      <c r="T44" s="127">
        <f>BCA_Annual!T3</f>
        <v>57499</v>
      </c>
      <c r="U44" s="127">
        <f>BCA_Annual!U3</f>
        <v>32255</v>
      </c>
      <c r="V44" s="127">
        <f>BCA_Annual!V3</f>
        <v>16162</v>
      </c>
      <c r="W44" s="127">
        <f>BCA_Annual!W3</f>
        <v>19493</v>
      </c>
      <c r="X44" s="127">
        <f>BCA_Annual!X3</f>
        <v>25867</v>
      </c>
      <c r="Y44" s="127">
        <f>BCA_Annual!Y3</f>
        <v>33901</v>
      </c>
      <c r="Z44" s="127">
        <f>BCA_Annual!Z3</f>
        <v>22861</v>
      </c>
      <c r="AA44" s="166">
        <f>BCA_Annual!AA3</f>
        <v>41494</v>
      </c>
      <c r="AB44" s="166">
        <f>BCA_Annual!AB3</f>
        <v>50763.126760563377</v>
      </c>
    </row>
    <row r="45" spans="1:28">
      <c r="A45" s="1" t="s">
        <v>135</v>
      </c>
      <c r="B45" s="126"/>
      <c r="C45" s="126"/>
      <c r="D45" s="126"/>
      <c r="E45" s="126"/>
      <c r="F45" s="126"/>
      <c r="G45" s="126"/>
      <c r="H45" s="126"/>
      <c r="I45" s="126"/>
      <c r="J45" s="126"/>
      <c r="K45" s="126"/>
      <c r="L45" s="126"/>
      <c r="M45" s="126"/>
      <c r="N45" s="126"/>
      <c r="O45" s="126"/>
      <c r="P45" s="126"/>
      <c r="Q45" s="126"/>
      <c r="R45" s="126">
        <f>BCA_Annual!R4</f>
        <v>0</v>
      </c>
      <c r="S45" s="126">
        <f>BCA_Annual!S4</f>
        <v>3.447562573266616E-5</v>
      </c>
      <c r="T45" s="126">
        <f>BCA_Annual!T4</f>
        <v>-8.8771675802392647E-3</v>
      </c>
      <c r="U45" s="126">
        <f>BCA_Annual!U4</f>
        <v>-0.43903372232560567</v>
      </c>
      <c r="V45" s="126">
        <f>BCA_Annual!V4</f>
        <v>-0.49893039838784681</v>
      </c>
      <c r="W45" s="126">
        <f>BCA_Annual!W4</f>
        <v>0.20610073010765984</v>
      </c>
      <c r="X45" s="126">
        <f>BCA_Annual!X4</f>
        <v>0.32698917560149798</v>
      </c>
      <c r="Y45" s="126">
        <f>BCA_Annual!Y4</f>
        <v>0.31058878107240884</v>
      </c>
      <c r="Z45" s="126">
        <f>BCA_Annual!Z4</f>
        <v>-0.32565411049821535</v>
      </c>
      <c r="AA45" s="182">
        <f>BCA_Annual!AA4</f>
        <v>0.81505620926468669</v>
      </c>
      <c r="AB45" s="182">
        <f>BCA_Annual!AB4</f>
        <v>0.22338474865193469</v>
      </c>
    </row>
    <row r="46" spans="1:28">
      <c r="A46" s="1" t="s">
        <v>217</v>
      </c>
      <c r="B46" s="127"/>
      <c r="C46" s="127"/>
      <c r="D46" s="127"/>
      <c r="E46" s="127"/>
      <c r="F46" s="127"/>
      <c r="G46" s="127"/>
      <c r="H46" s="127"/>
      <c r="I46" s="127"/>
      <c r="J46" s="127"/>
      <c r="K46" s="127"/>
      <c r="L46" s="127"/>
      <c r="M46" s="127"/>
      <c r="N46" s="127"/>
      <c r="O46" s="127"/>
      <c r="P46" s="127"/>
      <c r="Q46" s="127"/>
      <c r="R46" s="127">
        <f>BCA_Annual!R19</f>
        <v>1995</v>
      </c>
      <c r="S46" s="127">
        <f>BCA_Annual!S19</f>
        <v>5452</v>
      </c>
      <c r="T46" s="127">
        <f>BCA_Annual!T19</f>
        <v>7830</v>
      </c>
      <c r="U46" s="127">
        <f>BCA_Annual!U19</f>
        <v>-6657</v>
      </c>
      <c r="V46" s="127">
        <f>BCA_Annual!V19</f>
        <v>-13847</v>
      </c>
      <c r="W46" s="127">
        <f>BCA_Annual!W19</f>
        <v>-6475</v>
      </c>
      <c r="X46" s="127">
        <f>BCA_Annual!X19</f>
        <v>-2370</v>
      </c>
      <c r="Y46" s="127">
        <f>BCA_Annual!Y19</f>
        <v>-1635</v>
      </c>
      <c r="Z46" s="127">
        <f>BCA_Annual!Z19</f>
        <v>-7969</v>
      </c>
      <c r="AA46" s="166">
        <f>BCA_Annual!AA19</f>
        <v>-7079</v>
      </c>
      <c r="AB46" s="166">
        <f>BCA_Annual!AB19</f>
        <v>-994.54108046655199</v>
      </c>
    </row>
    <row r="47" spans="1:28">
      <c r="A47" s="1" t="s">
        <v>218</v>
      </c>
      <c r="B47" s="126"/>
      <c r="C47" s="126"/>
      <c r="D47" s="126"/>
      <c r="E47" s="126"/>
      <c r="F47" s="126"/>
      <c r="G47" s="126"/>
      <c r="H47" s="126"/>
      <c r="I47" s="126"/>
      <c r="J47" s="126"/>
      <c r="K47" s="126"/>
      <c r="L47" s="126"/>
      <c r="M47" s="126"/>
      <c r="N47" s="126"/>
      <c r="O47" s="126"/>
      <c r="P47" s="126"/>
      <c r="Q47" s="126"/>
      <c r="R47" s="126">
        <f>BCA_Annual!R22</f>
        <v>3.4389436668275528E-2</v>
      </c>
      <c r="S47" s="126">
        <f>BCA_Annual!S22</f>
        <v>9.3977315820319235E-2</v>
      </c>
      <c r="T47" s="126">
        <f>BCA_Annual!T22</f>
        <v>0.13617628132663176</v>
      </c>
      <c r="U47" s="126">
        <f>BCA_Annual!U22</f>
        <v>-0.20638660672763912</v>
      </c>
      <c r="V47" s="126">
        <f>BCA_Annual!V22</f>
        <v>-0.856762776884049</v>
      </c>
      <c r="W47" s="126">
        <f>BCA_Annual!W22</f>
        <v>-0.33217052275175701</v>
      </c>
      <c r="X47" s="126">
        <f>BCA_Annual!X22</f>
        <v>-9.1622530637491789E-2</v>
      </c>
      <c r="Y47" s="126">
        <f>BCA_Annual!Y22</f>
        <v>-4.8228665821067225E-2</v>
      </c>
      <c r="Z47" s="126">
        <f>BCA_Annual!Z22</f>
        <v>-0.34858492629368792</v>
      </c>
      <c r="AA47" s="182">
        <f>BCA_Annual!AA22</f>
        <v>-0.17060297874391478</v>
      </c>
      <c r="AB47" s="182">
        <f>BCA_Annual!AB22</f>
        <v>-1.9591801055863771E-2</v>
      </c>
    </row>
    <row r="48" spans="1:28">
      <c r="A48" s="1" t="s">
        <v>151</v>
      </c>
      <c r="B48" s="143"/>
      <c r="C48" s="143"/>
      <c r="D48" s="143"/>
      <c r="E48" s="143"/>
      <c r="F48" s="143"/>
      <c r="G48" s="143"/>
      <c r="H48" s="143"/>
      <c r="I48" s="143"/>
      <c r="J48" s="143"/>
      <c r="K48" s="143"/>
      <c r="L48" s="143"/>
      <c r="M48" s="143"/>
      <c r="N48" s="143"/>
      <c r="O48" s="143"/>
      <c r="P48" s="143"/>
      <c r="Q48" s="143"/>
      <c r="R48" s="143" t="s">
        <v>337</v>
      </c>
      <c r="S48" s="143">
        <v>0.964663701865067</v>
      </c>
      <c r="T48" s="143">
        <v>0.95050348701716547</v>
      </c>
      <c r="U48" s="143">
        <v>2.1950085258099519E-2</v>
      </c>
      <c r="V48" s="143">
        <v>-4.8782947654993194</v>
      </c>
      <c r="W48" s="143">
        <v>1.7845893397629919</v>
      </c>
      <c r="X48" s="143">
        <v>2.2735145165655082</v>
      </c>
      <c r="Y48" s="143">
        <v>4.264888941329164</v>
      </c>
      <c r="Z48" s="143">
        <v>0</v>
      </c>
      <c r="AA48" s="215">
        <v>0</v>
      </c>
      <c r="AB48" s="215">
        <v>0</v>
      </c>
    </row>
    <row r="49" spans="1:28">
      <c r="A49" s="1"/>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3"/>
      <c r="AA49" s="38"/>
      <c r="AB49" s="38"/>
    </row>
    <row r="50" spans="1:28">
      <c r="A50" s="5" t="s">
        <v>345</v>
      </c>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3"/>
      <c r="AA50" s="38"/>
      <c r="AB50" s="38"/>
    </row>
    <row r="51" spans="1:28">
      <c r="A51" s="1" t="s">
        <v>134</v>
      </c>
      <c r="B51" s="127"/>
      <c r="C51" s="127"/>
      <c r="D51" s="127"/>
      <c r="E51" s="127"/>
      <c r="F51" s="127"/>
      <c r="G51" s="127"/>
      <c r="H51" s="127"/>
      <c r="I51" s="127"/>
      <c r="J51" s="127"/>
      <c r="K51" s="127"/>
      <c r="L51" s="127"/>
      <c r="M51" s="127"/>
      <c r="N51" s="127"/>
      <c r="O51" s="127"/>
      <c r="P51" s="127"/>
      <c r="Q51" s="127"/>
      <c r="R51" s="127">
        <f>BDS_Annual!R3</f>
        <v>22563</v>
      </c>
      <c r="S51" s="127">
        <f>BDS_Annual!S3</f>
        <v>20561</v>
      </c>
      <c r="T51" s="127">
        <f>BDS_Annual!T3</f>
        <v>26392</v>
      </c>
      <c r="U51" s="127">
        <f>BDS_Annual!U3</f>
        <v>26227</v>
      </c>
      <c r="V51" s="127">
        <f>BDS_Annual!V3</f>
        <v>26257</v>
      </c>
      <c r="W51" s="127">
        <f>BDS_Annual!W3</f>
        <v>26540</v>
      </c>
      <c r="X51" s="127">
        <f>BDS_Annual!X3</f>
        <v>23162</v>
      </c>
      <c r="Y51" s="127">
        <f>BDS_Annual!Y3</f>
        <v>24933</v>
      </c>
      <c r="Z51" s="127">
        <f>BDS_Annual!Z3</f>
        <v>23918</v>
      </c>
      <c r="AA51" s="166">
        <f>BDS_Annual!AA3</f>
        <v>27234</v>
      </c>
      <c r="AB51" s="166">
        <f>BDS_Annual!AB3</f>
        <v>28228.851367991578</v>
      </c>
    </row>
    <row r="52" spans="1:28">
      <c r="A52" s="1" t="s">
        <v>135</v>
      </c>
      <c r="B52" s="126"/>
      <c r="C52" s="126"/>
      <c r="D52" s="126"/>
      <c r="E52" s="126"/>
      <c r="F52" s="126"/>
      <c r="G52" s="126"/>
      <c r="H52" s="126"/>
      <c r="I52" s="126"/>
      <c r="J52" s="126"/>
      <c r="K52" s="126"/>
      <c r="L52" s="126"/>
      <c r="M52" s="126"/>
      <c r="N52" s="126"/>
      <c r="O52" s="126"/>
      <c r="P52" s="126"/>
      <c r="Q52" s="126"/>
      <c r="R52" s="126">
        <f>BDS_Annual!R4</f>
        <v>0</v>
      </c>
      <c r="S52" s="126">
        <f>BDS_Annual!S4</f>
        <v>-8.8729335637991347E-2</v>
      </c>
      <c r="T52" s="126">
        <f>BDS_Annual!T4</f>
        <v>0.2835951558776324</v>
      </c>
      <c r="U52" s="126">
        <f>BDS_Annual!U4</f>
        <v>-6.2518945134889536E-3</v>
      </c>
      <c r="V52" s="126">
        <f>BDS_Annual!V4</f>
        <v>1.1438593815533693E-3</v>
      </c>
      <c r="W52" s="126">
        <f>BDS_Annual!W4</f>
        <v>1.0778078226758581E-2</v>
      </c>
      <c r="X52" s="126">
        <f>BDS_Annual!X4</f>
        <v>-0.12727957799547851</v>
      </c>
      <c r="Y52" s="126">
        <f>BDS_Annual!Y4</f>
        <v>7.6461445471030176E-2</v>
      </c>
      <c r="Z52" s="126">
        <f>BDS_Annual!Z4</f>
        <v>-4.070910038904263E-2</v>
      </c>
      <c r="AA52" s="182">
        <f>BDS_Annual!AA4</f>
        <v>0.13864035454469437</v>
      </c>
      <c r="AB52" s="182">
        <f>BDS_Annual!AB4</f>
        <v>3.6529755746184112E-2</v>
      </c>
    </row>
    <row r="53" spans="1:28">
      <c r="A53" s="1" t="s">
        <v>217</v>
      </c>
      <c r="B53" s="127"/>
      <c r="C53" s="127"/>
      <c r="D53" s="127"/>
      <c r="E53" s="127"/>
      <c r="F53" s="127"/>
      <c r="G53" s="127"/>
      <c r="H53" s="127"/>
      <c r="I53" s="127"/>
      <c r="J53" s="127"/>
      <c r="K53" s="127"/>
      <c r="L53" s="127"/>
      <c r="M53" s="127"/>
      <c r="N53" s="127"/>
      <c r="O53" s="127"/>
      <c r="P53" s="127"/>
      <c r="Q53" s="127"/>
      <c r="R53" s="127">
        <f>BDS_Annual!R19</f>
        <v>1966</v>
      </c>
      <c r="S53" s="127">
        <f>BDS_Annual!S19</f>
        <v>2193</v>
      </c>
      <c r="T53" s="127">
        <f>BDS_Annual!T19</f>
        <v>1657</v>
      </c>
      <c r="U53" s="127">
        <f>BDS_Annual!U19</f>
        <v>2608</v>
      </c>
      <c r="V53" s="127">
        <f>BDS_Annual!V19</f>
        <v>1539</v>
      </c>
      <c r="W53" s="127">
        <f>BDS_Annual!W19</f>
        <v>1544</v>
      </c>
      <c r="X53" s="127">
        <f>BDS_Annual!X19</f>
        <v>-3544</v>
      </c>
      <c r="Y53" s="127">
        <f>BDS_Annual!Y19</f>
        <v>-1764</v>
      </c>
      <c r="Z53" s="127">
        <f>BDS_Annual!Z19</f>
        <v>-5413</v>
      </c>
      <c r="AA53" s="166">
        <f>BDS_Annual!AA19</f>
        <v>-128</v>
      </c>
      <c r="AB53" s="166">
        <f>BDS_Annual!AB19</f>
        <v>796.81656449824652</v>
      </c>
    </row>
    <row r="54" spans="1:28">
      <c r="A54" s="1" t="s">
        <v>218</v>
      </c>
      <c r="B54" s="126"/>
      <c r="C54" s="126"/>
      <c r="D54" s="126"/>
      <c r="E54" s="126"/>
      <c r="F54" s="126"/>
      <c r="G54" s="126"/>
      <c r="H54" s="126"/>
      <c r="I54" s="126"/>
      <c r="J54" s="126"/>
      <c r="K54" s="126"/>
      <c r="L54" s="126"/>
      <c r="M54" s="126"/>
      <c r="N54" s="126"/>
      <c r="O54" s="126"/>
      <c r="P54" s="126"/>
      <c r="Q54" s="126"/>
      <c r="R54" s="126">
        <f>BDS_Annual!R22</f>
        <v>8.7133803129016529E-2</v>
      </c>
      <c r="S54" s="126">
        <f>BDS_Annual!S22</f>
        <v>0.10665823646709791</v>
      </c>
      <c r="T54" s="126">
        <f>BDS_Annual!T22</f>
        <v>6.278417702334041E-2</v>
      </c>
      <c r="U54" s="126">
        <f>BDS_Annual!U22</f>
        <v>9.9439508903038848E-2</v>
      </c>
      <c r="V54" s="126">
        <f>BDS_Annual!V22</f>
        <v>5.8612941310888525E-2</v>
      </c>
      <c r="W54" s="126">
        <f>BDS_Annual!W22</f>
        <v>5.8176337603617179E-2</v>
      </c>
      <c r="X54" s="126">
        <f>BDS_Annual!X22</f>
        <v>-0.15300923927122009</v>
      </c>
      <c r="Y54" s="126">
        <f>BDS_Annual!Y22</f>
        <v>-7.0749608951991338E-2</v>
      </c>
      <c r="Z54" s="126">
        <f>BDS_Annual!Z22</f>
        <v>-0.22631490927335063</v>
      </c>
      <c r="AA54" s="182">
        <f>BDS_Annual!AA22</f>
        <v>-4.700007343761475E-3</v>
      </c>
      <c r="AB54" s="182">
        <f>BDS_Annual!AB22</f>
        <v>2.8227027522690816E-2</v>
      </c>
    </row>
    <row r="55" spans="1:28">
      <c r="A55" s="1" t="s">
        <v>151</v>
      </c>
      <c r="B55" s="143"/>
      <c r="C55" s="143"/>
      <c r="D55" s="143"/>
      <c r="E55" s="143"/>
      <c r="F55" s="143"/>
      <c r="G55" s="143"/>
      <c r="H55" s="143"/>
      <c r="I55" s="143"/>
      <c r="J55" s="143"/>
      <c r="K55" s="143"/>
      <c r="L55" s="143"/>
      <c r="M55" s="143"/>
      <c r="N55" s="143"/>
      <c r="O55" s="143"/>
      <c r="P55" s="143"/>
      <c r="Q55" s="143"/>
      <c r="R55" s="143" t="s">
        <v>337</v>
      </c>
      <c r="S55" s="143">
        <v>0.96225864500753855</v>
      </c>
      <c r="T55" s="143">
        <v>1.6527735677478024</v>
      </c>
      <c r="U55" s="143">
        <v>1.0920425515689938</v>
      </c>
      <c r="V55" s="143">
        <v>0.89168602658338725</v>
      </c>
      <c r="W55" s="143">
        <v>0.96160512434061796</v>
      </c>
      <c r="X55" s="143">
        <v>0.76448493221656166</v>
      </c>
      <c r="Y55" s="143">
        <v>1.1860586371475554</v>
      </c>
      <c r="Z55" s="143">
        <v>0</v>
      </c>
      <c r="AA55" s="215">
        <v>0</v>
      </c>
      <c r="AB55" s="215">
        <v>0</v>
      </c>
    </row>
    <row r="56" spans="1:28">
      <c r="A56" s="1"/>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c r="AA56" s="38"/>
      <c r="AB56" s="38"/>
    </row>
    <row r="57" spans="1:28">
      <c r="A57" s="5" t="s">
        <v>437</v>
      </c>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c r="AA57" s="38"/>
      <c r="AB57" s="38"/>
    </row>
    <row r="58" spans="1:28">
      <c r="A58" s="1" t="s">
        <v>134</v>
      </c>
      <c r="B58" s="127"/>
      <c r="C58" s="127"/>
      <c r="D58" s="127"/>
      <c r="E58" s="127"/>
      <c r="F58" s="127"/>
      <c r="G58" s="127"/>
      <c r="H58" s="127"/>
      <c r="I58" s="127"/>
      <c r="J58" s="127"/>
      <c r="K58" s="127"/>
      <c r="L58" s="127"/>
      <c r="M58" s="127"/>
      <c r="N58" s="127"/>
      <c r="O58" s="127"/>
      <c r="P58" s="127"/>
      <c r="Q58" s="127"/>
      <c r="R58" s="127">
        <f>BGS_Annual!R3</f>
        <v>13925</v>
      </c>
      <c r="S58" s="127">
        <f>BGS_Annual!S3</f>
        <v>14581</v>
      </c>
      <c r="T58" s="127">
        <f>BGS_Annual!T3</f>
        <v>17056</v>
      </c>
      <c r="U58" s="127">
        <f>BGS_Annual!U3</f>
        <v>18468</v>
      </c>
      <c r="V58" s="127">
        <f>BGS_Annual!V3</f>
        <v>15543</v>
      </c>
      <c r="W58" s="127">
        <f>BGS_Annual!W3</f>
        <v>16328</v>
      </c>
      <c r="X58" s="127">
        <f>BGS_Annual!X3</f>
        <v>17611</v>
      </c>
      <c r="Y58" s="127">
        <f>BGS_Annual!Y3</f>
        <v>19127</v>
      </c>
      <c r="Z58" s="127">
        <f>BGS_Annual!Z3</f>
        <v>19954</v>
      </c>
      <c r="AA58" s="166">
        <f>BGS_Annual!AA3</f>
        <v>20923</v>
      </c>
      <c r="AB58" s="166">
        <f>BGS_Annual!AB3</f>
        <v>20923</v>
      </c>
    </row>
    <row r="59" spans="1:28">
      <c r="A59" s="1" t="s">
        <v>135</v>
      </c>
      <c r="B59" s="126"/>
      <c r="C59" s="126"/>
      <c r="D59" s="126"/>
      <c r="E59" s="126"/>
      <c r="F59" s="126"/>
      <c r="G59" s="126"/>
      <c r="H59" s="126"/>
      <c r="I59" s="126"/>
      <c r="J59" s="126"/>
      <c r="K59" s="126"/>
      <c r="L59" s="126"/>
      <c r="M59" s="126"/>
      <c r="N59" s="126"/>
      <c r="O59" s="126"/>
      <c r="P59" s="126"/>
      <c r="Q59" s="126"/>
      <c r="R59" s="126">
        <f>BGS_Annual!R4</f>
        <v>0</v>
      </c>
      <c r="S59" s="126">
        <f>BGS_Annual!S4</f>
        <v>4.7109515260323143E-2</v>
      </c>
      <c r="T59" s="126">
        <f>BGS_Annual!T4</f>
        <v>0.16974144434538108</v>
      </c>
      <c r="U59" s="126">
        <f>BGS_Annual!U4</f>
        <v>8.2786116322701719E-2</v>
      </c>
      <c r="V59" s="126">
        <f>BGS_Annual!V4</f>
        <v>-0.15838206627680307</v>
      </c>
      <c r="W59" s="126">
        <f>BGS_Annual!W4</f>
        <v>5.0505050505050608E-2</v>
      </c>
      <c r="X59" s="126">
        <f>BGS_Annual!X4</f>
        <v>7.8576678098971176E-2</v>
      </c>
      <c r="Y59" s="126">
        <f>BGS_Annual!Y4</f>
        <v>8.6082562035091792E-2</v>
      </c>
      <c r="Z59" s="126">
        <f>BGS_Annual!Z4</f>
        <v>4.3237308516756334E-2</v>
      </c>
      <c r="AA59" s="182">
        <f>BGS_Annual!AA4</f>
        <v>4.8561691891350067E-2</v>
      </c>
      <c r="AB59" s="182">
        <f>BGS_Annual!AB4</f>
        <v>0</v>
      </c>
    </row>
    <row r="60" spans="1:28">
      <c r="A60" s="1" t="s">
        <v>217</v>
      </c>
      <c r="B60" s="127"/>
      <c r="C60" s="127"/>
      <c r="D60" s="127"/>
      <c r="E60" s="127"/>
      <c r="F60" s="127"/>
      <c r="G60" s="127"/>
      <c r="H60" s="127"/>
      <c r="I60" s="127"/>
      <c r="J60" s="127"/>
      <c r="K60" s="127"/>
      <c r="L60" s="127"/>
      <c r="M60" s="127"/>
      <c r="N60" s="127"/>
      <c r="O60" s="127"/>
      <c r="P60" s="127"/>
      <c r="Q60" s="127"/>
      <c r="R60" s="127">
        <f>BGS_Annual!R19</f>
        <v>2177</v>
      </c>
      <c r="S60" s="127">
        <f>BGS_Annual!S19</f>
        <v>2246</v>
      </c>
      <c r="T60" s="127">
        <f>BGS_Annual!T19</f>
        <v>2536</v>
      </c>
      <c r="U60" s="127">
        <f>BGS_Annual!U19</f>
        <v>2697</v>
      </c>
      <c r="V60" s="127">
        <f>BGS_Annual!V19</f>
        <v>450</v>
      </c>
      <c r="W60" s="127">
        <f>BGS_Annual!W19</f>
        <v>2017</v>
      </c>
      <c r="X60" s="127">
        <f>BGS_Annual!X19</f>
        <v>2727</v>
      </c>
      <c r="Y60" s="127">
        <f>BGS_Annual!Y19</f>
        <v>3329</v>
      </c>
      <c r="Z60" s="127">
        <f>BGS_Annual!Z19</f>
        <v>3618</v>
      </c>
      <c r="AA60" s="166">
        <f>BGS_Annual!AA19</f>
        <v>13474</v>
      </c>
      <c r="AB60" s="166">
        <f>BGS_Annual!AB19</f>
        <v>3818.4474999999998</v>
      </c>
    </row>
    <row r="61" spans="1:28">
      <c r="A61" s="1" t="s">
        <v>218</v>
      </c>
      <c r="B61" s="126"/>
      <c r="C61" s="126"/>
      <c r="D61" s="126"/>
      <c r="E61" s="126"/>
      <c r="F61" s="126"/>
      <c r="G61" s="126"/>
      <c r="H61" s="126"/>
      <c r="I61" s="126"/>
      <c r="J61" s="126"/>
      <c r="K61" s="126"/>
      <c r="L61" s="126"/>
      <c r="M61" s="126"/>
      <c r="N61" s="126"/>
      <c r="O61" s="126"/>
      <c r="P61" s="126"/>
      <c r="Q61" s="126"/>
      <c r="R61" s="126">
        <f>BGS_Annual!R22</f>
        <v>0.15633752244165169</v>
      </c>
      <c r="S61" s="126">
        <f>BGS_Annual!S22</f>
        <v>0.1540360743433235</v>
      </c>
      <c r="T61" s="126">
        <f>BGS_Annual!T22</f>
        <v>0.14868667917448405</v>
      </c>
      <c r="U61" s="126">
        <f>BGS_Annual!U22</f>
        <v>0.14603638726445745</v>
      </c>
      <c r="V61" s="126">
        <f>BGS_Annual!V22</f>
        <v>2.8951939779965258E-2</v>
      </c>
      <c r="W61" s="126">
        <f>BGS_Annual!W22</f>
        <v>0.12353013228809408</v>
      </c>
      <c r="X61" s="126">
        <f>BGS_Annual!X22</f>
        <v>0.15484640281642156</v>
      </c>
      <c r="Y61" s="126">
        <f>BGS_Annual!Y22</f>
        <v>0.1740471584670884</v>
      </c>
      <c r="Z61" s="126">
        <f>BGS_Annual!Z22</f>
        <v>0.18131702916708428</v>
      </c>
      <c r="AA61" s="182">
        <f>BGS_Annual!AA22</f>
        <v>0.6439803087511351</v>
      </c>
      <c r="AB61" s="182">
        <f>BGS_Annual!AB22</f>
        <v>0.1825</v>
      </c>
    </row>
    <row r="62" spans="1:28">
      <c r="A62" s="1" t="s">
        <v>151</v>
      </c>
      <c r="B62" s="143"/>
      <c r="C62" s="143"/>
      <c r="D62" s="143"/>
      <c r="E62" s="143"/>
      <c r="F62" s="143"/>
      <c r="G62" s="143"/>
      <c r="H62" s="143"/>
      <c r="I62" s="143"/>
      <c r="J62" s="143"/>
      <c r="K62" s="143"/>
      <c r="L62" s="143"/>
      <c r="M62" s="143"/>
      <c r="N62" s="143"/>
      <c r="O62" s="143"/>
      <c r="P62" s="143"/>
      <c r="Q62" s="143"/>
      <c r="R62" s="143" t="s">
        <v>337</v>
      </c>
      <c r="S62" s="143">
        <v>1.2725464645771896</v>
      </c>
      <c r="T62" s="143">
        <v>1.0855417448405253</v>
      </c>
      <c r="U62" s="143">
        <v>1.0995235001082955</v>
      </c>
      <c r="V62" s="143">
        <v>0.85395354822106417</v>
      </c>
      <c r="W62" s="143">
        <v>0.9916707496325331</v>
      </c>
      <c r="X62" s="143">
        <v>0.93424564192834025</v>
      </c>
      <c r="Y62" s="143">
        <v>1.0277618026873008</v>
      </c>
      <c r="Z62" s="143">
        <v>0</v>
      </c>
      <c r="AA62" s="143">
        <v>0</v>
      </c>
      <c r="AB62" s="143">
        <v>0</v>
      </c>
    </row>
    <row r="63" spans="1:28">
      <c r="A63" s="1"/>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c r="AA63" s="38"/>
      <c r="AB63" s="38"/>
    </row>
    <row r="64" spans="1:28">
      <c r="A64" s="5" t="s">
        <v>301</v>
      </c>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c r="AA64" s="38"/>
      <c r="AB64" s="38"/>
    </row>
    <row r="65" spans="1:28">
      <c r="A65" s="1" t="s">
        <v>134</v>
      </c>
      <c r="B65" s="127">
        <v>728</v>
      </c>
      <c r="C65" s="127">
        <v>815</v>
      </c>
      <c r="D65" s="127">
        <v>994</v>
      </c>
      <c r="E65" s="127">
        <v>991</v>
      </c>
      <c r="F65" s="127">
        <v>959</v>
      </c>
      <c r="G65" s="127">
        <v>966</v>
      </c>
      <c r="H65" s="127">
        <v>1025</v>
      </c>
      <c r="I65" s="127">
        <v>815</v>
      </c>
      <c r="J65" s="127">
        <v>703</v>
      </c>
      <c r="K65" s="127">
        <v>660</v>
      </c>
      <c r="L65" s="127">
        <v>639</v>
      </c>
      <c r="M65" s="127">
        <v>520</v>
      </c>
      <c r="N65" s="127">
        <v>468</v>
      </c>
      <c r="O65" s="127">
        <v>408</v>
      </c>
      <c r="P65" s="127">
        <v>416</v>
      </c>
      <c r="Q65" s="127">
        <v>413</v>
      </c>
      <c r="R65" s="127">
        <v>298</v>
      </c>
      <c r="S65" s="127">
        <v>307</v>
      </c>
      <c r="T65" s="127">
        <v>274</v>
      </c>
      <c r="U65" s="127">
        <v>244</v>
      </c>
      <c r="V65" s="127">
        <v>261</v>
      </c>
      <c r="W65" s="127">
        <v>272</v>
      </c>
      <c r="X65" s="127">
        <v>199</v>
      </c>
      <c r="Y65" s="127">
        <v>200.99</v>
      </c>
      <c r="Z65" s="127">
        <v>202.99990000000003</v>
      </c>
      <c r="AA65" s="166">
        <v>205.02989900000003</v>
      </c>
      <c r="AB65" s="166">
        <v>207.08019799000004</v>
      </c>
    </row>
    <row r="66" spans="1:28">
      <c r="A66" s="1" t="s">
        <v>135</v>
      </c>
      <c r="B66" s="126">
        <v>-5.5771725032425445E-2</v>
      </c>
      <c r="C66" s="126">
        <v>0.11950549450549453</v>
      </c>
      <c r="D66" s="126">
        <v>0.21963190184049086</v>
      </c>
      <c r="E66" s="126">
        <v>-3.0181086519114331E-3</v>
      </c>
      <c r="F66" s="126">
        <v>-3.229061553985868E-2</v>
      </c>
      <c r="G66" s="126">
        <v>7.2992700729928028E-3</v>
      </c>
      <c r="H66" s="126">
        <v>6.107660455486541E-2</v>
      </c>
      <c r="I66" s="126">
        <v>-0.20487804878048776</v>
      </c>
      <c r="J66" s="126">
        <v>-0.13742331288343557</v>
      </c>
      <c r="K66" s="126">
        <v>-6.1166429587482196E-2</v>
      </c>
      <c r="L66" s="126">
        <v>-3.1818181818181857E-2</v>
      </c>
      <c r="M66" s="126">
        <v>-0.18622848200312991</v>
      </c>
      <c r="N66" s="126">
        <v>-9.9999999999999978E-2</v>
      </c>
      <c r="O66" s="126">
        <v>-0.12820512820512819</v>
      </c>
      <c r="P66" s="126">
        <v>1.9607843137254832E-2</v>
      </c>
      <c r="Q66" s="126">
        <v>-7.2115384615384359E-3</v>
      </c>
      <c r="R66" s="126">
        <v>-0.27845036319612593</v>
      </c>
      <c r="S66" s="126">
        <v>3.0201342281879207E-2</v>
      </c>
      <c r="T66" s="126">
        <v>-0.10749185667752448</v>
      </c>
      <c r="U66" s="126">
        <v>-0.10948905109489049</v>
      </c>
      <c r="V66" s="126">
        <v>6.9672131147541005E-2</v>
      </c>
      <c r="W66" s="126">
        <v>4.2145593869731712E-2</v>
      </c>
      <c r="X66" s="126">
        <v>-0.26838235294117652</v>
      </c>
      <c r="Y66" s="126">
        <v>1.0000000000000009E-2</v>
      </c>
      <c r="Z66" s="126">
        <v>0.01</v>
      </c>
      <c r="AA66" s="182">
        <v>0.01</v>
      </c>
      <c r="AB66" s="182">
        <v>0.01</v>
      </c>
    </row>
    <row r="67" spans="1:28">
      <c r="A67" s="1" t="s">
        <v>217</v>
      </c>
      <c r="B67" s="127">
        <v>516</v>
      </c>
      <c r="C67" s="127">
        <v>562</v>
      </c>
      <c r="D67" s="127">
        <v>72</v>
      </c>
      <c r="E67" s="127">
        <v>91</v>
      </c>
      <c r="F67" s="127">
        <v>183</v>
      </c>
      <c r="G67" s="127">
        <v>232</v>
      </c>
      <c r="H67" s="127">
        <v>291</v>
      </c>
      <c r="I67" s="127">
        <v>234</v>
      </c>
      <c r="J67" s="127">
        <v>162</v>
      </c>
      <c r="K67" s="127">
        <v>126</v>
      </c>
      <c r="L67" s="127">
        <v>152</v>
      </c>
      <c r="M67" s="127">
        <v>113</v>
      </c>
      <c r="N67" s="127">
        <v>88</v>
      </c>
      <c r="O67" s="127">
        <v>107</v>
      </c>
      <c r="P67" s="127">
        <v>92</v>
      </c>
      <c r="Q67" s="127">
        <v>50</v>
      </c>
      <c r="R67" s="127">
        <v>59</v>
      </c>
      <c r="S67" s="127">
        <v>114</v>
      </c>
      <c r="T67" s="127">
        <v>79</v>
      </c>
      <c r="U67" s="127">
        <v>28</v>
      </c>
      <c r="V67" s="127">
        <v>63</v>
      </c>
      <c r="W67" s="127">
        <v>106</v>
      </c>
      <c r="X67" s="127">
        <v>29</v>
      </c>
      <c r="Y67" s="127">
        <v>24.1188</v>
      </c>
      <c r="Z67" s="127">
        <v>24.359988000000001</v>
      </c>
      <c r="AA67" s="166">
        <v>24.603587880000003</v>
      </c>
      <c r="AB67" s="166">
        <v>24.849623758800004</v>
      </c>
    </row>
    <row r="68" spans="1:28">
      <c r="A68" s="1" t="s">
        <v>218</v>
      </c>
      <c r="B68" s="126">
        <v>0.70879120879120883</v>
      </c>
      <c r="C68" s="126">
        <v>0.68957055214723928</v>
      </c>
      <c r="D68" s="126">
        <v>7.2434607645875254E-2</v>
      </c>
      <c r="E68" s="126">
        <v>9.1826437941473257E-2</v>
      </c>
      <c r="F68" s="126">
        <v>0.19082377476538059</v>
      </c>
      <c r="G68" s="126">
        <v>0.2401656314699793</v>
      </c>
      <c r="H68" s="126">
        <v>0.28390243902439022</v>
      </c>
      <c r="I68" s="126">
        <v>0.28711656441717792</v>
      </c>
      <c r="J68" s="126">
        <v>0.23044096728307253</v>
      </c>
      <c r="K68" s="126">
        <v>0.19090909090909092</v>
      </c>
      <c r="L68" s="126">
        <v>0.23787167449139279</v>
      </c>
      <c r="M68" s="126">
        <v>0.21730769230769231</v>
      </c>
      <c r="N68" s="126">
        <v>0.18803418803418803</v>
      </c>
      <c r="O68" s="126">
        <v>0.26225490196078433</v>
      </c>
      <c r="P68" s="126">
        <v>0.22115384615384615</v>
      </c>
      <c r="Q68" s="126">
        <v>0.12106537530266344</v>
      </c>
      <c r="R68" s="126">
        <v>0.19798657718120805</v>
      </c>
      <c r="S68" s="126">
        <v>0.37133550488599348</v>
      </c>
      <c r="T68" s="126">
        <v>0.28832116788321166</v>
      </c>
      <c r="U68" s="126">
        <v>0.11475409836065574</v>
      </c>
      <c r="V68" s="126">
        <v>0.2413793103448276</v>
      </c>
      <c r="W68" s="126">
        <v>0.38970588235294118</v>
      </c>
      <c r="X68" s="126">
        <v>0.14572864321608039</v>
      </c>
      <c r="Y68" s="126">
        <v>0.12</v>
      </c>
      <c r="Z68" s="126">
        <v>0.12</v>
      </c>
      <c r="AA68" s="182">
        <v>0.12</v>
      </c>
      <c r="AB68" s="182">
        <v>0.12</v>
      </c>
    </row>
    <row r="69" spans="1:28">
      <c r="A69" s="1" t="s">
        <v>151</v>
      </c>
      <c r="B69" s="143" t="s">
        <v>310</v>
      </c>
      <c r="C69" s="143" t="s">
        <v>310</v>
      </c>
      <c r="D69" s="143" t="s">
        <v>310</v>
      </c>
      <c r="E69" s="143" t="s">
        <v>310</v>
      </c>
      <c r="F69" s="143" t="s">
        <v>310</v>
      </c>
      <c r="G69" s="143" t="s">
        <v>310</v>
      </c>
      <c r="H69" s="143" t="s">
        <v>310</v>
      </c>
      <c r="I69" s="143" t="s">
        <v>310</v>
      </c>
      <c r="J69" s="143" t="s">
        <v>310</v>
      </c>
      <c r="K69" s="143" t="s">
        <v>310</v>
      </c>
      <c r="L69" s="143" t="s">
        <v>310</v>
      </c>
      <c r="M69" s="143" t="s">
        <v>310</v>
      </c>
      <c r="N69" s="143" t="s">
        <v>310</v>
      </c>
      <c r="O69" s="143" t="s">
        <v>310</v>
      </c>
      <c r="P69" s="143" t="s">
        <v>310</v>
      </c>
      <c r="Q69" s="143" t="s">
        <v>310</v>
      </c>
      <c r="R69" s="143" t="s">
        <v>310</v>
      </c>
      <c r="S69" s="143" t="s">
        <v>310</v>
      </c>
      <c r="T69" s="143" t="s">
        <v>310</v>
      </c>
      <c r="U69" s="143" t="s">
        <v>310</v>
      </c>
      <c r="V69" s="143" t="s">
        <v>310</v>
      </c>
      <c r="W69" s="143" t="s">
        <v>310</v>
      </c>
      <c r="X69" s="143" t="s">
        <v>310</v>
      </c>
      <c r="Y69" s="143" t="s">
        <v>310</v>
      </c>
      <c r="Z69" s="143" t="s">
        <v>310</v>
      </c>
      <c r="AA69" s="143" t="s">
        <v>310</v>
      </c>
      <c r="AB69" s="143" t="s">
        <v>310</v>
      </c>
    </row>
    <row r="70" spans="1:28">
      <c r="A70" s="1"/>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3"/>
      <c r="AA70" s="38"/>
      <c r="AB70" s="38"/>
    </row>
    <row r="71" spans="1:28" hidden="1" outlineLevel="1">
      <c r="A71" s="5" t="s">
        <v>346</v>
      </c>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c r="AA71" s="38"/>
      <c r="AB71" s="38"/>
    </row>
    <row r="72" spans="1:28" hidden="1" outlineLevel="1">
      <c r="A72" s="1" t="s">
        <v>134</v>
      </c>
      <c r="B72" s="127">
        <v>31171</v>
      </c>
      <c r="C72" s="127">
        <v>35056</v>
      </c>
      <c r="D72" s="127">
        <v>28387</v>
      </c>
      <c r="E72" s="127">
        <v>22408</v>
      </c>
      <c r="F72" s="127">
        <v>21037</v>
      </c>
      <c r="G72" s="127">
        <v>21365</v>
      </c>
      <c r="H72" s="127">
        <v>28465</v>
      </c>
      <c r="I72" s="127">
        <v>33386</v>
      </c>
      <c r="J72" s="127">
        <v>28263</v>
      </c>
      <c r="K72" s="127">
        <v>34051</v>
      </c>
      <c r="L72" s="127">
        <v>31834</v>
      </c>
      <c r="M72" s="127">
        <v>36171</v>
      </c>
      <c r="N72" s="127">
        <v>49127</v>
      </c>
      <c r="O72" s="127">
        <v>52981</v>
      </c>
      <c r="P72" s="127">
        <v>59990</v>
      </c>
      <c r="Q72" s="127">
        <v>66048</v>
      </c>
      <c r="R72" s="127"/>
      <c r="S72" s="127"/>
      <c r="T72" s="127"/>
      <c r="U72" s="127"/>
      <c r="V72" s="127"/>
      <c r="W72" s="127"/>
      <c r="X72" s="127"/>
      <c r="Y72" s="127"/>
      <c r="Z72" s="127"/>
      <c r="AA72" s="166"/>
      <c r="AB72" s="166"/>
    </row>
    <row r="73" spans="1:28" hidden="1" outlineLevel="1">
      <c r="A73" s="1" t="s">
        <v>135</v>
      </c>
      <c r="B73" s="126">
        <v>-0.18983755685510073</v>
      </c>
      <c r="C73" s="126">
        <v>0.12463507747585889</v>
      </c>
      <c r="D73" s="126">
        <v>-0.19023847558192608</v>
      </c>
      <c r="E73" s="126">
        <v>-0.21062458167471021</v>
      </c>
      <c r="F73" s="126">
        <v>-6.1183505890753276E-2</v>
      </c>
      <c r="G73" s="126">
        <v>1.5591576745733748E-2</v>
      </c>
      <c r="H73" s="126">
        <v>0.33231921366721262</v>
      </c>
      <c r="I73" s="126">
        <v>0.17287897417881615</v>
      </c>
      <c r="J73" s="126">
        <v>-0.15344755286647094</v>
      </c>
      <c r="K73" s="126">
        <v>0.20479071577681074</v>
      </c>
      <c r="L73" s="126">
        <v>-6.5108220022906838E-2</v>
      </c>
      <c r="M73" s="126">
        <v>0.13623798454482627</v>
      </c>
      <c r="N73" s="126">
        <v>0.35818749827209651</v>
      </c>
      <c r="O73" s="126">
        <v>7.8449732326419275E-2</v>
      </c>
      <c r="P73" s="126">
        <v>0.13229270870689502</v>
      </c>
      <c r="Q73" s="126">
        <v>0.10098349724954159</v>
      </c>
      <c r="R73" s="126"/>
      <c r="S73" s="126"/>
      <c r="T73" s="126"/>
      <c r="U73" s="126"/>
      <c r="V73" s="126"/>
      <c r="W73" s="126"/>
      <c r="X73" s="126"/>
      <c r="Y73" s="126"/>
      <c r="Z73" s="126"/>
      <c r="AA73" s="182"/>
      <c r="AB73" s="182"/>
    </row>
    <row r="74" spans="1:28" hidden="1" outlineLevel="1">
      <c r="A74" s="1" t="s">
        <v>217</v>
      </c>
      <c r="B74" s="127">
        <v>2736</v>
      </c>
      <c r="C74" s="127">
        <v>2632</v>
      </c>
      <c r="D74" s="127">
        <v>2017</v>
      </c>
      <c r="E74" s="127">
        <v>1048</v>
      </c>
      <c r="F74" s="127">
        <v>1308</v>
      </c>
      <c r="G74" s="127">
        <v>1431</v>
      </c>
      <c r="H74" s="127">
        <v>2733</v>
      </c>
      <c r="I74" s="127">
        <v>3584</v>
      </c>
      <c r="J74" s="127">
        <v>3809.1384615384613</v>
      </c>
      <c r="K74" s="127">
        <v>3462</v>
      </c>
      <c r="L74" s="127">
        <v>3006</v>
      </c>
      <c r="M74" s="127">
        <v>3495</v>
      </c>
      <c r="N74" s="127">
        <v>4711</v>
      </c>
      <c r="O74" s="127">
        <v>5795</v>
      </c>
      <c r="P74" s="127">
        <v>6411</v>
      </c>
      <c r="Q74" s="127">
        <v>5157</v>
      </c>
      <c r="R74" s="127"/>
      <c r="S74" s="127"/>
      <c r="T74" s="127"/>
      <c r="U74" s="127"/>
      <c r="V74" s="127"/>
      <c r="W74" s="127"/>
      <c r="X74" s="127"/>
      <c r="Y74" s="127"/>
      <c r="Z74" s="127"/>
      <c r="AA74" s="166"/>
      <c r="AB74" s="166"/>
    </row>
    <row r="75" spans="1:28" hidden="1" outlineLevel="1">
      <c r="A75" s="1" t="s">
        <v>218</v>
      </c>
      <c r="B75" s="126">
        <v>8.7773892399987161E-2</v>
      </c>
      <c r="C75" s="126">
        <v>7.5079872204472847E-2</v>
      </c>
      <c r="D75" s="126">
        <v>7.1053651319265859E-2</v>
      </c>
      <c r="E75" s="126">
        <v>4.6769011067475899E-2</v>
      </c>
      <c r="F75" s="126">
        <v>6.2176165803108807E-2</v>
      </c>
      <c r="G75" s="126">
        <v>6.6978703487011473E-2</v>
      </c>
      <c r="H75" s="126">
        <v>9.6012647110486557E-2</v>
      </c>
      <c r="I75" s="126">
        <v>0.10735038638950459</v>
      </c>
      <c r="J75" s="126">
        <v>0.13477473946638577</v>
      </c>
      <c r="K75" s="126">
        <v>0.10167102287744853</v>
      </c>
      <c r="L75" s="126">
        <v>9.4427341835773074E-2</v>
      </c>
      <c r="M75" s="126">
        <v>9.6624367587293689E-2</v>
      </c>
      <c r="N75" s="126">
        <v>9.5894314735277958E-2</v>
      </c>
      <c r="O75" s="126">
        <v>0.10937883392159453</v>
      </c>
      <c r="P75" s="126">
        <v>0.10686781130188365</v>
      </c>
      <c r="Q75" s="126">
        <v>7.8079578488372089E-2</v>
      </c>
      <c r="R75" s="126"/>
      <c r="S75" s="126"/>
      <c r="T75" s="126"/>
      <c r="U75" s="126"/>
      <c r="V75" s="126"/>
      <c r="W75" s="126"/>
      <c r="X75" s="126"/>
      <c r="Y75" s="126"/>
      <c r="Z75" s="126"/>
      <c r="AA75" s="182"/>
      <c r="AB75" s="182"/>
    </row>
    <row r="76" spans="1:28" hidden="1" outlineLevel="1">
      <c r="A76" s="1" t="s">
        <v>151</v>
      </c>
      <c r="B76" s="143">
        <v>0</v>
      </c>
      <c r="C76" s="143" t="s">
        <v>337</v>
      </c>
      <c r="D76" s="143" t="s">
        <v>337</v>
      </c>
      <c r="E76" s="143">
        <v>0.81122813280971084</v>
      </c>
      <c r="F76" s="143">
        <v>1.3398773589390123</v>
      </c>
      <c r="G76" s="143">
        <v>3.5108822841095249</v>
      </c>
      <c r="H76" s="143">
        <v>2.7505006147900932</v>
      </c>
      <c r="I76" s="143">
        <v>3.4240999221230455</v>
      </c>
      <c r="J76" s="143">
        <v>1.8293174822205711</v>
      </c>
      <c r="K76" s="143">
        <v>0.17174238642036946</v>
      </c>
      <c r="L76" s="143">
        <v>1.1545831500910975</v>
      </c>
      <c r="M76" s="143">
        <v>2.0989743164413479</v>
      </c>
      <c r="N76" s="143">
        <v>1.4755429804384554</v>
      </c>
      <c r="O76" s="143">
        <v>2.03597516090674</v>
      </c>
      <c r="P76" s="143">
        <v>2.1141523587264546</v>
      </c>
      <c r="Q76" s="143">
        <v>0.86594597868217049</v>
      </c>
      <c r="R76" s="143"/>
      <c r="S76" s="143"/>
      <c r="T76" s="143"/>
      <c r="U76" s="143"/>
      <c r="V76" s="143"/>
      <c r="W76" s="143"/>
      <c r="X76" s="143"/>
      <c r="Y76" s="143"/>
      <c r="Z76" s="143"/>
      <c r="AA76" s="215"/>
      <c r="AB76" s="215"/>
    </row>
    <row r="77" spans="1:28" hidden="1" outlineLevel="1">
      <c r="A77" s="1"/>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38"/>
      <c r="AB77" s="38"/>
    </row>
    <row r="78" spans="1:28" hidden="1" outlineLevel="1">
      <c r="A78" s="5" t="s">
        <v>438</v>
      </c>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38"/>
      <c r="AB78" s="38"/>
    </row>
    <row r="79" spans="1:28" hidden="1" outlineLevel="1">
      <c r="A79" s="1" t="s">
        <v>134</v>
      </c>
      <c r="B79" s="127">
        <v>19963</v>
      </c>
      <c r="C79" s="127">
        <v>22815</v>
      </c>
      <c r="D79" s="127">
        <v>24957</v>
      </c>
      <c r="E79" s="127">
        <v>27361</v>
      </c>
      <c r="F79" s="127">
        <v>30465</v>
      </c>
      <c r="G79" s="127">
        <v>31106</v>
      </c>
      <c r="H79" s="127">
        <v>32439</v>
      </c>
      <c r="I79" s="127">
        <v>32052</v>
      </c>
      <c r="J79" s="127">
        <v>32047</v>
      </c>
      <c r="K79" s="127">
        <v>33661</v>
      </c>
      <c r="L79" s="127">
        <v>31943</v>
      </c>
      <c r="M79" s="127">
        <v>31976</v>
      </c>
      <c r="N79" s="127">
        <v>32607</v>
      </c>
      <c r="O79" s="127">
        <v>33197</v>
      </c>
      <c r="P79" s="127">
        <v>30881</v>
      </c>
      <c r="Q79" s="127">
        <v>30388</v>
      </c>
      <c r="R79" s="123"/>
      <c r="S79" s="123"/>
      <c r="T79" s="123"/>
      <c r="U79" s="123"/>
      <c r="V79" s="123"/>
      <c r="W79" s="123"/>
      <c r="X79" s="123"/>
      <c r="Y79" s="123"/>
      <c r="Z79" s="123"/>
      <c r="AA79" s="38"/>
      <c r="AB79" s="38"/>
    </row>
    <row r="80" spans="1:28" hidden="1" outlineLevel="1">
      <c r="A80" s="1" t="s">
        <v>135</v>
      </c>
      <c r="B80" s="126">
        <v>4.7871502808251476E-2</v>
      </c>
      <c r="C80" s="126">
        <v>0.14286429895306307</v>
      </c>
      <c r="D80" s="126">
        <v>9.3885601577909261E-2</v>
      </c>
      <c r="E80" s="126">
        <v>9.6325680169892181E-2</v>
      </c>
      <c r="F80" s="126">
        <v>0.11344614597419689</v>
      </c>
      <c r="G80" s="126">
        <v>2.1040538322665281E-2</v>
      </c>
      <c r="H80" s="126">
        <v>4.28534687841573E-2</v>
      </c>
      <c r="I80" s="126">
        <v>-1.1930084157958043E-2</v>
      </c>
      <c r="J80" s="126">
        <v>-1.5599650567832413E-4</v>
      </c>
      <c r="K80" s="126">
        <v>5.036352856741666E-2</v>
      </c>
      <c r="L80" s="126">
        <v>-5.1038293574165894E-2</v>
      </c>
      <c r="M80" s="126">
        <v>1.033090191904229E-3</v>
      </c>
      <c r="N80" s="126">
        <v>1.9733550162621905E-2</v>
      </c>
      <c r="O80" s="126">
        <v>1.8094274235593621E-2</v>
      </c>
      <c r="P80" s="126">
        <v>-6.9765340241588092E-2</v>
      </c>
      <c r="Q80" s="126">
        <v>-0.49344890815135856</v>
      </c>
      <c r="R80" s="126"/>
      <c r="S80" s="126"/>
      <c r="T80" s="126"/>
      <c r="U80" s="126"/>
      <c r="V80" s="126"/>
      <c r="W80" s="126"/>
      <c r="X80" s="126"/>
      <c r="Y80" s="126"/>
      <c r="Z80" s="126"/>
      <c r="AA80" s="182"/>
      <c r="AB80" s="182"/>
    </row>
    <row r="81" spans="1:28" hidden="1" outlineLevel="1">
      <c r="A81" s="1" t="s">
        <v>217</v>
      </c>
      <c r="B81" s="127">
        <v>1002</v>
      </c>
      <c r="C81" s="127">
        <v>1965</v>
      </c>
      <c r="D81" s="127">
        <v>2009</v>
      </c>
      <c r="E81" s="127">
        <v>1338</v>
      </c>
      <c r="F81" s="127">
        <v>2925</v>
      </c>
      <c r="G81" s="127">
        <v>3919</v>
      </c>
      <c r="H81" s="127">
        <v>3032</v>
      </c>
      <c r="I81" s="127">
        <v>3440</v>
      </c>
      <c r="J81" s="127">
        <v>3480</v>
      </c>
      <c r="K81" s="127">
        <v>3299</v>
      </c>
      <c r="L81" s="127">
        <v>2875</v>
      </c>
      <c r="M81" s="127">
        <v>3158</v>
      </c>
      <c r="N81" s="127">
        <v>3068</v>
      </c>
      <c r="O81" s="127">
        <v>3235</v>
      </c>
      <c r="P81" s="127">
        <v>3133</v>
      </c>
      <c r="Q81" s="127">
        <v>3274</v>
      </c>
      <c r="R81" s="127"/>
      <c r="S81" s="127"/>
      <c r="T81" s="127"/>
      <c r="U81" s="127"/>
      <c r="V81" s="127"/>
      <c r="W81" s="127"/>
      <c r="X81" s="127"/>
      <c r="Y81" s="127"/>
      <c r="Z81" s="127"/>
      <c r="AA81" s="166"/>
      <c r="AB81" s="166"/>
    </row>
    <row r="82" spans="1:28" hidden="1" outlineLevel="1">
      <c r="A82" s="1" t="s">
        <v>218</v>
      </c>
      <c r="B82" s="126">
        <v>5.0192856785052344E-2</v>
      </c>
      <c r="C82" s="126">
        <v>8.6127547666009205E-2</v>
      </c>
      <c r="D82" s="126">
        <v>8.0498457346636215E-2</v>
      </c>
      <c r="E82" s="126">
        <v>4.8901721428310369E-2</v>
      </c>
      <c r="F82" s="126">
        <v>9.6011816838995567E-2</v>
      </c>
      <c r="G82" s="126">
        <v>0.12598855526265029</v>
      </c>
      <c r="H82" s="126">
        <v>9.3467739449428155E-2</v>
      </c>
      <c r="I82" s="126">
        <v>0.10732559590665169</v>
      </c>
      <c r="J82" s="126">
        <v>0.10859050769182763</v>
      </c>
      <c r="K82" s="126">
        <v>9.800659516948397E-2</v>
      </c>
      <c r="L82" s="126">
        <v>9.0004069749240842E-2</v>
      </c>
      <c r="M82" s="126">
        <v>9.8761571178383786E-2</v>
      </c>
      <c r="N82" s="126">
        <v>9.409022602508664E-2</v>
      </c>
      <c r="O82" s="126">
        <v>9.7448564629333975E-2</v>
      </c>
      <c r="P82" s="126">
        <v>0.10145396845957061</v>
      </c>
      <c r="Q82" s="126">
        <v>0.10773989732789259</v>
      </c>
      <c r="R82" s="126"/>
      <c r="S82" s="126"/>
      <c r="T82" s="126"/>
      <c r="U82" s="126"/>
      <c r="V82" s="126"/>
      <c r="W82" s="126"/>
      <c r="X82" s="126"/>
      <c r="Y82" s="126"/>
      <c r="Z82" s="126"/>
      <c r="AA82" s="182"/>
      <c r="AB82" s="182"/>
    </row>
    <row r="83" spans="1:28" hidden="1" outlineLevel="1">
      <c r="A83" s="1" t="s">
        <v>151</v>
      </c>
      <c r="B83" s="143">
        <v>0</v>
      </c>
      <c r="C83" s="143" t="s">
        <v>337</v>
      </c>
      <c r="D83" s="143" t="s">
        <v>337</v>
      </c>
      <c r="E83" s="143">
        <v>1.7565512956397793</v>
      </c>
      <c r="F83" s="143">
        <v>0.83656655178073203</v>
      </c>
      <c r="G83" s="143">
        <v>0.81006879701665269</v>
      </c>
      <c r="H83" s="143">
        <v>0.85209161811399858</v>
      </c>
      <c r="I83" s="143">
        <v>0.86852614501435166</v>
      </c>
      <c r="J83" s="143">
        <v>1.0468998658220738</v>
      </c>
      <c r="K83" s="143">
        <v>0.75743441965479341</v>
      </c>
      <c r="L83" s="143">
        <v>1.010863099896691</v>
      </c>
      <c r="M83" s="143">
        <v>0.83909807355516641</v>
      </c>
      <c r="N83" s="143">
        <v>1.3506609010335204</v>
      </c>
      <c r="O83" s="143">
        <v>0.87387414525408924</v>
      </c>
      <c r="P83" s="143">
        <v>0.82594475567501058</v>
      </c>
      <c r="Q83" s="143">
        <v>0.86053705410030279</v>
      </c>
      <c r="R83" s="143"/>
      <c r="S83" s="143"/>
      <c r="T83" s="143"/>
      <c r="U83" s="143"/>
      <c r="V83" s="143"/>
      <c r="W83" s="143"/>
      <c r="X83" s="143"/>
      <c r="Y83" s="143"/>
      <c r="Z83" s="143"/>
      <c r="AA83" s="215"/>
      <c r="AB83" s="215"/>
    </row>
    <row r="84" spans="1:28" collapsed="1">
      <c r="A84" s="1"/>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38"/>
      <c r="AB84" s="38"/>
    </row>
    <row r="85" spans="1:28">
      <c r="A85" s="1"/>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38"/>
      <c r="AB85" s="38"/>
    </row>
    <row r="86" spans="1:28">
      <c r="A86" s="1"/>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c r="AA86" s="38"/>
      <c r="AB86" s="38"/>
    </row>
    <row r="87" spans="1:28">
      <c r="A87" s="1"/>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c r="AA87" s="38"/>
      <c r="AB87" s="38"/>
    </row>
    <row r="88" spans="1:28">
      <c r="A88" s="1"/>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c r="AA88" s="38"/>
      <c r="AB88" s="38"/>
    </row>
    <row r="89" spans="1:28">
      <c r="A89" s="1"/>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c r="AA89" s="38"/>
      <c r="AB89" s="38"/>
    </row>
    <row r="90" spans="1:28">
      <c r="A90" s="1"/>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c r="AA90" s="38"/>
      <c r="AB90" s="38"/>
    </row>
    <row r="91" spans="1:28">
      <c r="A91" s="1"/>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c r="AA91" s="38"/>
      <c r="AB91" s="38"/>
    </row>
    <row r="92" spans="1:28">
      <c r="A92" s="1"/>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c r="AA92" s="38"/>
      <c r="AB92" s="38"/>
    </row>
    <row r="93" spans="1:28">
      <c r="A93" s="1"/>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c r="AA93" s="38"/>
      <c r="AB93" s="38"/>
    </row>
    <row r="94" spans="1:28">
      <c r="A94" s="1"/>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c r="AA94" s="38"/>
      <c r="AB94" s="38"/>
    </row>
    <row r="95" spans="1:28">
      <c r="A95" s="1"/>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3"/>
      <c r="AA95" s="38"/>
      <c r="AB95" s="38"/>
    </row>
    <row r="96" spans="1:28">
      <c r="A96" s="1"/>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c r="AA96" s="38"/>
      <c r="AB96" s="38"/>
    </row>
    <row r="97" spans="1:28">
      <c r="A97" s="1"/>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3"/>
      <c r="AA97" s="38"/>
      <c r="AB97" s="38"/>
    </row>
    <row r="98" spans="1:28">
      <c r="A98" s="1"/>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c r="AA98" s="38"/>
      <c r="AB98" s="38"/>
    </row>
    <row r="99" spans="1:28">
      <c r="A99" s="1"/>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c r="AA99" s="38"/>
      <c r="AB99" s="38"/>
    </row>
    <row r="100" spans="1:28">
      <c r="A100" s="1"/>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c r="AA100" s="38"/>
      <c r="AB100" s="38"/>
    </row>
    <row r="101" spans="1:28">
      <c r="A101" s="1"/>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c r="AA101" s="38"/>
      <c r="AB101" s="38"/>
    </row>
    <row r="102" spans="1:28">
      <c r="A102" s="1"/>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c r="AA102" s="38"/>
      <c r="AB102" s="38"/>
    </row>
    <row r="103" spans="1:28">
      <c r="A103" s="1"/>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c r="AA103" s="38"/>
      <c r="AB103" s="38"/>
    </row>
    <row r="104" spans="1:28">
      <c r="A104" s="1"/>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c r="AA104" s="38"/>
      <c r="AB104" s="38"/>
    </row>
    <row r="105" spans="1:28">
      <c r="A105" s="1"/>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c r="AA105" s="38"/>
      <c r="AB105" s="38"/>
    </row>
    <row r="106" spans="1:28">
      <c r="A106" s="1"/>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c r="AA106" s="38"/>
      <c r="AB106" s="38"/>
    </row>
    <row r="107" spans="1:28">
      <c r="A107" s="1"/>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c r="AA107" s="38"/>
      <c r="AB107" s="38"/>
    </row>
    <row r="108" spans="1:28">
      <c r="A108" s="1"/>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c r="AA108" s="38"/>
      <c r="AB108" s="38"/>
    </row>
    <row r="109" spans="1:28">
      <c r="A109" s="1"/>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c r="AA109" s="38"/>
      <c r="AB109" s="38"/>
    </row>
    <row r="110" spans="1:28">
      <c r="A110" s="1"/>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c r="AA110" s="38"/>
      <c r="AB110" s="38"/>
    </row>
    <row r="111" spans="1:28">
      <c r="A111" s="1"/>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c r="AA111" s="38"/>
      <c r="AB111" s="38"/>
    </row>
    <row r="112" spans="1:28">
      <c r="A112" s="1"/>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c r="AA112" s="38"/>
      <c r="AB112" s="38"/>
    </row>
    <row r="113" spans="1:28">
      <c r="A113" s="1"/>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c r="AA113" s="38"/>
      <c r="AB113" s="38"/>
    </row>
    <row r="114" spans="1:28">
      <c r="A114" s="1"/>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c r="AA114" s="38"/>
      <c r="AB114" s="38"/>
    </row>
    <row r="115" spans="1:28">
      <c r="A115" s="1"/>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c r="AA115" s="38"/>
      <c r="AB115" s="38"/>
    </row>
    <row r="116" spans="1:28">
      <c r="A116" s="1"/>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c r="AA116" s="38"/>
      <c r="AB116" s="38"/>
    </row>
    <row r="117" spans="1:28">
      <c r="A117" s="1"/>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c r="AA117" s="38"/>
      <c r="AB117" s="38"/>
    </row>
    <row r="118" spans="1:28">
      <c r="A118" s="1"/>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c r="AA118" s="38"/>
      <c r="AB118" s="38"/>
    </row>
    <row r="119" spans="1:28">
      <c r="A119" s="1"/>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c r="AA119" s="38"/>
      <c r="AB119" s="38"/>
    </row>
    <row r="120" spans="1:28">
      <c r="A120" s="1"/>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c r="AA120" s="38"/>
      <c r="AB120" s="38"/>
    </row>
    <row r="121" spans="1:28">
      <c r="A121" s="1"/>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c r="AA121" s="38"/>
      <c r="AB121" s="38"/>
    </row>
    <row r="122" spans="1:28">
      <c r="A122" s="1"/>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c r="AA122" s="38"/>
      <c r="AB122" s="38"/>
    </row>
    <row r="123" spans="1:28">
      <c r="A123" s="1"/>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c r="AA123" s="38"/>
      <c r="AB123" s="38"/>
    </row>
    <row r="124" spans="1:28">
      <c r="A124" s="1"/>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c r="AA124" s="38"/>
      <c r="AB124" s="38"/>
    </row>
    <row r="125" spans="1:28">
      <c r="A125" s="1"/>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c r="AA125" s="38"/>
      <c r="AB125" s="38"/>
    </row>
    <row r="126" spans="1:28">
      <c r="A126" s="1"/>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c r="AA126" s="38"/>
      <c r="AB126" s="38"/>
    </row>
    <row r="127" spans="1:28">
      <c r="A127" s="1"/>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c r="AA127" s="38"/>
      <c r="AB127" s="38"/>
    </row>
    <row r="128" spans="1:28">
      <c r="A128" s="1"/>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c r="AA128" s="38"/>
      <c r="AB128" s="38"/>
    </row>
    <row r="129" spans="1:28">
      <c r="A129" s="1"/>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c r="AA129" s="38"/>
      <c r="AB129" s="38"/>
    </row>
    <row r="130" spans="1:28">
      <c r="A130" s="1"/>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c r="AA130" s="38"/>
      <c r="AB130" s="38"/>
    </row>
    <row r="131" spans="1:28">
      <c r="A131" s="1"/>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c r="AA131" s="38"/>
      <c r="AB131" s="38"/>
    </row>
    <row r="132" spans="1:28">
      <c r="A132" s="1"/>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c r="AA132" s="38"/>
      <c r="AB132" s="38"/>
    </row>
    <row r="133" spans="1:28">
      <c r="A133" s="1"/>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c r="AA133" s="38"/>
      <c r="AB133" s="38"/>
    </row>
    <row r="134" spans="1:28">
      <c r="A134" s="1"/>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c r="AA134" s="38"/>
      <c r="AB134" s="38"/>
    </row>
    <row r="135" spans="1:28">
      <c r="A135" s="1"/>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c r="AA135" s="38"/>
      <c r="AB135" s="38"/>
    </row>
    <row r="136" spans="1:28">
      <c r="A136" s="1"/>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c r="AA136" s="38"/>
      <c r="AB136" s="38"/>
    </row>
    <row r="137" spans="1:28">
      <c r="A137" s="1"/>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c r="AA137" s="38"/>
      <c r="AB137" s="38"/>
    </row>
    <row r="138" spans="1:28">
      <c r="A138" s="1"/>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c r="AA138" s="38"/>
      <c r="AB138" s="38"/>
    </row>
    <row r="139" spans="1:28">
      <c r="A139" s="1"/>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c r="AA139" s="38"/>
      <c r="AB139" s="38"/>
    </row>
    <row r="140" spans="1:28">
      <c r="A140" s="1"/>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c r="AA140" s="38"/>
      <c r="AB140" s="38"/>
    </row>
    <row r="141" spans="1:28">
      <c r="A141" s="1"/>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c r="AA141" s="38"/>
      <c r="AB141" s="38"/>
    </row>
    <row r="142" spans="1:28">
      <c r="A142" s="1"/>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c r="AA142" s="38"/>
      <c r="AB142" s="38"/>
    </row>
    <row r="143" spans="1:28">
      <c r="A143" s="1"/>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c r="AA143" s="38"/>
      <c r="AB143" s="38"/>
    </row>
    <row r="144" spans="1:28">
      <c r="A144" s="1"/>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c r="AA144" s="38"/>
      <c r="AB144" s="38"/>
    </row>
    <row r="145" spans="1:28">
      <c r="A145" s="1"/>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c r="AA145" s="38"/>
      <c r="AB145" s="38"/>
    </row>
    <row r="146" spans="1:28">
      <c r="A146" s="1"/>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c r="AA146" s="38"/>
      <c r="AB146" s="38"/>
    </row>
    <row r="147" spans="1:28">
      <c r="A147" s="1"/>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c r="AA147" s="38"/>
      <c r="AB147" s="38"/>
    </row>
    <row r="148" spans="1:28">
      <c r="A148" s="1"/>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c r="AA148" s="38"/>
      <c r="AB148" s="38"/>
    </row>
    <row r="149" spans="1:28">
      <c r="A149" s="1"/>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c r="AA149" s="38"/>
      <c r="AB149" s="38"/>
    </row>
    <row r="150" spans="1:28">
      <c r="A150" s="1"/>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c r="AA150" s="38"/>
      <c r="AB150" s="38"/>
    </row>
    <row r="151" spans="1:28">
      <c r="A151" s="1"/>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c r="AA151" s="38"/>
      <c r="AB151" s="38"/>
    </row>
    <row r="152" spans="1:28">
      <c r="A152" s="1"/>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c r="AA152" s="38"/>
      <c r="AB152" s="38"/>
    </row>
    <row r="153" spans="1:28">
      <c r="A153" s="1"/>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c r="AA153" s="38"/>
      <c r="AB153" s="38"/>
    </row>
    <row r="154" spans="1:28">
      <c r="A154" s="1"/>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c r="AA154" s="38"/>
      <c r="AB154" s="38"/>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4" tint="0.39997558519241921"/>
  </sheetPr>
  <dimension ref="A1:AR186"/>
  <sheetViews>
    <sheetView showGridLines="0" zoomScaleNormal="100" workbookViewId="0">
      <pane xSplit="1" ySplit="2" topLeftCell="X42" activePane="bottomRight" state="frozen"/>
      <selection activeCell="A37" sqref="A37"/>
      <selection pane="topRight" activeCell="A37" sqref="A37"/>
      <selection pane="bottomLeft" activeCell="A37" sqref="A37"/>
      <selection pane="bottomRight" activeCell="AC56" sqref="AC56"/>
    </sheetView>
  </sheetViews>
  <sheetFormatPr defaultRowHeight="14.5" outlineLevelRow="1" outlineLevelCol="1"/>
  <cols>
    <col min="1" max="1" width="52.1796875" customWidth="1"/>
    <col min="2" max="27" width="12.1796875" style="26" customWidth="1"/>
    <col min="28" max="32" width="12.7265625" customWidth="1"/>
    <col min="33" max="33" width="26.7265625" customWidth="1"/>
    <col min="34" max="34" width="16.453125" customWidth="1"/>
    <col min="35" max="38" width="9.1796875" customWidth="1"/>
    <col min="39" max="39" width="52.26953125" customWidth="1" outlineLevel="1"/>
    <col min="40" max="44" width="9.1796875" customWidth="1" outlineLevel="1"/>
  </cols>
  <sheetData>
    <row r="1" spans="1:32">
      <c r="A1" s="15" t="s">
        <v>20</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row>
    <row r="2" spans="1:32">
      <c r="B2" s="149" t="s">
        <v>195</v>
      </c>
      <c r="C2" s="149" t="s">
        <v>194</v>
      </c>
      <c r="D2" s="149" t="s">
        <v>193</v>
      </c>
      <c r="E2" s="149" t="s">
        <v>192</v>
      </c>
      <c r="F2" s="149" t="s">
        <v>191</v>
      </c>
      <c r="G2" s="149" t="s">
        <v>190</v>
      </c>
      <c r="H2" s="149" t="s">
        <v>189</v>
      </c>
      <c r="I2" s="149" t="s">
        <v>188</v>
      </c>
      <c r="J2" s="149" t="s">
        <v>187</v>
      </c>
      <c r="K2" s="149" t="s">
        <v>186</v>
      </c>
      <c r="L2" s="149" t="s">
        <v>185</v>
      </c>
      <c r="M2" s="149" t="s">
        <v>184</v>
      </c>
      <c r="N2" s="149" t="s">
        <v>183</v>
      </c>
      <c r="O2" s="149" t="s">
        <v>182</v>
      </c>
      <c r="P2" s="149" t="s">
        <v>181</v>
      </c>
      <c r="Q2" s="149" t="s">
        <v>180</v>
      </c>
      <c r="R2" s="149" t="s">
        <v>175</v>
      </c>
      <c r="S2" s="149" t="s">
        <v>170</v>
      </c>
      <c r="T2" s="149" t="s">
        <v>165</v>
      </c>
      <c r="U2" s="149" t="s">
        <v>160</v>
      </c>
      <c r="V2" s="149" t="s">
        <v>583</v>
      </c>
      <c r="W2" s="149" t="s">
        <v>597</v>
      </c>
      <c r="X2" s="149" t="s">
        <v>630</v>
      </c>
      <c r="Y2" s="149" t="s">
        <v>648</v>
      </c>
      <c r="Z2" s="149" t="s">
        <v>660</v>
      </c>
      <c r="AA2" s="11" t="s">
        <v>678</v>
      </c>
      <c r="AB2" s="11" t="s">
        <v>595</v>
      </c>
      <c r="AC2" s="11" t="s">
        <v>626</v>
      </c>
      <c r="AD2" s="11" t="s">
        <v>646</v>
      </c>
      <c r="AE2" s="11" t="s">
        <v>647</v>
      </c>
      <c r="AF2" s="11" t="s">
        <v>675</v>
      </c>
    </row>
    <row r="3" spans="1:32">
      <c r="A3" s="1" t="str">
        <f>Income_Statement_Qtr!A3</f>
        <v>Commercial Airplanes (BCA)</v>
      </c>
      <c r="B3" s="123">
        <f>BCA_Annual!B3</f>
        <v>0</v>
      </c>
      <c r="C3" s="123">
        <f>BCA_Annual!C3</f>
        <v>0</v>
      </c>
      <c r="D3" s="123">
        <f>BCA_Annual!D3</f>
        <v>0</v>
      </c>
      <c r="E3" s="123">
        <f>BCA_Annual!E3</f>
        <v>0</v>
      </c>
      <c r="F3" s="123">
        <f>BCA_Annual!F3</f>
        <v>0</v>
      </c>
      <c r="G3" s="123">
        <f>BCA_Annual!G3</f>
        <v>0</v>
      </c>
      <c r="H3" s="123">
        <f>BCA_Annual!H3</f>
        <v>0</v>
      </c>
      <c r="I3" s="123">
        <f>BCA_Annual!I3</f>
        <v>0</v>
      </c>
      <c r="J3" s="123">
        <f>BCA_Annual!J3</f>
        <v>0</v>
      </c>
      <c r="K3" s="123">
        <f>BCA_Annual!K3</f>
        <v>0</v>
      </c>
      <c r="L3" s="123">
        <f>BCA_Annual!L3</f>
        <v>0</v>
      </c>
      <c r="M3" s="123">
        <f>BCA_Annual!M3</f>
        <v>0</v>
      </c>
      <c r="N3" s="123">
        <f>BCA_Annual!N3</f>
        <v>0</v>
      </c>
      <c r="O3" s="123">
        <f>BCA_Annual!O3</f>
        <v>0</v>
      </c>
      <c r="P3" s="123">
        <f>BCA_Annual!P3</f>
        <v>0</v>
      </c>
      <c r="Q3" s="123">
        <f>+Income_Statement_Qtr!F3</f>
        <v>0</v>
      </c>
      <c r="R3" s="123">
        <f>+Income_Statement_Qtr!K3</f>
        <v>58012</v>
      </c>
      <c r="S3" s="123">
        <f>+Income_Statement_Qtr!P3</f>
        <v>58014</v>
      </c>
      <c r="T3" s="123">
        <f>+Income_Statement_Qtr!U3</f>
        <v>57499</v>
      </c>
      <c r="U3" s="123">
        <f>+Income_Statement_Qtr!Z3</f>
        <v>32255</v>
      </c>
      <c r="V3" s="123">
        <f>+Income_Statement_Qtr!AE3</f>
        <v>16162</v>
      </c>
      <c r="W3" s="123">
        <f>+Income_Statement_Qtr!AJ3</f>
        <v>19493</v>
      </c>
      <c r="X3" s="123">
        <f>+Income_Statement_Qtr!AO3</f>
        <v>25867</v>
      </c>
      <c r="Y3" s="123">
        <f>+Income_Statement_Qtr!AT3</f>
        <v>33901</v>
      </c>
      <c r="Z3" s="123">
        <f>+Income_Statement_Qtr!AY3</f>
        <v>22861</v>
      </c>
      <c r="AA3" s="123">
        <f>+Income_Statement_Qtr!BD3</f>
        <v>41494</v>
      </c>
      <c r="AB3" s="123">
        <f>+Income_Statement_Qtr!BI3</f>
        <v>50763.126760563377</v>
      </c>
      <c r="AC3" s="38">
        <f>BCA_Annual!AC3</f>
        <v>57203.394366197186</v>
      </c>
      <c r="AD3" s="38">
        <f>BCA_Annual!AD3</f>
        <v>59684.098591549293</v>
      </c>
      <c r="AE3" s="38">
        <f>BCA_Annual!AE3</f>
        <v>61238.071549295775</v>
      </c>
      <c r="AF3" s="38">
        <f>BCA_Annual!AF3</f>
        <v>62838.663695774652</v>
      </c>
    </row>
    <row r="4" spans="1:32">
      <c r="A4" s="1" t="str">
        <f>Income_Statement_Qtr!A4</f>
        <v>Defense, Space &amp; Security (BDS)</v>
      </c>
      <c r="B4" s="123">
        <f>BDS_Annual!B3</f>
        <v>0</v>
      </c>
      <c r="C4" s="123">
        <f>BDS_Annual!C3</f>
        <v>0</v>
      </c>
      <c r="D4" s="123">
        <f>BDS_Annual!D3</f>
        <v>0</v>
      </c>
      <c r="E4" s="123">
        <f>BDS_Annual!E3</f>
        <v>0</v>
      </c>
      <c r="F4" s="123">
        <f>BDS_Annual!F3</f>
        <v>0</v>
      </c>
      <c r="G4" s="123">
        <f>BDS_Annual!G3</f>
        <v>0</v>
      </c>
      <c r="H4" s="123">
        <f>BDS_Annual!H3</f>
        <v>0</v>
      </c>
      <c r="I4" s="123">
        <f>BDS_Annual!I3</f>
        <v>0</v>
      </c>
      <c r="J4" s="123">
        <f>BDS_Annual!J3</f>
        <v>0</v>
      </c>
      <c r="K4" s="123">
        <f>BDS_Annual!K3</f>
        <v>0</v>
      </c>
      <c r="L4" s="123">
        <f>BDS_Annual!L3</f>
        <v>0</v>
      </c>
      <c r="M4" s="123">
        <f>BDS_Annual!M3</f>
        <v>0</v>
      </c>
      <c r="N4" s="123">
        <f>BDS_Annual!N3</f>
        <v>0</v>
      </c>
      <c r="O4" s="123">
        <f>BDS_Annual!O3</f>
        <v>0</v>
      </c>
      <c r="P4" s="123">
        <f>BDS_Annual!P3</f>
        <v>0</v>
      </c>
      <c r="Q4" s="123">
        <f>+Income_Statement_Qtr!F4</f>
        <v>0</v>
      </c>
      <c r="R4" s="123">
        <f>+Income_Statement_Qtr!K4</f>
        <v>22563</v>
      </c>
      <c r="S4" s="123">
        <f>+Income_Statement_Qtr!P4</f>
        <v>20561</v>
      </c>
      <c r="T4" s="123">
        <f>+Income_Statement_Qtr!U4</f>
        <v>26392</v>
      </c>
      <c r="U4" s="123">
        <f>+Income_Statement_Qtr!Z4</f>
        <v>26227</v>
      </c>
      <c r="V4" s="123">
        <f>+Income_Statement_Qtr!AE4</f>
        <v>26257</v>
      </c>
      <c r="W4" s="123">
        <f>+Income_Statement_Qtr!AJ4</f>
        <v>26540</v>
      </c>
      <c r="X4" s="123">
        <f>+Income_Statement_Qtr!AO4</f>
        <v>23162</v>
      </c>
      <c r="Y4" s="123">
        <f>+Income_Statement_Qtr!AT4</f>
        <v>24933</v>
      </c>
      <c r="Z4" s="123">
        <f>+Income_Statement_Qtr!AY4</f>
        <v>23918</v>
      </c>
      <c r="AA4" s="123">
        <f>+Income_Statement_Qtr!BD4</f>
        <v>27234</v>
      </c>
      <c r="AB4" s="123">
        <f>+Income_Statement_Qtr!BI4</f>
        <v>28228.851367991578</v>
      </c>
      <c r="AC4" s="38">
        <f>BDS_Annual!AC3</f>
        <v>29196.687826202717</v>
      </c>
      <c r="AD4" s="38">
        <f>BDS_Annual!AD3</f>
        <v>30119.099236152215</v>
      </c>
      <c r="AE4" s="38">
        <f>BDS_Annual!AE3</f>
        <v>31087.584713843287</v>
      </c>
      <c r="AF4" s="38">
        <f>BDS_Annual!AF3</f>
        <v>31291.726708317074</v>
      </c>
    </row>
    <row r="5" spans="1:32">
      <c r="A5" s="1" t="str">
        <f>Income_Statement_Qtr!A5</f>
        <v>Global Services (BGS)</v>
      </c>
      <c r="B5" s="123">
        <f>BGS_Annual!B3</f>
        <v>0</v>
      </c>
      <c r="C5" s="123">
        <f>BGS_Annual!C3</f>
        <v>0</v>
      </c>
      <c r="D5" s="123">
        <f>BGS_Annual!D3</f>
        <v>0</v>
      </c>
      <c r="E5" s="123">
        <f>BGS_Annual!E3</f>
        <v>0</v>
      </c>
      <c r="F5" s="123">
        <f>BGS_Annual!F3</f>
        <v>0</v>
      </c>
      <c r="G5" s="123">
        <f>BGS_Annual!G3</f>
        <v>0</v>
      </c>
      <c r="H5" s="123">
        <f>BGS_Annual!H3</f>
        <v>0</v>
      </c>
      <c r="I5" s="123">
        <f>BGS_Annual!I3</f>
        <v>0</v>
      </c>
      <c r="J5" s="123">
        <f>BGS_Annual!J3</f>
        <v>0</v>
      </c>
      <c r="K5" s="123">
        <f>BGS_Annual!K3</f>
        <v>0</v>
      </c>
      <c r="L5" s="123">
        <f>BGS_Annual!L3</f>
        <v>0</v>
      </c>
      <c r="M5" s="123">
        <f>BGS_Annual!M3</f>
        <v>0</v>
      </c>
      <c r="N5" s="123">
        <f>BGS_Annual!N3</f>
        <v>0</v>
      </c>
      <c r="O5" s="123">
        <f>BGS_Annual!O3</f>
        <v>0</v>
      </c>
      <c r="P5" s="123">
        <f>BGS_Annual!P3</f>
        <v>0</v>
      </c>
      <c r="Q5" s="123">
        <f>+Income_Statement_Qtr!F5</f>
        <v>0</v>
      </c>
      <c r="R5" s="123">
        <f>+Income_Statement_Qtr!K5</f>
        <v>13925</v>
      </c>
      <c r="S5" s="123">
        <f>+Income_Statement_Qtr!P5</f>
        <v>14581</v>
      </c>
      <c r="T5" s="123">
        <f>+Income_Statement_Qtr!U5</f>
        <v>17056</v>
      </c>
      <c r="U5" s="123">
        <f>+Income_Statement_Qtr!Z5</f>
        <v>18468</v>
      </c>
      <c r="V5" s="123">
        <f>+Income_Statement_Qtr!AE5</f>
        <v>15543</v>
      </c>
      <c r="W5" s="123">
        <f>+Income_Statement_Qtr!AJ5</f>
        <v>16328</v>
      </c>
      <c r="X5" s="123">
        <f>+Income_Statement_Qtr!AO5</f>
        <v>17611</v>
      </c>
      <c r="Y5" s="123">
        <f>+Income_Statement_Qtr!AT5</f>
        <v>19127</v>
      </c>
      <c r="Z5" s="123">
        <f>+Income_Statement_Qtr!AY5</f>
        <v>19954</v>
      </c>
      <c r="AA5" s="123">
        <f>+Income_Statement_Qtr!BD5</f>
        <v>20923</v>
      </c>
      <c r="AB5" s="123">
        <f>+Income_Statement_Qtr!BI5</f>
        <v>20923</v>
      </c>
      <c r="AC5" s="38">
        <f>BGS_Annual!AC3</f>
        <v>22178.38</v>
      </c>
      <c r="AD5" s="38">
        <f>BGS_Annual!AD3</f>
        <v>23509.082800000004</v>
      </c>
      <c r="AE5" s="38">
        <f>BGS_Annual!AE3</f>
        <v>24919.627768000006</v>
      </c>
      <c r="AF5" s="38">
        <f>BGS_Annual!AF3</f>
        <v>26414.805434080008</v>
      </c>
    </row>
    <row r="6" spans="1:32" outlineLevel="1">
      <c r="A6" s="1" t="str">
        <f>Income_Statement_Qtr!A6</f>
        <v>Boeing Capital (BCC) (Old</v>
      </c>
      <c r="B6" s="123">
        <v>728</v>
      </c>
      <c r="C6" s="123">
        <v>815</v>
      </c>
      <c r="D6" s="123">
        <v>994</v>
      </c>
      <c r="E6" s="123">
        <v>991</v>
      </c>
      <c r="F6" s="123">
        <v>959</v>
      </c>
      <c r="G6" s="123">
        <v>966</v>
      </c>
      <c r="H6" s="123">
        <v>1025</v>
      </c>
      <c r="I6" s="123">
        <v>815</v>
      </c>
      <c r="J6" s="123">
        <v>703</v>
      </c>
      <c r="K6" s="123">
        <v>660</v>
      </c>
      <c r="L6" s="123">
        <v>639</v>
      </c>
      <c r="M6" s="123">
        <v>520</v>
      </c>
      <c r="N6" s="123">
        <v>468</v>
      </c>
      <c r="O6" s="123">
        <v>408</v>
      </c>
      <c r="P6" s="123">
        <v>416</v>
      </c>
      <c r="Q6" s="123">
        <f>+Income_Statement_Qtr!F6</f>
        <v>413</v>
      </c>
      <c r="R6" s="123">
        <f>+Income_Statement_Qtr!K6</f>
        <v>298</v>
      </c>
      <c r="S6" s="123">
        <f>+Income_Statement_Qtr!P6</f>
        <v>307</v>
      </c>
      <c r="T6" s="123">
        <f>+Income_Statement_Qtr!U6</f>
        <v>274</v>
      </c>
      <c r="U6" s="123">
        <f>+Income_Statement_Qtr!Z6</f>
        <v>244</v>
      </c>
      <c r="V6" s="123">
        <f>+Income_Statement_Qtr!AE6</f>
        <v>261</v>
      </c>
      <c r="W6" s="123">
        <f>+Income_Statement_Qtr!AJ6</f>
        <v>272</v>
      </c>
      <c r="X6" s="123">
        <f>+Income_Statement_Qtr!AO6</f>
        <v>199</v>
      </c>
      <c r="Y6" s="123">
        <f>+Income_Statement_Qtr!AT6</f>
        <v>0</v>
      </c>
      <c r="Z6" s="123">
        <f>+Income_Statement_Qtr!AY6</f>
        <v>0</v>
      </c>
      <c r="AA6" s="123">
        <f>+Income_Statement_Qtr!BD6</f>
        <v>0</v>
      </c>
      <c r="AB6" s="123">
        <f>+Income_Statement_Qtr!BI6</f>
        <v>0</v>
      </c>
      <c r="AC6" s="43">
        <v>0</v>
      </c>
      <c r="AD6" s="43">
        <v>0</v>
      </c>
      <c r="AE6" s="43">
        <v>0</v>
      </c>
      <c r="AF6" s="43">
        <v>0</v>
      </c>
    </row>
    <row r="7" spans="1:32" outlineLevel="1">
      <c r="A7" s="1" t="str">
        <f>Income_Statement_Qtr!A7</f>
        <v>Commercial Airplanes (BCA) (Old)</v>
      </c>
      <c r="B7" s="123">
        <v>31171</v>
      </c>
      <c r="C7" s="123">
        <v>35056</v>
      </c>
      <c r="D7" s="123">
        <v>28387</v>
      </c>
      <c r="E7" s="123">
        <v>22408</v>
      </c>
      <c r="F7" s="123">
        <v>21037</v>
      </c>
      <c r="G7" s="123">
        <v>21365</v>
      </c>
      <c r="H7" s="123">
        <v>28465</v>
      </c>
      <c r="I7" s="123">
        <v>33386</v>
      </c>
      <c r="J7" s="123">
        <v>28263</v>
      </c>
      <c r="K7" s="123">
        <v>34051</v>
      </c>
      <c r="L7" s="123">
        <v>31834</v>
      </c>
      <c r="M7" s="123">
        <v>36171</v>
      </c>
      <c r="N7" s="123">
        <v>49127</v>
      </c>
      <c r="O7" s="123">
        <v>52981</v>
      </c>
      <c r="P7" s="123">
        <v>59990</v>
      </c>
      <c r="Q7" s="123">
        <f>+Income_Statement_Qtr!F7</f>
        <v>66048</v>
      </c>
      <c r="R7" s="123">
        <f>+Income_Statement_Qtr!K7</f>
        <v>0</v>
      </c>
      <c r="S7" s="123">
        <f>+Income_Statement_Qtr!P7</f>
        <v>0</v>
      </c>
      <c r="T7" s="123">
        <f>+Income_Statement_Qtr!U7</f>
        <v>0</v>
      </c>
      <c r="U7" s="123">
        <f>+Income_Statement_Qtr!Z7</f>
        <v>0</v>
      </c>
      <c r="V7" s="123">
        <f>+Income_Statement_Qtr!AE7</f>
        <v>0</v>
      </c>
      <c r="W7" s="123">
        <f>+Income_Statement_Qtr!AJ7</f>
        <v>0</v>
      </c>
      <c r="X7" s="123">
        <f>+Income_Statement_Qtr!AO7</f>
        <v>0</v>
      </c>
      <c r="Y7" s="123">
        <f>+Income_Statement_Qtr!AT7</f>
        <v>0</v>
      </c>
      <c r="Z7" s="123">
        <f>+Income_Statement_Qtr!AY7</f>
        <v>0</v>
      </c>
      <c r="AA7" s="123">
        <f>+Income_Statement_Qtr!BD7</f>
        <v>0</v>
      </c>
      <c r="AB7" s="123">
        <f>+Income_Statement_Qtr!BI7</f>
        <v>0</v>
      </c>
      <c r="AC7" s="43">
        <v>0</v>
      </c>
      <c r="AD7" s="43">
        <v>0</v>
      </c>
      <c r="AE7" s="43">
        <v>0</v>
      </c>
      <c r="AF7" s="43">
        <v>0</v>
      </c>
    </row>
    <row r="8" spans="1:32" outlineLevel="1">
      <c r="A8" s="1" t="str">
        <f>Income_Statement_Qtr!A8</f>
        <v>Defense, Space &amp; Security (BDS) (Old)</v>
      </c>
      <c r="B8" s="123">
        <v>19963</v>
      </c>
      <c r="C8" s="123">
        <v>22815</v>
      </c>
      <c r="D8" s="123">
        <v>24957</v>
      </c>
      <c r="E8" s="123">
        <v>27361</v>
      </c>
      <c r="F8" s="123">
        <v>30465</v>
      </c>
      <c r="G8" s="123">
        <v>31106</v>
      </c>
      <c r="H8" s="123">
        <v>32439</v>
      </c>
      <c r="I8" s="123">
        <v>32052</v>
      </c>
      <c r="J8" s="123">
        <v>32047</v>
      </c>
      <c r="K8" s="123">
        <v>33661</v>
      </c>
      <c r="L8" s="123">
        <v>31943</v>
      </c>
      <c r="M8" s="123">
        <v>31976</v>
      </c>
      <c r="N8" s="123">
        <v>32607</v>
      </c>
      <c r="O8" s="123">
        <v>33197</v>
      </c>
      <c r="P8" s="123">
        <v>30881</v>
      </c>
      <c r="Q8" s="123">
        <f>+Income_Statement_Qtr!F8</f>
        <v>30388</v>
      </c>
      <c r="R8" s="123">
        <f>+Income_Statement_Qtr!K8</f>
        <v>0</v>
      </c>
      <c r="S8" s="123">
        <f>+Income_Statement_Qtr!P8</f>
        <v>0</v>
      </c>
      <c r="T8" s="123">
        <f>+Income_Statement_Qtr!U8</f>
        <v>0</v>
      </c>
      <c r="U8" s="123">
        <f>+Income_Statement_Qtr!Z8</f>
        <v>0</v>
      </c>
      <c r="V8" s="123">
        <f>+Income_Statement_Qtr!AE8</f>
        <v>0</v>
      </c>
      <c r="W8" s="123">
        <f>+Income_Statement_Qtr!AJ8</f>
        <v>0</v>
      </c>
      <c r="X8" s="123">
        <f>+Income_Statement_Qtr!AO8</f>
        <v>0</v>
      </c>
      <c r="Y8" s="123">
        <f>+Income_Statement_Qtr!AT8</f>
        <v>0</v>
      </c>
      <c r="Z8" s="123">
        <f>+Income_Statement_Qtr!AY8</f>
        <v>0</v>
      </c>
      <c r="AA8" s="123">
        <f>+Income_Statement_Qtr!BD8</f>
        <v>0</v>
      </c>
      <c r="AB8" s="123">
        <f>+Income_Statement_Qtr!BI8</f>
        <v>0</v>
      </c>
      <c r="AC8" s="43">
        <v>0</v>
      </c>
      <c r="AD8" s="43">
        <v>0</v>
      </c>
      <c r="AE8" s="43">
        <v>0</v>
      </c>
      <c r="AF8" s="43">
        <v>0</v>
      </c>
    </row>
    <row r="9" spans="1:32">
      <c r="A9" s="1" t="str">
        <f>Income_Statement_Qtr!A9</f>
        <v>Unallocated Items, Eliminations and Other</v>
      </c>
      <c r="B9" s="154">
        <f>303-844</f>
        <v>-541</v>
      </c>
      <c r="C9" s="154">
        <f>413-901</f>
        <v>-488</v>
      </c>
      <c r="D9" s="154">
        <f>536-813</f>
        <v>-277</v>
      </c>
      <c r="E9" s="154">
        <f>871-1375</f>
        <v>-504</v>
      </c>
      <c r="F9" s="154">
        <f>549-553</f>
        <v>-4</v>
      </c>
      <c r="G9" s="154">
        <f>657-473</f>
        <v>184</v>
      </c>
      <c r="H9" s="154">
        <f>299-698</f>
        <v>-399</v>
      </c>
      <c r="I9" s="154">
        <f>308-174</f>
        <v>134</v>
      </c>
      <c r="J9" s="154">
        <f>567-671</f>
        <v>-104</v>
      </c>
      <c r="K9" s="154">
        <f>165-256</f>
        <v>-91</v>
      </c>
      <c r="L9" s="154">
        <f>-248+138</f>
        <v>-110</v>
      </c>
      <c r="M9" s="154">
        <f>150-82</f>
        <v>68</v>
      </c>
      <c r="N9" s="154">
        <f>106-610</f>
        <v>-504</v>
      </c>
      <c r="O9" s="154">
        <v>37</v>
      </c>
      <c r="P9" s="154">
        <v>-525</v>
      </c>
      <c r="Q9" s="123">
        <f>+Income_Statement_Qtr!F9</f>
        <v>-735</v>
      </c>
      <c r="R9" s="123">
        <f>+Income_Statement_Qtr!K9</f>
        <v>-227</v>
      </c>
      <c r="S9" s="123">
        <f>+Income_Statement_Qtr!P9</f>
        <v>542</v>
      </c>
      <c r="T9" s="123">
        <f>+Income_Statement_Qtr!U9</f>
        <v>-94</v>
      </c>
      <c r="U9" s="123">
        <f>+Income_Statement_Qtr!Z9</f>
        <v>-635</v>
      </c>
      <c r="V9" s="123">
        <f>+Income_Statement_Qtr!AE9</f>
        <v>-65</v>
      </c>
      <c r="W9" s="123">
        <f>+Income_Statement_Qtr!AJ9</f>
        <v>-347</v>
      </c>
      <c r="X9" s="123">
        <f>+Income_Statement_Qtr!AO9</f>
        <v>-231</v>
      </c>
      <c r="Y9" s="123">
        <f>+Income_Statement_Qtr!AT9</f>
        <v>-167</v>
      </c>
      <c r="Z9" s="123">
        <f>+Income_Statement_Qtr!AY9</f>
        <v>-216</v>
      </c>
      <c r="AA9" s="123">
        <f>+Income_Statement_Qtr!BD9</f>
        <v>-188</v>
      </c>
      <c r="AB9" s="123">
        <f>+Income_Statement_Qtr!BI9</f>
        <v>-200</v>
      </c>
      <c r="AC9" s="154">
        <v>-200</v>
      </c>
      <c r="AD9" s="154">
        <v>-200</v>
      </c>
      <c r="AE9" s="154">
        <v>-200</v>
      </c>
      <c r="AF9" s="154">
        <v>-200</v>
      </c>
    </row>
    <row r="10" spans="1:32">
      <c r="A10" s="9" t="str">
        <f>Income_Statement_Qtr!A10</f>
        <v>Total Net Sales</v>
      </c>
      <c r="B10" s="150">
        <f t="shared" ref="B10:W10" si="0">SUM(B3:B9)</f>
        <v>51321</v>
      </c>
      <c r="C10" s="150">
        <f t="shared" si="0"/>
        <v>58198</v>
      </c>
      <c r="D10" s="150">
        <f t="shared" si="0"/>
        <v>54061</v>
      </c>
      <c r="E10" s="150">
        <f t="shared" si="0"/>
        <v>50256</v>
      </c>
      <c r="F10" s="150">
        <f t="shared" si="0"/>
        <v>52457</v>
      </c>
      <c r="G10" s="150">
        <f t="shared" si="0"/>
        <v>53621</v>
      </c>
      <c r="H10" s="150">
        <f t="shared" si="0"/>
        <v>61530</v>
      </c>
      <c r="I10" s="150">
        <f t="shared" si="0"/>
        <v>66387</v>
      </c>
      <c r="J10" s="150">
        <f t="shared" si="0"/>
        <v>60909</v>
      </c>
      <c r="K10" s="150">
        <f t="shared" si="0"/>
        <v>68281</v>
      </c>
      <c r="L10" s="150">
        <f t="shared" si="0"/>
        <v>64306</v>
      </c>
      <c r="M10" s="150">
        <f t="shared" si="0"/>
        <v>68735</v>
      </c>
      <c r="N10" s="150">
        <f t="shared" si="0"/>
        <v>81698</v>
      </c>
      <c r="O10" s="150">
        <f t="shared" si="0"/>
        <v>86623</v>
      </c>
      <c r="P10" s="150">
        <f t="shared" si="0"/>
        <v>90762</v>
      </c>
      <c r="Q10" s="150">
        <f t="shared" si="0"/>
        <v>96114</v>
      </c>
      <c r="R10" s="150">
        <f t="shared" si="0"/>
        <v>94571</v>
      </c>
      <c r="S10" s="150">
        <f t="shared" si="0"/>
        <v>94005</v>
      </c>
      <c r="T10" s="150">
        <f t="shared" si="0"/>
        <v>101127</v>
      </c>
      <c r="U10" s="150">
        <f t="shared" si="0"/>
        <v>76559</v>
      </c>
      <c r="V10" s="150">
        <f t="shared" si="0"/>
        <v>58158</v>
      </c>
      <c r="W10" s="150">
        <f t="shared" si="0"/>
        <v>62286</v>
      </c>
      <c r="X10" s="150">
        <f t="shared" ref="X10:AE10" si="1">SUM(X3:X9)</f>
        <v>66608</v>
      </c>
      <c r="Y10" s="150">
        <f t="shared" si="1"/>
        <v>77794</v>
      </c>
      <c r="Z10" s="150">
        <f t="shared" si="1"/>
        <v>66517</v>
      </c>
      <c r="AA10" s="150">
        <f t="shared" si="1"/>
        <v>89463</v>
      </c>
      <c r="AB10" s="150">
        <f t="shared" ref="AB10" si="2">SUM(AB3:AB9)</f>
        <v>99714.978128554954</v>
      </c>
      <c r="AC10" s="25">
        <f t="shared" si="1"/>
        <v>108378.46219239991</v>
      </c>
      <c r="AD10" s="25">
        <f t="shared" si="1"/>
        <v>113112.28062770152</v>
      </c>
      <c r="AE10" s="25">
        <f t="shared" si="1"/>
        <v>117045.28403113908</v>
      </c>
      <c r="AF10" s="25">
        <f t="shared" ref="AF10" si="3">SUM(AF3:AF9)</f>
        <v>120345.19583817173</v>
      </c>
    </row>
    <row r="11" spans="1:32">
      <c r="A11" s="1" t="str">
        <f>Income_Statement_Qtr!A11</f>
        <v>YoY</v>
      </c>
      <c r="B11" s="89">
        <f>B10/57993-1</f>
        <v>-0.11504836790647144</v>
      </c>
      <c r="C11" s="89">
        <f t="shared" ref="C11:O11" si="4">C10/B10-1</f>
        <v>0.13399972720718623</v>
      </c>
      <c r="D11" s="89">
        <f t="shared" si="4"/>
        <v>-7.1084917007457338E-2</v>
      </c>
      <c r="E11" s="89">
        <f t="shared" si="4"/>
        <v>-7.0383455725939181E-2</v>
      </c>
      <c r="F11" s="89">
        <f t="shared" si="4"/>
        <v>4.3795765679719878E-2</v>
      </c>
      <c r="G11" s="89">
        <f t="shared" si="4"/>
        <v>2.2189602912861872E-2</v>
      </c>
      <c r="H11" s="89">
        <f t="shared" si="4"/>
        <v>0.1474981816825498</v>
      </c>
      <c r="I11" s="89">
        <f t="shared" si="4"/>
        <v>7.8937103851779655E-2</v>
      </c>
      <c r="J11" s="89">
        <f t="shared" si="4"/>
        <v>-8.2516155271363356E-2</v>
      </c>
      <c r="K11" s="89">
        <f t="shared" si="4"/>
        <v>0.12103301646718867</v>
      </c>
      <c r="L11" s="89">
        <f t="shared" si="4"/>
        <v>-5.8215316120150518E-2</v>
      </c>
      <c r="M11" s="89">
        <f t="shared" si="4"/>
        <v>6.8873822038379107E-2</v>
      </c>
      <c r="N11" s="89">
        <f t="shared" si="4"/>
        <v>0.18859387502727865</v>
      </c>
      <c r="O11" s="89">
        <f t="shared" si="4"/>
        <v>6.0282993463732337E-2</v>
      </c>
      <c r="P11" s="89">
        <f>P10/O10-1</f>
        <v>4.778176696720271E-2</v>
      </c>
      <c r="Q11" s="126">
        <f>+Income_Statement_Qtr!F11</f>
        <v>5.8967409268195992E-2</v>
      </c>
      <c r="R11" s="126">
        <f>+Income_Statement_Qtr!K11</f>
        <v>-1.6053852716565786E-2</v>
      </c>
      <c r="S11" s="126">
        <f>+Income_Statement_Qtr!P11</f>
        <v>-5.9849213818189417E-3</v>
      </c>
      <c r="T11" s="126">
        <f>+Income_Statement_Qtr!U11</f>
        <v>7.5761927557044917E-2</v>
      </c>
      <c r="U11" s="126">
        <f>+Income_Statement_Qtr!Z11</f>
        <v>-0.24294204317343537</v>
      </c>
      <c r="V11" s="126">
        <f>+Income_Statement_Qtr!AE11</f>
        <v>-0.24035057929178805</v>
      </c>
      <c r="W11" s="126">
        <f>+Income_Statement_Qtr!AJ11</f>
        <v>7.0979057051480554E-2</v>
      </c>
      <c r="X11" s="126">
        <f>+Income_Statement_Qtr!AO11</f>
        <v>6.9389589956009301E-2</v>
      </c>
      <c r="Y11" s="126">
        <f>+Income_Statement_Qtr!AT11</f>
        <v>0.16793778525102088</v>
      </c>
      <c r="Z11" s="126">
        <f>+Income_Statement_Qtr!AY11</f>
        <v>-0.14495976553461709</v>
      </c>
      <c r="AA11" s="126">
        <f>+Income_Statement_Qtr!BD11</f>
        <v>0.34496444517942781</v>
      </c>
      <c r="AB11" s="126">
        <f>+Income_Statement_Qtr!BI11</f>
        <v>0.11459461597034482</v>
      </c>
      <c r="AC11" s="112">
        <f>AC10/AB10-1</f>
        <v>8.6882474693779521E-2</v>
      </c>
      <c r="AD11" s="112">
        <f>AD10/AC10-1</f>
        <v>4.3678590187945732E-2</v>
      </c>
      <c r="AE11" s="112">
        <f>AE10/AD10-1</f>
        <v>3.4770790418263031E-2</v>
      </c>
      <c r="AF11" s="112">
        <f>AF10/AE10-1</f>
        <v>2.8193462336805641E-2</v>
      </c>
    </row>
    <row r="12" spans="1:32">
      <c r="B12" s="151"/>
      <c r="C12" s="151"/>
      <c r="D12" s="151"/>
      <c r="E12" s="151"/>
      <c r="F12" s="151"/>
      <c r="G12" s="151"/>
      <c r="H12" s="151"/>
      <c r="I12" s="151"/>
      <c r="J12" s="151"/>
      <c r="K12" s="151"/>
      <c r="L12" s="151"/>
      <c r="M12" s="151"/>
      <c r="N12" s="151"/>
      <c r="O12" s="151"/>
      <c r="P12" s="151"/>
      <c r="Q12" s="151"/>
      <c r="R12" s="151"/>
      <c r="S12" s="151"/>
      <c r="T12" s="151"/>
      <c r="U12" s="151"/>
      <c r="V12" s="151"/>
      <c r="W12" s="151"/>
      <c r="X12" s="151"/>
      <c r="Y12" s="151"/>
      <c r="Z12" s="151"/>
      <c r="AA12" s="151"/>
      <c r="AB12" s="151"/>
      <c r="AC12" s="201"/>
      <c r="AD12" s="201"/>
      <c r="AE12" s="201"/>
      <c r="AF12" s="201"/>
    </row>
    <row r="13" spans="1:32">
      <c r="A13" s="1" t="str">
        <f>Income_Statement_Qtr!A13</f>
        <v>Commercial Airplanes (BCA)</v>
      </c>
      <c r="B13" s="123">
        <f>BCA_Annual!B19</f>
        <v>0</v>
      </c>
      <c r="C13" s="123">
        <f>BCA_Annual!C19</f>
        <v>0</v>
      </c>
      <c r="D13" s="123">
        <f>BCA_Annual!D19</f>
        <v>0</v>
      </c>
      <c r="E13" s="123">
        <f>BCA_Annual!E19</f>
        <v>0</v>
      </c>
      <c r="F13" s="123">
        <f>BCA_Annual!F19</f>
        <v>0</v>
      </c>
      <c r="G13" s="123">
        <f>BCA_Annual!G19</f>
        <v>0</v>
      </c>
      <c r="H13" s="123">
        <f>BCA_Annual!H19</f>
        <v>0</v>
      </c>
      <c r="I13" s="123">
        <f>BCA_Annual!I19</f>
        <v>0</v>
      </c>
      <c r="J13" s="123">
        <f>BCA_Annual!J19</f>
        <v>0</v>
      </c>
      <c r="K13" s="123">
        <f>BCA_Annual!K19</f>
        <v>0</v>
      </c>
      <c r="L13" s="123">
        <f>BCA_Annual!L19</f>
        <v>0</v>
      </c>
      <c r="M13" s="123">
        <f>BCA_Annual!M19</f>
        <v>0</v>
      </c>
      <c r="N13" s="123">
        <f>BCA_Annual!N19</f>
        <v>0</v>
      </c>
      <c r="O13" s="123">
        <f>BCA_Annual!O19</f>
        <v>0</v>
      </c>
      <c r="P13" s="123">
        <f>BCA_Annual!P19</f>
        <v>0</v>
      </c>
      <c r="Q13" s="123">
        <f>+Income_Statement_Qtr!F13</f>
        <v>0</v>
      </c>
      <c r="R13" s="123">
        <f>+Income_Statement_Qtr!K13</f>
        <v>1995</v>
      </c>
      <c r="S13" s="123">
        <f>+Income_Statement_Qtr!P13</f>
        <v>5452</v>
      </c>
      <c r="T13" s="123">
        <f>+Income_Statement_Qtr!U13</f>
        <v>7830</v>
      </c>
      <c r="U13" s="123">
        <f>+Income_Statement_Qtr!Z13</f>
        <v>-6657</v>
      </c>
      <c r="V13" s="123">
        <f>+Income_Statement_Qtr!AE13</f>
        <v>-13847</v>
      </c>
      <c r="W13" s="123">
        <f>+Income_Statement_Qtr!AJ13</f>
        <v>-6475</v>
      </c>
      <c r="X13" s="123">
        <f>+Income_Statement_Qtr!AO13</f>
        <v>-2370</v>
      </c>
      <c r="Y13" s="123">
        <f>+Income_Statement_Qtr!AT13</f>
        <v>-1635</v>
      </c>
      <c r="Z13" s="123">
        <f>+Income_Statement_Qtr!AY13</f>
        <v>-7969</v>
      </c>
      <c r="AA13" s="123">
        <f>+Income_Statement_Qtr!BD13</f>
        <v>-7079</v>
      </c>
      <c r="AB13" s="123">
        <f>+Income_Statement_Qtr!BI13</f>
        <v>-994.54108046655199</v>
      </c>
      <c r="AC13" s="38">
        <f>BCA_Annual!AC19</f>
        <v>4404.3018270386419</v>
      </c>
      <c r="AD13" s="38">
        <f>BCA_Annual!AD19</f>
        <v>5872.9448805597685</v>
      </c>
      <c r="AE13" s="38">
        <f>BCA_Annual!AE19</f>
        <v>6048.3802833766704</v>
      </c>
      <c r="AF13" s="38">
        <f>BCA_Annual!AF19</f>
        <v>6229.0787482780788</v>
      </c>
    </row>
    <row r="14" spans="1:32">
      <c r="A14" s="1" t="str">
        <f>Income_Statement_Qtr!A14</f>
        <v>Defense, Space &amp; Security (BDS)</v>
      </c>
      <c r="B14" s="123">
        <f>BDS_Annual!B19</f>
        <v>0</v>
      </c>
      <c r="C14" s="123">
        <f>BDS_Annual!C19</f>
        <v>0</v>
      </c>
      <c r="D14" s="123">
        <f>BDS_Annual!D19</f>
        <v>0</v>
      </c>
      <c r="E14" s="123">
        <f>BDS_Annual!E19</f>
        <v>0</v>
      </c>
      <c r="F14" s="123">
        <f>BDS_Annual!F19</f>
        <v>0</v>
      </c>
      <c r="G14" s="123">
        <f>BDS_Annual!G19</f>
        <v>0</v>
      </c>
      <c r="H14" s="123">
        <f>BDS_Annual!H19</f>
        <v>0</v>
      </c>
      <c r="I14" s="123">
        <f>BDS_Annual!I19</f>
        <v>0</v>
      </c>
      <c r="J14" s="123">
        <f>BDS_Annual!J19</f>
        <v>0</v>
      </c>
      <c r="K14" s="123">
        <f>BDS_Annual!K19</f>
        <v>0</v>
      </c>
      <c r="L14" s="123">
        <f>BDS_Annual!L19</f>
        <v>0</v>
      </c>
      <c r="M14" s="123">
        <f>BDS_Annual!M19</f>
        <v>0</v>
      </c>
      <c r="N14" s="123">
        <f>BDS_Annual!N19</f>
        <v>0</v>
      </c>
      <c r="O14" s="123">
        <f>BDS_Annual!O19</f>
        <v>0</v>
      </c>
      <c r="P14" s="123">
        <f>BDS_Annual!P19</f>
        <v>0</v>
      </c>
      <c r="Q14" s="123">
        <f>+Income_Statement_Qtr!F14</f>
        <v>0</v>
      </c>
      <c r="R14" s="123">
        <f>+Income_Statement_Qtr!K14</f>
        <v>1966</v>
      </c>
      <c r="S14" s="123">
        <f>+Income_Statement_Qtr!P14</f>
        <v>2193</v>
      </c>
      <c r="T14" s="123">
        <f>+Income_Statement_Qtr!U14</f>
        <v>1657</v>
      </c>
      <c r="U14" s="123">
        <f>+Income_Statement_Qtr!Z14</f>
        <v>2608</v>
      </c>
      <c r="V14" s="123">
        <f>+Income_Statement_Qtr!AE14</f>
        <v>1539</v>
      </c>
      <c r="W14" s="123">
        <f>+Income_Statement_Qtr!AJ14</f>
        <v>1544</v>
      </c>
      <c r="X14" s="123">
        <f>+Income_Statement_Qtr!AO14</f>
        <v>-3544</v>
      </c>
      <c r="Y14" s="123">
        <f>+Income_Statement_Qtr!AT14</f>
        <v>-1764</v>
      </c>
      <c r="Z14" s="123">
        <f>+Income_Statement_Qtr!AY14</f>
        <v>-5413</v>
      </c>
      <c r="AA14" s="123">
        <f>+Income_Statement_Qtr!BD14</f>
        <v>-128</v>
      </c>
      <c r="AB14" s="123">
        <f>+Income_Statement_Qtr!BI14</f>
        <v>796.81656449824652</v>
      </c>
      <c r="AC14" s="38">
        <f>BDS_Annual!AC19</f>
        <v>1490.5285709291459</v>
      </c>
      <c r="AD14" s="38">
        <f>BDS_Annual!AD19</f>
        <v>1971.7166362372225</v>
      </c>
      <c r="AE14" s="38">
        <f>BDS_Annual!AE19</f>
        <v>2043.4289938432566</v>
      </c>
      <c r="AF14" s="38">
        <f>BDS_Annual!AF19</f>
        <v>2058.5265911484571</v>
      </c>
    </row>
    <row r="15" spans="1:32">
      <c r="A15" s="1" t="str">
        <f>Income_Statement_Qtr!A15</f>
        <v>Global Services (BGS)</v>
      </c>
      <c r="B15" s="123">
        <f>BGS_Annual!B19</f>
        <v>0</v>
      </c>
      <c r="C15" s="123">
        <f>BGS_Annual!C19</f>
        <v>0</v>
      </c>
      <c r="D15" s="123">
        <f>BGS_Annual!D19</f>
        <v>0</v>
      </c>
      <c r="E15" s="123">
        <f>BGS_Annual!E19</f>
        <v>0</v>
      </c>
      <c r="F15" s="123">
        <f>BGS_Annual!F19</f>
        <v>0</v>
      </c>
      <c r="G15" s="123">
        <f>BGS_Annual!G19</f>
        <v>0</v>
      </c>
      <c r="H15" s="123">
        <f>BGS_Annual!H19</f>
        <v>0</v>
      </c>
      <c r="I15" s="123">
        <f>BGS_Annual!I19</f>
        <v>0</v>
      </c>
      <c r="J15" s="123">
        <f>BGS_Annual!J19</f>
        <v>0</v>
      </c>
      <c r="K15" s="123">
        <f>BGS_Annual!K19</f>
        <v>0</v>
      </c>
      <c r="L15" s="123">
        <f>BGS_Annual!L19</f>
        <v>0</v>
      </c>
      <c r="M15" s="123">
        <f>BGS_Annual!M19</f>
        <v>0</v>
      </c>
      <c r="N15" s="123">
        <f>BGS_Annual!N19</f>
        <v>0</v>
      </c>
      <c r="O15" s="123">
        <f>BGS_Annual!O19</f>
        <v>0</v>
      </c>
      <c r="P15" s="123">
        <f>BGS_Annual!P19</f>
        <v>0</v>
      </c>
      <c r="Q15" s="123">
        <f>+Income_Statement_Qtr!F15</f>
        <v>0</v>
      </c>
      <c r="R15" s="123">
        <f>+Income_Statement_Qtr!K15</f>
        <v>2177</v>
      </c>
      <c r="S15" s="123">
        <f>+Income_Statement_Qtr!P15</f>
        <v>2246</v>
      </c>
      <c r="T15" s="123">
        <f>+Income_Statement_Qtr!U15</f>
        <v>2536</v>
      </c>
      <c r="U15" s="123">
        <f>+Income_Statement_Qtr!Z15</f>
        <v>2697</v>
      </c>
      <c r="V15" s="123">
        <f>+Income_Statement_Qtr!AE15</f>
        <v>450</v>
      </c>
      <c r="W15" s="123">
        <f>+Income_Statement_Qtr!AJ15</f>
        <v>2017</v>
      </c>
      <c r="X15" s="123">
        <f>+Income_Statement_Qtr!AO15</f>
        <v>2727</v>
      </c>
      <c r="Y15" s="123">
        <f>+Income_Statement_Qtr!AT15</f>
        <v>3329</v>
      </c>
      <c r="Z15" s="123">
        <f>+Income_Statement_Qtr!AY15</f>
        <v>3618</v>
      </c>
      <c r="AA15" s="123">
        <f>+Income_Statement_Qtr!BD15</f>
        <v>13474</v>
      </c>
      <c r="AB15" s="123">
        <f>+Income_Statement_Qtr!BI15</f>
        <v>3818.4474999999998</v>
      </c>
      <c r="AC15" s="38">
        <f>BGS_Annual!AC19</f>
        <v>3881.2165</v>
      </c>
      <c r="AD15" s="38">
        <f>BGS_Annual!AD19</f>
        <v>4114.0894900000003</v>
      </c>
      <c r="AE15" s="38">
        <f>BGS_Annual!AE19</f>
        <v>4360.9348594000003</v>
      </c>
      <c r="AF15" s="38">
        <f>BGS_Annual!AF19</f>
        <v>4622.5909509640014</v>
      </c>
    </row>
    <row r="16" spans="1:32">
      <c r="A16" s="1" t="str">
        <f>Income_Statement_Qtr!A16</f>
        <v>Boeing Capital (BCC)</v>
      </c>
      <c r="B16" s="123">
        <v>516</v>
      </c>
      <c r="C16" s="123">
        <v>562</v>
      </c>
      <c r="D16" s="123">
        <v>72</v>
      </c>
      <c r="E16" s="123">
        <v>91</v>
      </c>
      <c r="F16" s="123">
        <v>183</v>
      </c>
      <c r="G16" s="123">
        <v>232</v>
      </c>
      <c r="H16" s="123">
        <v>291</v>
      </c>
      <c r="I16" s="123">
        <v>234</v>
      </c>
      <c r="J16" s="123">
        <v>162</v>
      </c>
      <c r="K16" s="123">
        <v>126</v>
      </c>
      <c r="L16" s="123">
        <v>152</v>
      </c>
      <c r="M16" s="123">
        <v>113</v>
      </c>
      <c r="N16" s="123">
        <v>88</v>
      </c>
      <c r="O16" s="123">
        <v>107</v>
      </c>
      <c r="P16" s="123">
        <v>92</v>
      </c>
      <c r="Q16" s="123">
        <f>+Income_Statement_Qtr!F16</f>
        <v>50</v>
      </c>
      <c r="R16" s="123">
        <f>+Income_Statement_Qtr!K16</f>
        <v>59</v>
      </c>
      <c r="S16" s="123">
        <f>+Income_Statement_Qtr!P16</f>
        <v>114</v>
      </c>
      <c r="T16" s="123">
        <f>+Income_Statement_Qtr!U16</f>
        <v>79</v>
      </c>
      <c r="U16" s="123">
        <f>+Income_Statement_Qtr!Z16</f>
        <v>28</v>
      </c>
      <c r="V16" s="123">
        <f>+Income_Statement_Qtr!AE16</f>
        <v>63</v>
      </c>
      <c r="W16" s="123">
        <f>+Income_Statement_Qtr!AJ16</f>
        <v>106</v>
      </c>
      <c r="X16" s="123">
        <f>+Income_Statement_Qtr!AO16</f>
        <v>29</v>
      </c>
      <c r="Y16" s="123">
        <f>+Income_Statement_Qtr!AT16</f>
        <v>0</v>
      </c>
      <c r="Z16" s="123">
        <f>+Income_Statement_Qtr!AY16</f>
        <v>0</v>
      </c>
      <c r="AA16" s="123">
        <f>+Income_Statement_Qtr!BD16</f>
        <v>0</v>
      </c>
      <c r="AB16" s="123">
        <f>+Income_Statement_Qtr!BI16</f>
        <v>0</v>
      </c>
      <c r="AC16" s="43">
        <v>0</v>
      </c>
      <c r="AD16" s="43">
        <v>0</v>
      </c>
      <c r="AE16" s="43">
        <v>0</v>
      </c>
      <c r="AF16" s="43">
        <v>0</v>
      </c>
    </row>
    <row r="17" spans="1:32" outlineLevel="1">
      <c r="A17" s="1" t="str">
        <f>Income_Statement_Qtr!A17</f>
        <v>Commercial Airplanes (BCA) (Old)</v>
      </c>
      <c r="B17" s="123">
        <v>2736</v>
      </c>
      <c r="C17" s="123">
        <v>2632</v>
      </c>
      <c r="D17" s="123">
        <v>2017</v>
      </c>
      <c r="E17" s="123">
        <v>1048</v>
      </c>
      <c r="F17" s="123">
        <v>1308</v>
      </c>
      <c r="G17" s="123">
        <v>1431</v>
      </c>
      <c r="H17" s="123">
        <v>2733</v>
      </c>
      <c r="I17" s="123">
        <v>3584</v>
      </c>
      <c r="J17" s="123">
        <v>3809.1384615384613</v>
      </c>
      <c r="K17" s="123">
        <v>3462</v>
      </c>
      <c r="L17" s="123">
        <v>3006</v>
      </c>
      <c r="M17" s="123">
        <v>3495</v>
      </c>
      <c r="N17" s="123">
        <v>4711</v>
      </c>
      <c r="O17" s="123">
        <v>5795</v>
      </c>
      <c r="P17" s="123">
        <v>6411</v>
      </c>
      <c r="Q17" s="123">
        <f>+Income_Statement_Qtr!F17</f>
        <v>5157</v>
      </c>
      <c r="R17" s="123">
        <f>+Income_Statement_Qtr!K17</f>
        <v>0</v>
      </c>
      <c r="S17" s="123">
        <f>+Income_Statement_Qtr!P17</f>
        <v>0</v>
      </c>
      <c r="T17" s="123">
        <f>+Income_Statement_Qtr!U17</f>
        <v>0</v>
      </c>
      <c r="U17" s="123">
        <f>+Income_Statement_Qtr!Z17</f>
        <v>0</v>
      </c>
      <c r="V17" s="123">
        <f>+Income_Statement_Qtr!AE17</f>
        <v>0</v>
      </c>
      <c r="W17" s="123">
        <f>+Income_Statement_Qtr!AJ17</f>
        <v>0</v>
      </c>
      <c r="X17" s="123">
        <f>+Income_Statement_Qtr!AO17</f>
        <v>0</v>
      </c>
      <c r="Y17" s="123">
        <f>+Income_Statement_Qtr!AT17</f>
        <v>0</v>
      </c>
      <c r="Z17" s="123">
        <f>+Income_Statement_Qtr!AY17</f>
        <v>0</v>
      </c>
      <c r="AA17" s="123">
        <f>+Income_Statement_Qtr!BD17</f>
        <v>0</v>
      </c>
      <c r="AB17" s="123">
        <f>+Income_Statement_Qtr!BI17</f>
        <v>0</v>
      </c>
      <c r="AC17" s="43">
        <v>0</v>
      </c>
      <c r="AD17" s="43">
        <v>0</v>
      </c>
      <c r="AE17" s="43">
        <v>0</v>
      </c>
      <c r="AF17" s="43">
        <v>0</v>
      </c>
    </row>
    <row r="18" spans="1:32" outlineLevel="1">
      <c r="A18" s="1" t="str">
        <f>Income_Statement_Qtr!A18</f>
        <v>Defense, Space &amp; Security (BDS) (Old)</v>
      </c>
      <c r="B18" s="123">
        <v>1002</v>
      </c>
      <c r="C18" s="123">
        <v>1965</v>
      </c>
      <c r="D18" s="123">
        <v>2009</v>
      </c>
      <c r="E18" s="123">
        <v>1338</v>
      </c>
      <c r="F18" s="123">
        <v>2925</v>
      </c>
      <c r="G18" s="123">
        <v>3919</v>
      </c>
      <c r="H18" s="123">
        <v>3032</v>
      </c>
      <c r="I18" s="123">
        <v>3440</v>
      </c>
      <c r="J18" s="123">
        <v>3480</v>
      </c>
      <c r="K18" s="123">
        <v>3299</v>
      </c>
      <c r="L18" s="123">
        <v>2875</v>
      </c>
      <c r="M18" s="123">
        <v>3158</v>
      </c>
      <c r="N18" s="123">
        <v>3068</v>
      </c>
      <c r="O18" s="123">
        <v>3235</v>
      </c>
      <c r="P18" s="123">
        <v>3133</v>
      </c>
      <c r="Q18" s="123">
        <f>+Income_Statement_Qtr!F18</f>
        <v>3274</v>
      </c>
      <c r="R18" s="123">
        <f>+Income_Statement_Qtr!K18</f>
        <v>0</v>
      </c>
      <c r="S18" s="123">
        <f>+Income_Statement_Qtr!P18</f>
        <v>0</v>
      </c>
      <c r="T18" s="123">
        <f>+Income_Statement_Qtr!U18</f>
        <v>0</v>
      </c>
      <c r="U18" s="123">
        <f>+Income_Statement_Qtr!Z18</f>
        <v>0</v>
      </c>
      <c r="V18" s="123">
        <f>+Income_Statement_Qtr!AE18</f>
        <v>0</v>
      </c>
      <c r="W18" s="123">
        <f>+Income_Statement_Qtr!AJ18</f>
        <v>0</v>
      </c>
      <c r="X18" s="123">
        <f>+Income_Statement_Qtr!AO18</f>
        <v>0</v>
      </c>
      <c r="Y18" s="123">
        <f>+Income_Statement_Qtr!AT18</f>
        <v>0</v>
      </c>
      <c r="Z18" s="123">
        <f>+Income_Statement_Qtr!AY18</f>
        <v>0</v>
      </c>
      <c r="AA18" s="123">
        <f>+Income_Statement_Qtr!BD18</f>
        <v>0</v>
      </c>
      <c r="AB18" s="123">
        <f>+Income_Statement_Qtr!BI18</f>
        <v>0</v>
      </c>
      <c r="AC18" s="43">
        <v>0</v>
      </c>
      <c r="AD18" s="43">
        <v>0</v>
      </c>
      <c r="AE18" s="43">
        <v>0</v>
      </c>
      <c r="AF18" s="43">
        <v>0</v>
      </c>
    </row>
    <row r="19" spans="1:32">
      <c r="A19" s="1" t="str">
        <f>Income_Statement_Qtr!A19</f>
        <v>Unallocated Items, Eliminations and Other</v>
      </c>
      <c r="B19" s="154">
        <v>-76</v>
      </c>
      <c r="C19" s="154">
        <v>-354</v>
      </c>
      <c r="D19" s="154">
        <v>-432</v>
      </c>
      <c r="E19" s="154">
        <v>-379</v>
      </c>
      <c r="F19" s="154">
        <v>-535</v>
      </c>
      <c r="G19" s="154">
        <v>-363</v>
      </c>
      <c r="H19" s="154">
        <v>-738</v>
      </c>
      <c r="I19" s="154">
        <v>-331</v>
      </c>
      <c r="J19" s="154">
        <v>-307</v>
      </c>
      <c r="K19" s="154">
        <v>-152</v>
      </c>
      <c r="L19" s="154">
        <v>-327</v>
      </c>
      <c r="M19" s="154">
        <v>66</v>
      </c>
      <c r="N19" s="154">
        <v>-186</v>
      </c>
      <c r="O19" s="154">
        <v>0</v>
      </c>
      <c r="P19" s="154">
        <v>0</v>
      </c>
      <c r="Q19" s="123">
        <f>+Income_Statement_Qtr!F19</f>
        <v>0</v>
      </c>
      <c r="R19" s="123">
        <f>+Income_Statement_Qtr!K19</f>
        <v>0</v>
      </c>
      <c r="S19" s="123">
        <f>+Income_Statement_Qtr!P19</f>
        <v>0</v>
      </c>
      <c r="T19" s="123">
        <f>+Income_Statement_Qtr!U19</f>
        <v>0</v>
      </c>
      <c r="U19" s="123">
        <f>+Income_Statement_Qtr!Z19</f>
        <v>0</v>
      </c>
      <c r="V19" s="123">
        <f>+Income_Statement_Qtr!AE19</f>
        <v>0</v>
      </c>
      <c r="W19" s="123">
        <f>+Income_Statement_Qtr!AJ19</f>
        <v>0</v>
      </c>
      <c r="X19" s="123">
        <f>+Income_Statement_Qtr!AO19</f>
        <v>0</v>
      </c>
      <c r="Y19" s="123">
        <f>+Income_Statement_Qtr!AT19</f>
        <v>0</v>
      </c>
      <c r="Z19" s="123">
        <f>+Income_Statement_Qtr!AY19</f>
        <v>0</v>
      </c>
      <c r="AA19" s="123">
        <f>+Income_Statement_Qtr!BD19</f>
        <v>0</v>
      </c>
      <c r="AB19" s="123">
        <f>+Income_Statement_Qtr!BI19</f>
        <v>0</v>
      </c>
      <c r="AC19" s="43">
        <v>0</v>
      </c>
      <c r="AD19" s="43">
        <v>0</v>
      </c>
      <c r="AE19" s="43">
        <v>0</v>
      </c>
      <c r="AF19" s="43">
        <v>0</v>
      </c>
    </row>
    <row r="20" spans="1:32">
      <c r="A20" s="5" t="str">
        <f>Income_Statement_Qtr!A20</f>
        <v>Business Segment Operating Profit</v>
      </c>
      <c r="B20" s="122">
        <f t="shared" ref="B20:W20" si="5">SUM(B13:B19)</f>
        <v>4178</v>
      </c>
      <c r="C20" s="122">
        <f t="shared" si="5"/>
        <v>4805</v>
      </c>
      <c r="D20" s="122">
        <f t="shared" si="5"/>
        <v>3666</v>
      </c>
      <c r="E20" s="122">
        <f t="shared" si="5"/>
        <v>2098</v>
      </c>
      <c r="F20" s="122">
        <f t="shared" si="5"/>
        <v>3881</v>
      </c>
      <c r="G20" s="122">
        <f t="shared" si="5"/>
        <v>5219</v>
      </c>
      <c r="H20" s="122">
        <f t="shared" si="5"/>
        <v>5318</v>
      </c>
      <c r="I20" s="122">
        <f t="shared" si="5"/>
        <v>6927</v>
      </c>
      <c r="J20" s="122">
        <f t="shared" si="5"/>
        <v>7144.1384615384613</v>
      </c>
      <c r="K20" s="122">
        <f t="shared" si="5"/>
        <v>6735</v>
      </c>
      <c r="L20" s="122">
        <f t="shared" si="5"/>
        <v>5706</v>
      </c>
      <c r="M20" s="122">
        <f t="shared" si="5"/>
        <v>6832</v>
      </c>
      <c r="N20" s="122">
        <f t="shared" si="5"/>
        <v>7681</v>
      </c>
      <c r="O20" s="122">
        <f t="shared" si="5"/>
        <v>9137</v>
      </c>
      <c r="P20" s="122">
        <f t="shared" si="5"/>
        <v>9636</v>
      </c>
      <c r="Q20" s="122">
        <f t="shared" si="5"/>
        <v>8481</v>
      </c>
      <c r="R20" s="122">
        <f t="shared" si="5"/>
        <v>6197</v>
      </c>
      <c r="S20" s="122">
        <f t="shared" si="5"/>
        <v>10005</v>
      </c>
      <c r="T20" s="122">
        <f t="shared" si="5"/>
        <v>12102</v>
      </c>
      <c r="U20" s="122">
        <f t="shared" si="5"/>
        <v>-1324</v>
      </c>
      <c r="V20" s="122">
        <f t="shared" si="5"/>
        <v>-11795</v>
      </c>
      <c r="W20" s="122">
        <f t="shared" si="5"/>
        <v>-2808</v>
      </c>
      <c r="X20" s="122">
        <f t="shared" ref="X20:AE20" si="6">SUM(X13:X19)</f>
        <v>-3158</v>
      </c>
      <c r="Y20" s="122">
        <f t="shared" si="6"/>
        <v>-70</v>
      </c>
      <c r="Z20" s="122">
        <f t="shared" si="6"/>
        <v>-9764</v>
      </c>
      <c r="AA20" s="122">
        <f t="shared" si="6"/>
        <v>6267</v>
      </c>
      <c r="AB20" s="122">
        <f t="shared" ref="AB20" si="7">SUM(AB13:AB19)</f>
        <v>3620.7229840316941</v>
      </c>
      <c r="AC20" s="78">
        <f t="shared" si="6"/>
        <v>9776.046897967788</v>
      </c>
      <c r="AD20" s="78">
        <f t="shared" si="6"/>
        <v>11958.751006796992</v>
      </c>
      <c r="AE20" s="78">
        <f t="shared" si="6"/>
        <v>12452.744136619927</v>
      </c>
      <c r="AF20" s="78">
        <f t="shared" ref="AF20" si="8">SUM(AF13:AF19)</f>
        <v>12910.196290390537</v>
      </c>
    </row>
    <row r="21" spans="1:32">
      <c r="A21" s="14"/>
      <c r="B21" s="152"/>
      <c r="C21" s="152"/>
      <c r="D21" s="152"/>
      <c r="E21" s="152"/>
      <c r="F21" s="152"/>
      <c r="G21" s="152"/>
      <c r="H21" s="152"/>
      <c r="I21" s="152"/>
      <c r="J21" s="152"/>
      <c r="K21" s="152"/>
      <c r="L21" s="152"/>
      <c r="M21" s="152"/>
      <c r="N21" s="152"/>
      <c r="O21" s="152"/>
      <c r="P21" s="152"/>
      <c r="Q21" s="152"/>
      <c r="R21" s="152"/>
      <c r="S21" s="152"/>
      <c r="T21" s="152"/>
      <c r="U21" s="152"/>
      <c r="V21" s="152"/>
      <c r="W21" s="152"/>
      <c r="X21" s="152"/>
      <c r="Y21" s="152"/>
      <c r="Z21" s="152"/>
      <c r="AA21" s="152"/>
      <c r="AB21" s="152"/>
      <c r="AC21" s="40"/>
      <c r="AD21" s="40"/>
      <c r="AE21" s="40"/>
      <c r="AF21" s="40"/>
    </row>
    <row r="22" spans="1:32">
      <c r="A22" s="1" t="str">
        <f>Income_Statement_Qtr!A22</f>
        <v>Pension FAS/CAS Service Cost Adjustment</v>
      </c>
      <c r="B22" s="154" t="s">
        <v>310</v>
      </c>
      <c r="C22" s="154" t="s">
        <v>310</v>
      </c>
      <c r="D22" s="154" t="s">
        <v>310</v>
      </c>
      <c r="E22" s="154">
        <v>463</v>
      </c>
      <c r="F22" s="154">
        <v>27</v>
      </c>
      <c r="G22" s="154">
        <v>-846</v>
      </c>
      <c r="H22" s="154">
        <v>-369</v>
      </c>
      <c r="I22" s="154">
        <v>-561</v>
      </c>
      <c r="J22" s="154">
        <v>-208</v>
      </c>
      <c r="K22" s="154">
        <v>110</v>
      </c>
      <c r="L22" s="154">
        <v>54</v>
      </c>
      <c r="M22" s="154">
        <v>-269</v>
      </c>
      <c r="N22" s="154">
        <v>-787</v>
      </c>
      <c r="O22" s="154">
        <v>-1374</v>
      </c>
      <c r="P22" s="154">
        <v>-1469</v>
      </c>
      <c r="Q22" s="123">
        <f>Income_Statement_Qtr!F22</f>
        <v>-421</v>
      </c>
      <c r="R22" s="123">
        <f>Income_Statement_Qtr!K22</f>
        <v>217</v>
      </c>
      <c r="S22" s="123">
        <f>Income_Statement_Qtr!P22</f>
        <v>1127</v>
      </c>
      <c r="T22" s="123">
        <f>Income_Statement_Qtr!U22</f>
        <v>1005</v>
      </c>
      <c r="U22" s="123">
        <f>Income_Statement_Qtr!Z22</f>
        <v>1071</v>
      </c>
      <c r="V22" s="123">
        <f>Income_Statement_Qtr!AE22</f>
        <v>1024</v>
      </c>
      <c r="W22" s="123">
        <f>Income_Statement_Qtr!AJ22</f>
        <v>882</v>
      </c>
      <c r="X22" s="123">
        <f>Income_Statement_Qtr!AO22</f>
        <v>849</v>
      </c>
      <c r="Y22" s="123">
        <f>Income_Statement_Qtr!AT22</f>
        <v>799</v>
      </c>
      <c r="Z22" s="123">
        <f>Income_Statement_Qtr!AY22</f>
        <v>811</v>
      </c>
      <c r="AA22" s="123">
        <f>Income_Statement_Qtr!BD22</f>
        <v>784</v>
      </c>
      <c r="AB22" s="123">
        <f>Income_Statement_Qtr!BI22</f>
        <v>850</v>
      </c>
      <c r="AC22" s="43">
        <v>850</v>
      </c>
      <c r="AD22" s="43">
        <v>850</v>
      </c>
      <c r="AE22" s="43">
        <v>850</v>
      </c>
      <c r="AF22" s="43">
        <v>850</v>
      </c>
    </row>
    <row r="23" spans="1:32">
      <c r="A23" s="1" t="str">
        <f>Income_Statement_Qtr!A23</f>
        <v>Postretirement FAS/CAS Service Cost Adjustment</v>
      </c>
      <c r="B23" s="154" t="s">
        <v>310</v>
      </c>
      <c r="C23" s="154" t="s">
        <v>310</v>
      </c>
      <c r="D23" s="154" t="s">
        <v>310</v>
      </c>
      <c r="E23" s="154">
        <v>-257</v>
      </c>
      <c r="F23" s="154">
        <v>-285</v>
      </c>
      <c r="G23" s="154">
        <v>-5</v>
      </c>
      <c r="H23" s="154">
        <v>-103</v>
      </c>
      <c r="I23" s="154">
        <v>-125</v>
      </c>
      <c r="J23" s="154">
        <v>-79</v>
      </c>
      <c r="K23" s="154">
        <v>-93</v>
      </c>
      <c r="L23" s="154">
        <v>-59</v>
      </c>
      <c r="M23" s="154">
        <v>-248</v>
      </c>
      <c r="N23" s="154">
        <v>-112</v>
      </c>
      <c r="O23" s="154">
        <v>60</v>
      </c>
      <c r="P23" s="154">
        <v>82</v>
      </c>
      <c r="Q23" s="123">
        <f>Income_Statement_Qtr!F23</f>
        <v>123</v>
      </c>
      <c r="R23" s="123">
        <f>Income_Statement_Qtr!K23</f>
        <v>153</v>
      </c>
      <c r="S23" s="123">
        <f>Income_Statement_Qtr!P23</f>
        <v>311</v>
      </c>
      <c r="T23" s="123">
        <f>Income_Statement_Qtr!U23</f>
        <v>322</v>
      </c>
      <c r="U23" s="123">
        <f>Income_Statement_Qtr!Z23</f>
        <v>344</v>
      </c>
      <c r="V23" s="123">
        <f>Income_Statement_Qtr!AE23</f>
        <v>359</v>
      </c>
      <c r="W23" s="123">
        <f>Income_Statement_Qtr!AJ23</f>
        <v>291</v>
      </c>
      <c r="X23" s="123">
        <f>Income_Statement_Qtr!AO23</f>
        <v>294</v>
      </c>
      <c r="Y23" s="123">
        <f>Income_Statement_Qtr!AT23</f>
        <v>257</v>
      </c>
      <c r="Z23" s="123">
        <f>Income_Statement_Qtr!AY23</f>
        <v>293</v>
      </c>
      <c r="AA23" s="123">
        <f>Income_Statement_Qtr!BD23</f>
        <v>261</v>
      </c>
      <c r="AB23" s="123">
        <f>Income_Statement_Qtr!BI23</f>
        <v>260</v>
      </c>
      <c r="AC23" s="43">
        <v>260</v>
      </c>
      <c r="AD23" s="43">
        <v>260</v>
      </c>
      <c r="AE23" s="43">
        <v>260</v>
      </c>
      <c r="AF23" s="43">
        <v>260</v>
      </c>
    </row>
    <row r="24" spans="1:32">
      <c r="A24" s="5" t="str">
        <f>Income_Statement_Qtr!A24</f>
        <v>FAS/CAS Operating Adjustment</v>
      </c>
      <c r="B24" s="122">
        <f t="shared" ref="B24:O24" si="9">SUM(B22:B23)</f>
        <v>0</v>
      </c>
      <c r="C24" s="122">
        <f t="shared" si="9"/>
        <v>0</v>
      </c>
      <c r="D24" s="122">
        <f t="shared" si="9"/>
        <v>0</v>
      </c>
      <c r="E24" s="122">
        <f t="shared" si="9"/>
        <v>206</v>
      </c>
      <c r="F24" s="122">
        <f t="shared" si="9"/>
        <v>-258</v>
      </c>
      <c r="G24" s="122">
        <f t="shared" si="9"/>
        <v>-851</v>
      </c>
      <c r="H24" s="122">
        <f t="shared" si="9"/>
        <v>-472</v>
      </c>
      <c r="I24" s="122">
        <f t="shared" si="9"/>
        <v>-686</v>
      </c>
      <c r="J24" s="122">
        <f t="shared" si="9"/>
        <v>-287</v>
      </c>
      <c r="K24" s="122">
        <f t="shared" si="9"/>
        <v>17</v>
      </c>
      <c r="L24" s="122">
        <f t="shared" si="9"/>
        <v>-5</v>
      </c>
      <c r="M24" s="122">
        <f t="shared" si="9"/>
        <v>-517</v>
      </c>
      <c r="N24" s="122">
        <f t="shared" si="9"/>
        <v>-899</v>
      </c>
      <c r="O24" s="122">
        <f t="shared" si="9"/>
        <v>-1314</v>
      </c>
      <c r="P24" s="122">
        <f t="shared" ref="P24:U24" si="10">SUM(P22:P23)</f>
        <v>-1387</v>
      </c>
      <c r="Q24" s="122">
        <f t="shared" si="10"/>
        <v>-298</v>
      </c>
      <c r="R24" s="122">
        <f t="shared" si="10"/>
        <v>370</v>
      </c>
      <c r="S24" s="122">
        <f t="shared" si="10"/>
        <v>1438</v>
      </c>
      <c r="T24" s="122">
        <f t="shared" si="10"/>
        <v>1327</v>
      </c>
      <c r="U24" s="122">
        <f t="shared" si="10"/>
        <v>1415</v>
      </c>
      <c r="V24" s="122">
        <f t="shared" ref="V24:W24" si="11">SUM(V22:V23)</f>
        <v>1383</v>
      </c>
      <c r="W24" s="122">
        <f t="shared" si="11"/>
        <v>1173</v>
      </c>
      <c r="X24" s="122">
        <f t="shared" ref="X24:AE24" si="12">SUM(X22:X23)</f>
        <v>1143</v>
      </c>
      <c r="Y24" s="122">
        <f t="shared" si="12"/>
        <v>1056</v>
      </c>
      <c r="Z24" s="122">
        <f t="shared" si="12"/>
        <v>1104</v>
      </c>
      <c r="AA24" s="122">
        <f t="shared" si="12"/>
        <v>1045</v>
      </c>
      <c r="AB24" s="122">
        <f t="shared" ref="AB24" si="13">SUM(AB22:AB23)</f>
        <v>1110</v>
      </c>
      <c r="AC24" s="78">
        <f t="shared" si="12"/>
        <v>1110</v>
      </c>
      <c r="AD24" s="78">
        <f t="shared" si="12"/>
        <v>1110</v>
      </c>
      <c r="AE24" s="78">
        <f t="shared" si="12"/>
        <v>1110</v>
      </c>
      <c r="AF24" s="78">
        <f t="shared" ref="AF24" si="14">SUM(AF22:AF23)</f>
        <v>1110</v>
      </c>
    </row>
    <row r="25" spans="1:32">
      <c r="A25" s="1" t="str">
        <f>Income_Statement_Qtr!A25</f>
        <v>Share-Based Plans</v>
      </c>
      <c r="B25" s="154">
        <v>-316</v>
      </c>
      <c r="C25" s="154">
        <v>-378</v>
      </c>
      <c r="D25" s="154">
        <v>-447</v>
      </c>
      <c r="E25" s="154">
        <v>-456</v>
      </c>
      <c r="F25" s="154">
        <v>-576</v>
      </c>
      <c r="G25" s="154">
        <f>-999</f>
        <v>-999</v>
      </c>
      <c r="H25" s="154">
        <v>-680</v>
      </c>
      <c r="I25" s="154">
        <v>-233</v>
      </c>
      <c r="J25" s="154">
        <v>-149</v>
      </c>
      <c r="K25" s="154">
        <v>-189</v>
      </c>
      <c r="L25" s="154">
        <v>-136</v>
      </c>
      <c r="M25" s="154">
        <v>-83</v>
      </c>
      <c r="N25" s="154">
        <v>-81</v>
      </c>
      <c r="O25" s="154">
        <v>-95</v>
      </c>
      <c r="P25" s="154">
        <v>-67</v>
      </c>
      <c r="Q25" s="153">
        <f>Income_Statement_Qtr!F25</f>
        <v>-76</v>
      </c>
      <c r="R25" s="153">
        <f>Income_Statement_Qtr!K25</f>
        <v>-66</v>
      </c>
      <c r="S25" s="153">
        <f>Income_Statement_Qtr!P25</f>
        <v>-77</v>
      </c>
      <c r="T25" s="153">
        <f>Income_Statement_Qtr!U25</f>
        <v>-76</v>
      </c>
      <c r="U25" s="153">
        <f>Income_Statement_Qtr!Z25</f>
        <v>-65</v>
      </c>
      <c r="V25" s="153">
        <f>Income_Statement_Qtr!AE25</f>
        <v>-120</v>
      </c>
      <c r="W25" s="411">
        <f>Income_Statement_Qtr!AJ25</f>
        <v>-174</v>
      </c>
      <c r="X25" s="411">
        <f>Income_Statement_Qtr!AO25</f>
        <v>-114</v>
      </c>
      <c r="Y25" s="411">
        <f>Income_Statement_Qtr!AT25</f>
        <v>62</v>
      </c>
      <c r="Z25" s="411">
        <f>Income_Statement_Qtr!AY25</f>
        <v>171</v>
      </c>
      <c r="AA25" s="411">
        <f>Income_Statement_Qtr!BD25</f>
        <v>-49</v>
      </c>
      <c r="AB25" s="411">
        <f>Income_Statement_Qtr!BI25</f>
        <v>50.5</v>
      </c>
      <c r="AC25" s="43">
        <v>51.005000000000003</v>
      </c>
      <c r="AD25" s="43">
        <v>51.515050000000002</v>
      </c>
      <c r="AE25" s="43">
        <v>52.030200499999999</v>
      </c>
      <c r="AF25" s="43">
        <v>52.030200499999999</v>
      </c>
    </row>
    <row r="26" spans="1:32">
      <c r="A26" s="1" t="str">
        <f>Income_Statement_Qtr!A26</f>
        <v>Deferred Compensation</v>
      </c>
      <c r="B26" s="154">
        <v>0</v>
      </c>
      <c r="C26" s="154">
        <v>0</v>
      </c>
      <c r="D26" s="154">
        <v>0</v>
      </c>
      <c r="E26" s="154">
        <v>0</v>
      </c>
      <c r="F26" s="154">
        <v>0</v>
      </c>
      <c r="G26" s="154">
        <v>-186</v>
      </c>
      <c r="H26" s="154">
        <v>-211</v>
      </c>
      <c r="I26" s="154">
        <v>-51</v>
      </c>
      <c r="J26" s="154">
        <v>223</v>
      </c>
      <c r="K26" s="154">
        <v>-158</v>
      </c>
      <c r="L26" s="154">
        <v>-112</v>
      </c>
      <c r="M26" s="154">
        <v>-61</v>
      </c>
      <c r="N26" s="154">
        <v>-75</v>
      </c>
      <c r="O26" s="154">
        <v>-238</v>
      </c>
      <c r="P26" s="154">
        <v>-44</v>
      </c>
      <c r="Q26" s="153">
        <f>Income_Statement_Qtr!F26</f>
        <v>-63</v>
      </c>
      <c r="R26" s="153">
        <f>Income_Statement_Qtr!K26</f>
        <v>-46</v>
      </c>
      <c r="S26" s="153">
        <f>Income_Statement_Qtr!P26</f>
        <v>-240</v>
      </c>
      <c r="T26" s="153">
        <f>Income_Statement_Qtr!U26</f>
        <v>-19</v>
      </c>
      <c r="U26" s="153">
        <f>Income_Statement_Qtr!Z26</f>
        <v>-174</v>
      </c>
      <c r="V26" s="153">
        <f>Income_Statement_Qtr!AE26</f>
        <v>-93</v>
      </c>
      <c r="W26" s="411">
        <f>Income_Statement_Qtr!AJ26</f>
        <v>-126</v>
      </c>
      <c r="X26" s="411">
        <f>Income_Statement_Qtr!AO26</f>
        <v>117</v>
      </c>
      <c r="Y26" s="411">
        <f>Income_Statement_Qtr!AT26</f>
        <v>-188</v>
      </c>
      <c r="Z26" s="411">
        <f>Income_Statement_Qtr!AY26</f>
        <v>-114</v>
      </c>
      <c r="AA26" s="411">
        <f>Income_Statement_Qtr!BD26</f>
        <v>-182</v>
      </c>
      <c r="AB26" s="411">
        <f>Income_Statement_Qtr!BI26</f>
        <v>-130</v>
      </c>
      <c r="AC26" s="43">
        <v>-130</v>
      </c>
      <c r="AD26" s="43">
        <v>-130</v>
      </c>
      <c r="AE26" s="43">
        <v>-130</v>
      </c>
      <c r="AF26" s="43">
        <v>-130</v>
      </c>
    </row>
    <row r="27" spans="1:32">
      <c r="A27" s="1" t="str">
        <f>Income_Statement_Qtr!A27</f>
        <v>Amortization of Previously Capitalized Interest</v>
      </c>
      <c r="B27" s="154">
        <v>0</v>
      </c>
      <c r="C27" s="154">
        <v>0</v>
      </c>
      <c r="D27" s="154">
        <v>0</v>
      </c>
      <c r="E27" s="154">
        <v>-53</v>
      </c>
      <c r="F27" s="154">
        <v>-48</v>
      </c>
      <c r="G27" s="154">
        <v>-47</v>
      </c>
      <c r="H27" s="154">
        <v>-48</v>
      </c>
      <c r="I27" s="154">
        <v>-53</v>
      </c>
      <c r="J27" s="154">
        <v>-44</v>
      </c>
      <c r="K27" s="154">
        <v>-53</v>
      </c>
      <c r="L27" s="154">
        <v>-54</v>
      </c>
      <c r="M27" s="154">
        <v>-51</v>
      </c>
      <c r="N27" s="154">
        <v>-70</v>
      </c>
      <c r="O27" s="154">
        <v>-69</v>
      </c>
      <c r="P27" s="154">
        <v>-72</v>
      </c>
      <c r="Q27" s="153">
        <f>Income_Statement_Qtr!F27</f>
        <v>-90</v>
      </c>
      <c r="R27" s="153">
        <f>Income_Statement_Qtr!K27</f>
        <v>-94</v>
      </c>
      <c r="S27" s="153">
        <f>Income_Statement_Qtr!P27</f>
        <v>-96</v>
      </c>
      <c r="T27" s="153">
        <f>Income_Statement_Qtr!U27</f>
        <v>-92</v>
      </c>
      <c r="U27" s="153">
        <f>Income_Statement_Qtr!Z27</f>
        <v>-89</v>
      </c>
      <c r="V27" s="153">
        <f>Income_Statement_Qtr!AE27</f>
        <v>-95</v>
      </c>
      <c r="W27" s="411">
        <f>Income_Statement_Qtr!AJ27</f>
        <v>-107</v>
      </c>
      <c r="X27" s="411">
        <f>Income_Statement_Qtr!AO27</f>
        <v>-95</v>
      </c>
      <c r="Y27" s="411">
        <f>Income_Statement_Qtr!AT27</f>
        <v>-95</v>
      </c>
      <c r="Z27" s="411">
        <f>Income_Statement_Qtr!AY27</f>
        <v>-93</v>
      </c>
      <c r="AA27" s="411">
        <f>Income_Statement_Qtr!BD27</f>
        <v>-92</v>
      </c>
      <c r="AB27" s="411">
        <f>Income_Statement_Qtr!BI27</f>
        <v>-100</v>
      </c>
      <c r="AC27" s="43">
        <v>-100</v>
      </c>
      <c r="AD27" s="43">
        <v>-100</v>
      </c>
      <c r="AE27" s="43">
        <v>-100</v>
      </c>
      <c r="AF27" s="43">
        <v>-100</v>
      </c>
    </row>
    <row r="28" spans="1:32">
      <c r="A28" s="1" t="str">
        <f>Income_Statement_Qtr!A28</f>
        <v>Customer Financing Impairment</v>
      </c>
      <c r="B28" s="154">
        <v>0</v>
      </c>
      <c r="C28" s="154">
        <v>0</v>
      </c>
      <c r="D28" s="154">
        <v>0</v>
      </c>
      <c r="E28" s="154">
        <v>0</v>
      </c>
      <c r="F28" s="154">
        <v>0</v>
      </c>
      <c r="G28" s="154">
        <v>0</v>
      </c>
      <c r="H28" s="154">
        <v>0</v>
      </c>
      <c r="I28" s="154">
        <v>0</v>
      </c>
      <c r="J28" s="154">
        <v>0</v>
      </c>
      <c r="K28" s="154">
        <v>0</v>
      </c>
      <c r="L28" s="154">
        <v>0</v>
      </c>
      <c r="M28" s="154">
        <v>0</v>
      </c>
      <c r="N28" s="154">
        <v>0</v>
      </c>
      <c r="O28" s="154">
        <v>0</v>
      </c>
      <c r="P28" s="154">
        <v>0</v>
      </c>
      <c r="Q28" s="153">
        <f>Income_Statement_Qtr!F28</f>
        <v>0</v>
      </c>
      <c r="R28" s="153">
        <f>Income_Statement_Qtr!K28</f>
        <v>0</v>
      </c>
      <c r="S28" s="153">
        <f>Income_Statement_Qtr!P28</f>
        <v>0</v>
      </c>
      <c r="T28" s="153">
        <f>Income_Statement_Qtr!U28</f>
        <v>0</v>
      </c>
      <c r="U28" s="153">
        <f>Income_Statement_Qtr!Z28</f>
        <v>-250</v>
      </c>
      <c r="V28" s="153">
        <f>Income_Statement_Qtr!AE28</f>
        <v>0</v>
      </c>
      <c r="W28" s="153">
        <f>Income_Statement_Qtr!AJ28</f>
        <v>0</v>
      </c>
      <c r="X28" s="153">
        <f>Income_Statement_Qtr!AO28</f>
        <v>0</v>
      </c>
      <c r="Y28" s="153">
        <f>Income_Statement_Qtr!AT28</f>
        <v>0</v>
      </c>
      <c r="Z28" s="153">
        <f>Income_Statement_Qtr!AY28</f>
        <v>0</v>
      </c>
      <c r="AA28" s="153">
        <f>Income_Statement_Qtr!BD28</f>
        <v>0</v>
      </c>
      <c r="AB28" s="153">
        <f>Income_Statement_Qtr!BI28</f>
        <v>0</v>
      </c>
      <c r="AC28" s="43">
        <v>0</v>
      </c>
      <c r="AD28" s="43">
        <v>0</v>
      </c>
      <c r="AE28" s="43">
        <v>0</v>
      </c>
      <c r="AF28" s="43">
        <v>0</v>
      </c>
    </row>
    <row r="29" spans="1:32">
      <c r="A29" s="1" t="str">
        <f>Income_Statement_Qtr!A29</f>
        <v>Research and Development Expense, net</v>
      </c>
      <c r="B29" s="154">
        <v>0</v>
      </c>
      <c r="C29" s="154">
        <v>0</v>
      </c>
      <c r="D29" s="154">
        <v>0</v>
      </c>
      <c r="E29" s="154">
        <v>0</v>
      </c>
      <c r="F29" s="154">
        <v>0</v>
      </c>
      <c r="G29" s="154">
        <v>0</v>
      </c>
      <c r="H29" s="154">
        <v>0</v>
      </c>
      <c r="I29" s="154">
        <v>0</v>
      </c>
      <c r="J29" s="154">
        <v>0</v>
      </c>
      <c r="K29" s="154">
        <v>0</v>
      </c>
      <c r="L29" s="154">
        <v>0</v>
      </c>
      <c r="M29" s="154">
        <v>0</v>
      </c>
      <c r="N29" s="154">
        <v>0</v>
      </c>
      <c r="O29" s="154">
        <v>0</v>
      </c>
      <c r="P29" s="154">
        <v>0</v>
      </c>
      <c r="Q29" s="153">
        <f>Income_Statement_Qtr!F29</f>
        <v>0</v>
      </c>
      <c r="R29" s="153">
        <f>Income_Statement_Qtr!K29</f>
        <v>0</v>
      </c>
      <c r="S29" s="153">
        <f>Income_Statement_Qtr!P29</f>
        <v>0</v>
      </c>
      <c r="T29" s="153">
        <f>Income_Statement_Qtr!U29</f>
        <v>-132</v>
      </c>
      <c r="U29" s="153">
        <f>Income_Statement_Qtr!Z29</f>
        <v>-384</v>
      </c>
      <c r="V29" s="153">
        <f>Income_Statement_Qtr!AE29</f>
        <v>-240</v>
      </c>
      <c r="W29" s="153">
        <f>Income_Statement_Qtr!AJ29</f>
        <v>-184</v>
      </c>
      <c r="X29" s="153">
        <f>Income_Statement_Qtr!AO29</f>
        <v>-278</v>
      </c>
      <c r="Y29" s="153">
        <f>Income_Statement_Qtr!AT29</f>
        <v>-315</v>
      </c>
      <c r="Z29" s="153">
        <f>Income_Statement_Qtr!AY29</f>
        <v>-377</v>
      </c>
      <c r="AA29" s="153">
        <f>Income_Statement_Qtr!BD29</f>
        <v>-411</v>
      </c>
      <c r="AB29" s="153">
        <f>Income_Statement_Qtr!BI29</f>
        <v>-375</v>
      </c>
      <c r="AC29" s="43">
        <v>-375</v>
      </c>
      <c r="AD29" s="43">
        <v>-375</v>
      </c>
      <c r="AE29" s="43">
        <v>-375</v>
      </c>
      <c r="AF29" s="43">
        <v>-375</v>
      </c>
    </row>
    <row r="30" spans="1:32">
      <c r="A30" s="1" t="str">
        <f>Income_Statement_Qtr!A30</f>
        <v>Eliminations and Other Unallocated Items</v>
      </c>
      <c r="B30" s="189">
        <f>-442-362</f>
        <v>-804</v>
      </c>
      <c r="C30" s="173">
        <f>-368-163</f>
        <v>-531</v>
      </c>
      <c r="D30" s="173">
        <f>424-193</f>
        <v>231</v>
      </c>
      <c r="E30" s="173">
        <f>-128-36-320</f>
        <v>-484</v>
      </c>
      <c r="F30" s="173">
        <f>15-112-340</f>
        <v>-437</v>
      </c>
      <c r="G30" s="173">
        <f>-324</f>
        <v>-324</v>
      </c>
      <c r="H30" s="173">
        <f>-322+320+15</f>
        <v>13</v>
      </c>
      <c r="I30" s="173">
        <v>-74</v>
      </c>
      <c r="J30" s="173">
        <v>-66</v>
      </c>
      <c r="K30" s="173">
        <v>-211</v>
      </c>
      <c r="L30" s="173">
        <v>-428</v>
      </c>
      <c r="M30" s="173">
        <v>-276</v>
      </c>
      <c r="N30" s="173">
        <v>-266</v>
      </c>
      <c r="O30" s="189">
        <f>-859+406</f>
        <v>-453</v>
      </c>
      <c r="P30" s="173">
        <v>-593</v>
      </c>
      <c r="Q30" s="153">
        <f>Income_Statement_Qtr!F30</f>
        <v>-511</v>
      </c>
      <c r="R30" s="153">
        <f>Income_Statement_Qtr!K30</f>
        <v>-527</v>
      </c>
      <c r="S30" s="153">
        <f>Income_Statement_Qtr!P30</f>
        <v>-686</v>
      </c>
      <c r="T30" s="153">
        <f>Income_Statement_Qtr!U30</f>
        <v>-1123</v>
      </c>
      <c r="U30" s="153">
        <f>Income_Statement_Qtr!Z30</f>
        <v>-1104</v>
      </c>
      <c r="V30" s="153">
        <f>Income_Statement_Qtr!AE30</f>
        <v>-1807</v>
      </c>
      <c r="W30" s="411">
        <f>Income_Statement_Qtr!AJ30</f>
        <v>-676</v>
      </c>
      <c r="X30" s="411">
        <f>Income_Statement_Qtr!AO30</f>
        <v>-1162</v>
      </c>
      <c r="Y30" s="411">
        <f>Income_Statement_Qtr!AT30</f>
        <v>-1223</v>
      </c>
      <c r="Z30" s="411">
        <f>Income_Statement_Qtr!AY30</f>
        <v>-1634</v>
      </c>
      <c r="AA30" s="411">
        <f>Income_Statement_Qtr!BD30</f>
        <v>-2297</v>
      </c>
      <c r="AB30" s="411">
        <f>Income_Statement_Qtr!BI30</f>
        <v>-2064.2292287770788</v>
      </c>
      <c r="AC30" s="43">
        <v>-1650.34</v>
      </c>
      <c r="AD30" s="43">
        <v>-1650.34</v>
      </c>
      <c r="AE30" s="43">
        <v>-1650.34</v>
      </c>
      <c r="AF30" s="43">
        <v>-1650.34</v>
      </c>
    </row>
    <row r="31" spans="1:32">
      <c r="A31" s="5" t="str">
        <f>Income_Statement_Qtr!A31</f>
        <v>Total Unallocated Items</v>
      </c>
      <c r="B31" s="122">
        <f t="shared" ref="B31:O31" si="15">SUM(B24:B30)</f>
        <v>-1120</v>
      </c>
      <c r="C31" s="122">
        <f t="shared" si="15"/>
        <v>-909</v>
      </c>
      <c r="D31" s="122">
        <f t="shared" si="15"/>
        <v>-216</v>
      </c>
      <c r="E31" s="122">
        <f t="shared" si="15"/>
        <v>-787</v>
      </c>
      <c r="F31" s="122">
        <f t="shared" si="15"/>
        <v>-1319</v>
      </c>
      <c r="G31" s="122">
        <f t="shared" si="15"/>
        <v>-2407</v>
      </c>
      <c r="H31" s="122">
        <f t="shared" si="15"/>
        <v>-1398</v>
      </c>
      <c r="I31" s="122">
        <f t="shared" si="15"/>
        <v>-1097</v>
      </c>
      <c r="J31" s="122">
        <f t="shared" si="15"/>
        <v>-323</v>
      </c>
      <c r="K31" s="122">
        <f t="shared" si="15"/>
        <v>-594</v>
      </c>
      <c r="L31" s="122">
        <f t="shared" si="15"/>
        <v>-735</v>
      </c>
      <c r="M31" s="122">
        <f t="shared" si="15"/>
        <v>-988</v>
      </c>
      <c r="N31" s="122">
        <f t="shared" si="15"/>
        <v>-1391</v>
      </c>
      <c r="O31" s="122">
        <f t="shared" si="15"/>
        <v>-2169</v>
      </c>
      <c r="P31" s="122">
        <f>SUM(P24:P30)</f>
        <v>-2163</v>
      </c>
      <c r="Q31" s="122">
        <f t="shared" ref="Q31:W31" si="16">SUM(Q24:Q30)</f>
        <v>-1038</v>
      </c>
      <c r="R31" s="122">
        <f t="shared" si="16"/>
        <v>-363</v>
      </c>
      <c r="S31" s="122">
        <f t="shared" si="16"/>
        <v>339</v>
      </c>
      <c r="T31" s="122">
        <f t="shared" si="16"/>
        <v>-115</v>
      </c>
      <c r="U31" s="122">
        <f t="shared" si="16"/>
        <v>-651</v>
      </c>
      <c r="V31" s="122">
        <f t="shared" si="16"/>
        <v>-972</v>
      </c>
      <c r="W31" s="122">
        <f t="shared" si="16"/>
        <v>-94</v>
      </c>
      <c r="X31" s="122">
        <f t="shared" ref="X31:AE31" si="17">SUM(X24:X30)</f>
        <v>-389</v>
      </c>
      <c r="Y31" s="122">
        <f t="shared" si="17"/>
        <v>-703</v>
      </c>
      <c r="Z31" s="122">
        <f t="shared" si="17"/>
        <v>-943</v>
      </c>
      <c r="AA31" s="122">
        <f t="shared" si="17"/>
        <v>-1986</v>
      </c>
      <c r="AB31" s="122">
        <f t="shared" ref="AB31" si="18">SUM(AB24:AB30)</f>
        <v>-1508.7292287770788</v>
      </c>
      <c r="AC31" s="78">
        <f t="shared" si="17"/>
        <v>-1094.3349999999998</v>
      </c>
      <c r="AD31" s="78">
        <f t="shared" si="17"/>
        <v>-1093.8249499999999</v>
      </c>
      <c r="AE31" s="78">
        <f t="shared" si="17"/>
        <v>-1093.3097994999998</v>
      </c>
      <c r="AF31" s="78">
        <f t="shared" ref="AF31" si="19">SUM(AF24:AF30)</f>
        <v>-1093.3097994999998</v>
      </c>
    </row>
    <row r="32" spans="1:32">
      <c r="A32" t="str">
        <f>Income_Statement_Qtr!A32</f>
        <v>Settlement With U.S. Department of Justice, net of Accruals</v>
      </c>
      <c r="B32" s="154">
        <v>0</v>
      </c>
      <c r="C32" s="154">
        <v>0</v>
      </c>
      <c r="D32" s="154">
        <v>0</v>
      </c>
      <c r="E32" s="154">
        <v>0</v>
      </c>
      <c r="F32" s="154">
        <v>0</v>
      </c>
      <c r="G32" s="154">
        <v>0</v>
      </c>
      <c r="H32" s="154">
        <f>-571+571</f>
        <v>0</v>
      </c>
      <c r="I32" s="154">
        <v>0</v>
      </c>
      <c r="J32" s="154">
        <v>0</v>
      </c>
      <c r="K32" s="154">
        <v>0</v>
      </c>
      <c r="L32" s="154">
        <v>0</v>
      </c>
      <c r="M32" s="154">
        <v>0</v>
      </c>
      <c r="N32" s="154">
        <v>0</v>
      </c>
      <c r="O32" s="154">
        <v>0</v>
      </c>
      <c r="P32" s="154">
        <v>0</v>
      </c>
      <c r="Q32" s="153">
        <f>Income_Statement_Qtr!F32</f>
        <v>0</v>
      </c>
      <c r="R32" s="153">
        <f>Income_Statement_Qtr!K32</f>
        <v>0</v>
      </c>
      <c r="S32" s="153">
        <f>Income_Statement_Qtr!P32</f>
        <v>0</v>
      </c>
      <c r="T32" s="153">
        <f>Income_Statement_Qtr!U32</f>
        <v>0</v>
      </c>
      <c r="U32" s="153">
        <f>Income_Statement_Qtr!Z32</f>
        <v>0</v>
      </c>
      <c r="V32" s="153">
        <f>Income_Statement_Qtr!AE32</f>
        <v>0</v>
      </c>
      <c r="W32" s="153">
        <f>Income_Statement_Qtr!AJ32</f>
        <v>0</v>
      </c>
      <c r="X32" s="153">
        <f>Income_Statement_Qtr!AO32</f>
        <v>0</v>
      </c>
      <c r="Y32" s="153">
        <f>Income_Statement_Qtr!AT32</f>
        <v>0</v>
      </c>
      <c r="Z32" s="153">
        <f>Income_Statement_Qtr!AY32</f>
        <v>0</v>
      </c>
      <c r="AA32" s="153">
        <f>Income_Statement_Qtr!BD32</f>
        <v>0</v>
      </c>
      <c r="AB32" s="153">
        <f>Income_Statement_Qtr!BI32</f>
        <v>0</v>
      </c>
      <c r="AC32" s="43">
        <v>0</v>
      </c>
      <c r="AD32" s="43">
        <v>0</v>
      </c>
      <c r="AE32" s="43">
        <v>0</v>
      </c>
      <c r="AF32" s="43">
        <v>0</v>
      </c>
    </row>
    <row r="33" spans="1:35">
      <c r="A33" s="14"/>
      <c r="B33" s="152"/>
      <c r="C33" s="152"/>
      <c r="D33" s="152"/>
      <c r="E33" s="152"/>
      <c r="F33" s="152"/>
      <c r="G33" s="152"/>
      <c r="H33" s="286"/>
      <c r="I33" s="286"/>
      <c r="J33" s="152"/>
      <c r="K33" s="152"/>
      <c r="L33" s="152"/>
      <c r="M33" s="152"/>
      <c r="N33" s="152"/>
      <c r="O33" s="152"/>
      <c r="P33" s="152"/>
      <c r="Q33" s="152"/>
      <c r="R33" s="152"/>
      <c r="S33" s="152"/>
      <c r="T33" s="152"/>
      <c r="U33" s="152"/>
      <c r="V33" s="152"/>
      <c r="W33" s="152"/>
      <c r="X33" s="152"/>
      <c r="Y33" s="152"/>
      <c r="Z33" s="152"/>
      <c r="AA33" s="152"/>
      <c r="AB33" s="152"/>
      <c r="AC33" s="40"/>
      <c r="AD33" s="40"/>
      <c r="AE33" s="40"/>
      <c r="AF33" s="40"/>
    </row>
    <row r="34" spans="1:35">
      <c r="A34" s="9" t="str">
        <f>Income_Statement_Qtr!A34</f>
        <v>Operating Profit</v>
      </c>
      <c r="B34" s="150">
        <f t="shared" ref="B34:W34" si="20">B20+B31+B32</f>
        <v>3058</v>
      </c>
      <c r="C34" s="150">
        <f t="shared" si="20"/>
        <v>3896</v>
      </c>
      <c r="D34" s="150">
        <f t="shared" si="20"/>
        <v>3450</v>
      </c>
      <c r="E34" s="150">
        <f t="shared" si="20"/>
        <v>1311</v>
      </c>
      <c r="F34" s="150">
        <f t="shared" si="20"/>
        <v>2562</v>
      </c>
      <c r="G34" s="150">
        <f t="shared" si="20"/>
        <v>2812</v>
      </c>
      <c r="H34" s="150">
        <f t="shared" si="20"/>
        <v>3920</v>
      </c>
      <c r="I34" s="150">
        <f t="shared" si="20"/>
        <v>5830</v>
      </c>
      <c r="J34" s="150">
        <f t="shared" si="20"/>
        <v>6821.1384615384613</v>
      </c>
      <c r="K34" s="150">
        <f t="shared" si="20"/>
        <v>6141</v>
      </c>
      <c r="L34" s="150">
        <f t="shared" si="20"/>
        <v>4971</v>
      </c>
      <c r="M34" s="150">
        <f t="shared" si="20"/>
        <v>5844</v>
      </c>
      <c r="N34" s="150">
        <f t="shared" si="20"/>
        <v>6290</v>
      </c>
      <c r="O34" s="150">
        <f t="shared" si="20"/>
        <v>6968</v>
      </c>
      <c r="P34" s="150">
        <f>P20+P31+P32</f>
        <v>7473</v>
      </c>
      <c r="Q34" s="150">
        <f t="shared" si="20"/>
        <v>7443</v>
      </c>
      <c r="R34" s="150">
        <f t="shared" si="20"/>
        <v>5834</v>
      </c>
      <c r="S34" s="150">
        <f t="shared" si="20"/>
        <v>10344</v>
      </c>
      <c r="T34" s="150">
        <f t="shared" si="20"/>
        <v>11987</v>
      </c>
      <c r="U34" s="150">
        <f t="shared" si="20"/>
        <v>-1975</v>
      </c>
      <c r="V34" s="150">
        <f t="shared" si="20"/>
        <v>-12767</v>
      </c>
      <c r="W34" s="150">
        <f t="shared" si="20"/>
        <v>-2902</v>
      </c>
      <c r="X34" s="150">
        <f t="shared" ref="X34:AD34" si="21">X20+X31+X32</f>
        <v>-3547</v>
      </c>
      <c r="Y34" s="150">
        <f t="shared" si="21"/>
        <v>-773</v>
      </c>
      <c r="Z34" s="150">
        <f t="shared" si="21"/>
        <v>-10707</v>
      </c>
      <c r="AA34" s="150">
        <f t="shared" si="21"/>
        <v>4281</v>
      </c>
      <c r="AB34" s="150">
        <f t="shared" ref="AB34" si="22">AB20+AB31+AB32</f>
        <v>2111.9937552546153</v>
      </c>
      <c r="AC34" s="25">
        <f t="shared" si="21"/>
        <v>8681.7118979677889</v>
      </c>
      <c r="AD34" s="25">
        <f t="shared" si="21"/>
        <v>10864.926056796992</v>
      </c>
      <c r="AE34" s="25">
        <f t="shared" ref="AE34:AF34" si="23">AE20+AE31+AE32</f>
        <v>11359.434337119928</v>
      </c>
      <c r="AF34" s="25">
        <f t="shared" si="23"/>
        <v>11816.886490890538</v>
      </c>
    </row>
    <row r="35" spans="1:35">
      <c r="A35" s="1" t="str">
        <f>Income_Statement_Qtr!A35</f>
        <v>Operating Margin</v>
      </c>
      <c r="B35" s="89">
        <f t="shared" ref="B35:P35" si="24">B34/B10</f>
        <v>5.9585744626955831E-2</v>
      </c>
      <c r="C35" s="89">
        <f t="shared" si="24"/>
        <v>6.6943881233032063E-2</v>
      </c>
      <c r="D35" s="89">
        <f t="shared" si="24"/>
        <v>6.3816799541258948E-2</v>
      </c>
      <c r="E35" s="89">
        <f t="shared" si="24"/>
        <v>2.6086437440305636E-2</v>
      </c>
      <c r="F35" s="89">
        <f t="shared" si="24"/>
        <v>4.8840002287587926E-2</v>
      </c>
      <c r="G35" s="89">
        <f t="shared" si="24"/>
        <v>5.2442140206262471E-2</v>
      </c>
      <c r="H35" s="89">
        <f t="shared" si="24"/>
        <v>6.3708759954493738E-2</v>
      </c>
      <c r="I35" s="89">
        <f t="shared" si="24"/>
        <v>8.7818398180366644E-2</v>
      </c>
      <c r="J35" s="89">
        <f t="shared" si="24"/>
        <v>0.1119890075610905</v>
      </c>
      <c r="K35" s="89">
        <f t="shared" si="24"/>
        <v>8.993717139467787E-2</v>
      </c>
      <c r="L35" s="89">
        <f t="shared" si="24"/>
        <v>7.7302273504805147E-2</v>
      </c>
      <c r="M35" s="89">
        <f t="shared" si="24"/>
        <v>8.50221866589074E-2</v>
      </c>
      <c r="N35" s="89">
        <f t="shared" si="24"/>
        <v>7.6990868809517984E-2</v>
      </c>
      <c r="O35" s="89">
        <f t="shared" si="24"/>
        <v>8.0440529651478243E-2</v>
      </c>
      <c r="P35" s="89">
        <f t="shared" si="24"/>
        <v>8.2336220003966412E-2</v>
      </c>
      <c r="Q35" s="126">
        <f>+Income_Statement_Qtr!F35</f>
        <v>7.7439290842124975E-2</v>
      </c>
      <c r="R35" s="126">
        <f>+Income_Statement_Qtr!K35</f>
        <v>6.1689101310126782E-2</v>
      </c>
      <c r="S35" s="126">
        <f>+Income_Statement_Qtr!P35</f>
        <v>0.11003670017552258</v>
      </c>
      <c r="T35" s="126">
        <f>+Income_Statement_Qtr!U35</f>
        <v>0.11853412046238888</v>
      </c>
      <c r="U35" s="126">
        <f>+Income_Statement_Qtr!Z35</f>
        <v>-2.5797097663240117E-2</v>
      </c>
      <c r="V35" s="126">
        <f>+Income_Statement_Qtr!AE35</f>
        <v>-0.21952267959696001</v>
      </c>
      <c r="W35" s="126">
        <f>+Income_Statement_Qtr!AJ35</f>
        <v>-4.6591529396654147E-2</v>
      </c>
      <c r="X35" s="126">
        <f>+Income_Statement_Qtr!AO35</f>
        <v>-5.3251861638241652E-2</v>
      </c>
      <c r="Y35" s="126">
        <f>+Income_Statement_Qtr!AT35</f>
        <v>-9.9364989587885956E-3</v>
      </c>
      <c r="Z35" s="126">
        <f>+Income_Statement_Qtr!AY35</f>
        <v>-0.16096636949952645</v>
      </c>
      <c r="AA35" s="126">
        <f>+Income_Statement_Qtr!BD35</f>
        <v>4.78521847020556E-2</v>
      </c>
      <c r="AB35" s="126">
        <f>+Income_Statement_Qtr!BI35</f>
        <v>2.118030605724831E-2</v>
      </c>
      <c r="AC35" s="112">
        <f>AC34/AC10</f>
        <v>8.0105509179079298E-2</v>
      </c>
      <c r="AD35" s="112">
        <f>AD34/AD10</f>
        <v>9.6054345262101812E-2</v>
      </c>
      <c r="AE35" s="112">
        <f>AE34/AE10</f>
        <v>9.7051619218573817E-2</v>
      </c>
      <c r="AF35" s="112">
        <f>AF34/AF10</f>
        <v>9.8191593013656431E-2</v>
      </c>
    </row>
    <row r="36" spans="1:35">
      <c r="A36" s="1"/>
      <c r="B36" s="89"/>
      <c r="C36" s="89"/>
      <c r="D36" s="89"/>
      <c r="E36" s="89"/>
      <c r="F36" s="89"/>
      <c r="G36" s="89"/>
      <c r="H36" s="89"/>
      <c r="I36" s="89"/>
      <c r="J36" s="89"/>
      <c r="K36" s="89"/>
      <c r="L36" s="89"/>
      <c r="M36" s="89"/>
      <c r="N36" s="89"/>
      <c r="O36" s="89"/>
      <c r="P36" s="89"/>
      <c r="Q36" s="126"/>
      <c r="R36" s="126"/>
      <c r="S36" s="126"/>
      <c r="T36" s="126"/>
      <c r="U36" s="126"/>
      <c r="V36" s="126"/>
      <c r="W36" s="126"/>
      <c r="X36" s="126"/>
      <c r="Y36" s="126"/>
      <c r="Z36" s="126"/>
      <c r="AA36" s="126"/>
      <c r="AB36" s="126"/>
      <c r="AC36" s="112"/>
      <c r="AD36" s="112"/>
      <c r="AE36" s="112"/>
      <c r="AF36" s="112"/>
    </row>
    <row r="37" spans="1:35">
      <c r="A37" s="1" t="str">
        <f>Income_Statement_Qtr!A37</f>
        <v>Interest and Debt Expense</v>
      </c>
      <c r="B37" s="154">
        <v>-445</v>
      </c>
      <c r="C37" s="154">
        <v>-650</v>
      </c>
      <c r="D37" s="154">
        <v>-320</v>
      </c>
      <c r="E37" s="154">
        <v>-358</v>
      </c>
      <c r="F37" s="154">
        <v>-335</v>
      </c>
      <c r="G37" s="154">
        <v>-294</v>
      </c>
      <c r="H37" s="154">
        <v>-240</v>
      </c>
      <c r="I37" s="154">
        <v>-196</v>
      </c>
      <c r="J37" s="154">
        <v>-202</v>
      </c>
      <c r="K37" s="154">
        <v>-339</v>
      </c>
      <c r="L37" s="154">
        <v>-516</v>
      </c>
      <c r="M37" s="154">
        <v>-498</v>
      </c>
      <c r="N37" s="154">
        <v>-442</v>
      </c>
      <c r="O37" s="154">
        <v>-386</v>
      </c>
      <c r="P37" s="154">
        <v>-333</v>
      </c>
      <c r="Q37" s="123">
        <f>+Income_Statement_Qtr!F37</f>
        <v>-275</v>
      </c>
      <c r="R37" s="123">
        <f>+Income_Statement_Qtr!K37</f>
        <v>-306</v>
      </c>
      <c r="S37" s="123">
        <f>+Income_Statement_Qtr!P37</f>
        <v>-360</v>
      </c>
      <c r="T37" s="123">
        <f>+Income_Statement_Qtr!U37</f>
        <v>-475</v>
      </c>
      <c r="U37" s="123">
        <f>+Income_Statement_Qtr!Z37</f>
        <v>-722</v>
      </c>
      <c r="V37" s="123">
        <f>+Income_Statement_Qtr!AE37</f>
        <v>-2156</v>
      </c>
      <c r="W37" s="123">
        <f>+Income_Statement_Qtr!AJ37</f>
        <v>-2682</v>
      </c>
      <c r="X37" s="123">
        <f>+Income_Statement_Qtr!AO37</f>
        <v>-2533</v>
      </c>
      <c r="Y37" s="123">
        <f>+Income_Statement_Qtr!AT37</f>
        <v>-2459</v>
      </c>
      <c r="Z37" s="123">
        <f>+Income_Statement_Qtr!AY37</f>
        <v>-2725</v>
      </c>
      <c r="AA37" s="123">
        <f>+Income_Statement_Qtr!BD37</f>
        <v>-2771</v>
      </c>
      <c r="AB37" s="123">
        <f>+Income_Statement_Qtr!BI37</f>
        <v>-2709.1482500000002</v>
      </c>
      <c r="AC37" s="38">
        <f>-Debt_Annual!AC202</f>
        <v>-2479.2937499999998</v>
      </c>
      <c r="AD37" s="38">
        <f>-Debt_Annual!AD202</f>
        <v>-2263.4692500000001</v>
      </c>
      <c r="AE37" s="38">
        <f>-Debt_Annual!AE202</f>
        <v>-2132.2887499999997</v>
      </c>
      <c r="AF37" s="38">
        <f>-Debt_Annual!AF202</f>
        <v>-2132.0712499999995</v>
      </c>
      <c r="AG37" s="109"/>
      <c r="AH37" s="109"/>
      <c r="AI37" s="109"/>
    </row>
    <row r="38" spans="1:35">
      <c r="A38" s="1" t="str">
        <f>Income_Statement_Qtr!A38</f>
        <v>Non-Operating FAS Pension Cost</v>
      </c>
      <c r="B38" s="154">
        <v>0</v>
      </c>
      <c r="C38" s="154">
        <v>0</v>
      </c>
      <c r="D38" s="154">
        <v>0</v>
      </c>
      <c r="E38" s="154">
        <v>0</v>
      </c>
      <c r="F38" s="154">
        <v>0</v>
      </c>
      <c r="G38" s="154">
        <v>0</v>
      </c>
      <c r="H38" s="154">
        <v>0</v>
      </c>
      <c r="I38" s="154">
        <v>0</v>
      </c>
      <c r="J38" s="154">
        <v>0</v>
      </c>
      <c r="K38" s="154">
        <v>0</v>
      </c>
      <c r="L38" s="154">
        <v>0</v>
      </c>
      <c r="M38" s="154">
        <v>0</v>
      </c>
      <c r="N38" s="154">
        <v>0</v>
      </c>
      <c r="O38" s="154">
        <v>0</v>
      </c>
      <c r="P38" s="154">
        <v>0</v>
      </c>
      <c r="Q38" s="123">
        <f>Income_Statement_Qtr!F38</f>
        <v>0</v>
      </c>
      <c r="R38" s="123">
        <f>Income_Statement_Qtr!K38</f>
        <v>0</v>
      </c>
      <c r="S38" s="123">
        <f>Income_Statement_Qtr!P38</f>
        <v>0</v>
      </c>
      <c r="T38" s="123">
        <f>Income_Statement_Qtr!U38</f>
        <v>0</v>
      </c>
      <c r="U38" s="123">
        <f>Income_Statement_Qtr!$Z$38</f>
        <v>0</v>
      </c>
      <c r="V38" s="123">
        <f>Income_Statement_Qtr!AE$38</f>
        <v>0</v>
      </c>
      <c r="W38" s="123">
        <f>Income_Statement_Qtr!AJ$38</f>
        <v>0</v>
      </c>
      <c r="X38" s="123">
        <f>Income_Statement_Qtr!AO$38</f>
        <v>0</v>
      </c>
      <c r="Y38" s="123">
        <f>Income_Statement_Qtr!AT$38</f>
        <v>0</v>
      </c>
      <c r="Z38" s="123">
        <f>Income_Statement_Qtr!AY$38</f>
        <v>0</v>
      </c>
      <c r="AA38" s="123">
        <f>Income_Statement_Qtr!BD$38</f>
        <v>0</v>
      </c>
      <c r="AB38" s="123">
        <f>Income_Statement_Qtr!BI$38</f>
        <v>0</v>
      </c>
      <c r="AC38" s="43">
        <f>AB38</f>
        <v>0</v>
      </c>
      <c r="AD38" s="43">
        <f>AC38</f>
        <v>0</v>
      </c>
      <c r="AE38" s="43">
        <f>AD38</f>
        <v>0</v>
      </c>
      <c r="AF38" s="43">
        <f>AE38</f>
        <v>0</v>
      </c>
    </row>
    <row r="39" spans="1:35">
      <c r="A39" s="1" t="str">
        <f>Income_Statement_Qtr!A39</f>
        <v>Other Non-Operating Expense/ Income, Net</v>
      </c>
      <c r="B39" s="154">
        <v>386</v>
      </c>
      <c r="C39" s="154">
        <v>318</v>
      </c>
      <c r="D39" s="154">
        <v>50</v>
      </c>
      <c r="E39" s="154">
        <v>460</v>
      </c>
      <c r="F39" s="154">
        <f>288-219</f>
        <v>69</v>
      </c>
      <c r="G39" s="154">
        <f>301-64</f>
        <v>237</v>
      </c>
      <c r="H39" s="154">
        <v>420</v>
      </c>
      <c r="I39" s="154">
        <v>484</v>
      </c>
      <c r="J39" s="154">
        <v>247</v>
      </c>
      <c r="K39" s="154">
        <v>-26</v>
      </c>
      <c r="L39" s="154">
        <v>52</v>
      </c>
      <c r="M39" s="154">
        <v>47</v>
      </c>
      <c r="N39" s="154">
        <v>62</v>
      </c>
      <c r="O39" s="154">
        <v>56</v>
      </c>
      <c r="P39" s="154">
        <v>-3</v>
      </c>
      <c r="Q39" s="123">
        <f>+Income_Statement_Qtr!F39</f>
        <v>-13</v>
      </c>
      <c r="R39" s="123">
        <f>+Income_Statement_Qtr!K39</f>
        <v>40</v>
      </c>
      <c r="S39" s="123">
        <f>+Income_Statement_Qtr!P39</f>
        <v>123</v>
      </c>
      <c r="T39" s="123">
        <f>+Income_Statement_Qtr!U39</f>
        <v>92</v>
      </c>
      <c r="U39" s="123">
        <f>+Income_Statement_Qtr!Z39</f>
        <v>438</v>
      </c>
      <c r="V39" s="123">
        <f>+Income_Statement_Qtr!AE39</f>
        <v>447</v>
      </c>
      <c r="W39" s="123">
        <f>+Income_Statement_Qtr!AJ39</f>
        <v>551</v>
      </c>
      <c r="X39" s="123">
        <f>+Income_Statement_Qtr!AO39</f>
        <v>1058</v>
      </c>
      <c r="Y39" s="123">
        <f>+Income_Statement_Qtr!AT39</f>
        <v>1227</v>
      </c>
      <c r="Z39" s="123">
        <f>+Income_Statement_Qtr!AY39</f>
        <v>1222</v>
      </c>
      <c r="AA39" s="123">
        <f>+Income_Statement_Qtr!BD39</f>
        <v>1125</v>
      </c>
      <c r="AB39" s="123">
        <f>+Income_Statement_Qtr!BI39</f>
        <v>1125</v>
      </c>
      <c r="AC39" s="38">
        <f>AB39</f>
        <v>1125</v>
      </c>
      <c r="AD39" s="38">
        <f t="shared" ref="AD39:AF39" si="25">AC39</f>
        <v>1125</v>
      </c>
      <c r="AE39" s="38">
        <f t="shared" si="25"/>
        <v>1125</v>
      </c>
      <c r="AF39" s="38">
        <f t="shared" si="25"/>
        <v>1125</v>
      </c>
    </row>
    <row r="40" spans="1:35">
      <c r="A40" s="9" t="str">
        <f>Income_Statement_Qtr!A40</f>
        <v>Pre-Tax Income</v>
      </c>
      <c r="B40" s="150">
        <f t="shared" ref="B40:W40" si="26">SUM(B34,B37:B39)</f>
        <v>2999</v>
      </c>
      <c r="C40" s="150">
        <f t="shared" si="26"/>
        <v>3564</v>
      </c>
      <c r="D40" s="150">
        <f t="shared" si="26"/>
        <v>3180</v>
      </c>
      <c r="E40" s="150">
        <f t="shared" si="26"/>
        <v>1413</v>
      </c>
      <c r="F40" s="150">
        <f t="shared" si="26"/>
        <v>2296</v>
      </c>
      <c r="G40" s="150">
        <f t="shared" si="26"/>
        <v>2755</v>
      </c>
      <c r="H40" s="150">
        <f t="shared" si="26"/>
        <v>4100</v>
      </c>
      <c r="I40" s="150">
        <f t="shared" si="26"/>
        <v>6118</v>
      </c>
      <c r="J40" s="150">
        <f t="shared" si="26"/>
        <v>6866.1384615384613</v>
      </c>
      <c r="K40" s="150">
        <f t="shared" si="26"/>
        <v>5776</v>
      </c>
      <c r="L40" s="150">
        <f t="shared" si="26"/>
        <v>4507</v>
      </c>
      <c r="M40" s="150">
        <f t="shared" si="26"/>
        <v>5393</v>
      </c>
      <c r="N40" s="150">
        <f t="shared" si="26"/>
        <v>5910</v>
      </c>
      <c r="O40" s="150">
        <f t="shared" si="26"/>
        <v>6638</v>
      </c>
      <c r="P40" s="150">
        <f t="shared" si="26"/>
        <v>7137</v>
      </c>
      <c r="Q40" s="150">
        <f t="shared" si="26"/>
        <v>7155</v>
      </c>
      <c r="R40" s="150">
        <f t="shared" si="26"/>
        <v>5568</v>
      </c>
      <c r="S40" s="150">
        <f t="shared" si="26"/>
        <v>10107</v>
      </c>
      <c r="T40" s="150">
        <f t="shared" si="26"/>
        <v>11604</v>
      </c>
      <c r="U40" s="150">
        <f t="shared" si="26"/>
        <v>-2259</v>
      </c>
      <c r="V40" s="150">
        <f t="shared" si="26"/>
        <v>-14476</v>
      </c>
      <c r="W40" s="150">
        <f t="shared" si="26"/>
        <v>-5033</v>
      </c>
      <c r="X40" s="150">
        <f t="shared" ref="X40:AE40" si="27">SUM(X34,X37:X39)</f>
        <v>-5022</v>
      </c>
      <c r="Y40" s="150">
        <f t="shared" si="27"/>
        <v>-2005</v>
      </c>
      <c r="Z40" s="150">
        <f t="shared" si="27"/>
        <v>-12210</v>
      </c>
      <c r="AA40" s="150">
        <f t="shared" si="27"/>
        <v>2635</v>
      </c>
      <c r="AB40" s="150">
        <f t="shared" ref="AB40" si="28">SUM(AB34,AB37:AB39)</f>
        <v>527.84550525461509</v>
      </c>
      <c r="AC40" s="25">
        <f t="shared" si="27"/>
        <v>7327.4181479677891</v>
      </c>
      <c r="AD40" s="25">
        <f t="shared" si="27"/>
        <v>9726.4568067969922</v>
      </c>
      <c r="AE40" s="25">
        <f t="shared" si="27"/>
        <v>10352.145587119929</v>
      </c>
      <c r="AF40" s="25">
        <f t="shared" ref="AF40" si="29">SUM(AF34,AF37:AF39)</f>
        <v>10809.815240890539</v>
      </c>
    </row>
    <row r="41" spans="1:35">
      <c r="A41" s="1" t="str">
        <f>Income_Statement_Qtr!A41</f>
        <v>YoY</v>
      </c>
      <c r="B41" s="89">
        <f>B40/3324-1</f>
        <v>-9.7773766546329743E-2</v>
      </c>
      <c r="C41" s="89">
        <f t="shared" ref="C41:O41" si="30">C40/B40-1</f>
        <v>0.18839613204401462</v>
      </c>
      <c r="D41" s="89">
        <f t="shared" si="30"/>
        <v>-0.1077441077441077</v>
      </c>
      <c r="E41" s="89">
        <f t="shared" si="30"/>
        <v>-0.5556603773584905</v>
      </c>
      <c r="F41" s="89">
        <f t="shared" si="30"/>
        <v>0.62491153573956115</v>
      </c>
      <c r="G41" s="89">
        <f t="shared" si="30"/>
        <v>0.19991289198606266</v>
      </c>
      <c r="H41" s="89">
        <f t="shared" si="30"/>
        <v>0.4882032667876588</v>
      </c>
      <c r="I41" s="89">
        <f t="shared" si="30"/>
        <v>0.49219512195121951</v>
      </c>
      <c r="J41" s="89">
        <f t="shared" si="30"/>
        <v>0.12228480901249772</v>
      </c>
      <c r="K41" s="89">
        <f t="shared" si="30"/>
        <v>-0.15877024147488561</v>
      </c>
      <c r="L41" s="89">
        <f t="shared" si="30"/>
        <v>-0.21970221606648199</v>
      </c>
      <c r="M41" s="89">
        <f t="shared" si="30"/>
        <v>0.19658309296649645</v>
      </c>
      <c r="N41" s="89">
        <f t="shared" si="30"/>
        <v>9.586501019840532E-2</v>
      </c>
      <c r="O41" s="89">
        <f t="shared" si="30"/>
        <v>0.12318104906937388</v>
      </c>
      <c r="P41" s="89">
        <f>P40/O40-1</f>
        <v>7.5173244953299134E-2</v>
      </c>
      <c r="Q41" s="126">
        <f>+Income_Statement_Qtr!F41</f>
        <v>2.5220680958386588E-3</v>
      </c>
      <c r="R41" s="126">
        <f>+Income_Statement_Qtr!K41</f>
        <v>-0.22180293501048221</v>
      </c>
      <c r="S41" s="126">
        <f>+Income_Statement_Qtr!P41</f>
        <v>0.81519396551724133</v>
      </c>
      <c r="T41" s="126">
        <f>+Income_Statement_Qtr!U41</f>
        <v>0.14811516770555055</v>
      </c>
      <c r="U41" s="126">
        <f>+Income_Statement_Qtr!Z41</f>
        <v>-1.1946742502585315</v>
      </c>
      <c r="V41" s="126">
        <f>+Income_Statement_Qtr!AE41</f>
        <v>5.4081451969898184</v>
      </c>
      <c r="W41" s="126">
        <f>+Income_Statement_Qtr!AJ41</f>
        <v>-0.65232108317214699</v>
      </c>
      <c r="X41" s="126">
        <f>+Income_Statement_Qtr!AO41</f>
        <v>-2.1855752036559206E-3</v>
      </c>
      <c r="Y41" s="126">
        <f>+Income_Statement_Qtr!AT41</f>
        <v>-0.60075667064914384</v>
      </c>
      <c r="Z41" s="126">
        <f>+Income_Statement_Qtr!AY41</f>
        <v>5.089775561097257</v>
      </c>
      <c r="AA41" s="126">
        <f>+Income_Statement_Qtr!BD41</f>
        <v>-1.2158067158067158</v>
      </c>
      <c r="AB41" s="126">
        <f>+Income_Statement_Qtr!BI41</f>
        <v>-0.7996791251405635</v>
      </c>
      <c r="AC41" s="112">
        <f>AC40/AB40-1</f>
        <v>12.881747736836912</v>
      </c>
      <c r="AD41" s="112">
        <f>AD40/AC40-1</f>
        <v>0.32740572605298368</v>
      </c>
      <c r="AE41" s="112">
        <f>AE40/AD40-1</f>
        <v>6.4328541497834735E-2</v>
      </c>
      <c r="AF41" s="112">
        <f>AF40/AE40-1</f>
        <v>4.4210125323202565E-2</v>
      </c>
    </row>
    <row r="42" spans="1:35">
      <c r="A42" s="1"/>
      <c r="B42" s="89"/>
      <c r="C42" s="89"/>
      <c r="D42" s="89"/>
      <c r="E42" s="89"/>
      <c r="F42" s="89"/>
      <c r="G42" s="249"/>
      <c r="H42" s="89"/>
      <c r="I42" s="89"/>
      <c r="J42" s="89"/>
      <c r="K42" s="89"/>
      <c r="L42" s="89"/>
      <c r="M42" s="89"/>
      <c r="N42" s="89"/>
      <c r="O42" s="89"/>
      <c r="P42" s="89"/>
      <c r="Q42" s="126"/>
      <c r="R42" s="126"/>
      <c r="S42" s="126"/>
      <c r="T42" s="126"/>
      <c r="U42" s="126"/>
      <c r="V42" s="126"/>
      <c r="W42" s="126"/>
      <c r="X42" s="126"/>
      <c r="Y42" s="126"/>
      <c r="Z42" s="126"/>
      <c r="AA42" s="126"/>
      <c r="AB42" s="126"/>
      <c r="AC42" s="112"/>
      <c r="AD42" s="112"/>
      <c r="AE42" s="112"/>
      <c r="AF42" s="112"/>
    </row>
    <row r="43" spans="1:35">
      <c r="A43" s="14" t="str">
        <f>Income_Statement_Qtr!A43</f>
        <v>Income Tax Benefit/ (Expense)</v>
      </c>
      <c r="B43" s="175">
        <v>-871</v>
      </c>
      <c r="C43" s="175">
        <v>-738</v>
      </c>
      <c r="D43" s="175">
        <v>-861</v>
      </c>
      <c r="E43" s="175">
        <f>185-(913-(1.01*808.9))</f>
        <v>88.989000000000033</v>
      </c>
      <c r="F43" s="175">
        <f>-140-((280+275)-0.44*813)+(219-(0.17*813))-367</f>
        <v>-623.49</v>
      </c>
      <c r="G43" s="175">
        <f>-257-570+(64-(0.05*802.9))</f>
        <v>-803.14499999999998</v>
      </c>
      <c r="H43" s="175">
        <f>-988-((320+15)-(0.24*787.6))+16</f>
        <v>-1117.9760000000001</v>
      </c>
      <c r="I43" s="175">
        <v>-2060</v>
      </c>
      <c r="J43" s="175">
        <f>-1341-(((2.56*729)/(1-35%))-(2.56*729))</f>
        <v>-2345.8984615384616</v>
      </c>
      <c r="K43" s="175">
        <f>-396-((2693+1352)-(3.58*713.4))</f>
        <v>-1887.0280000000002</v>
      </c>
      <c r="L43" s="175">
        <f>-1196-0.5*744.3+0.2*744.3</f>
        <v>-1419.2900000000002</v>
      </c>
      <c r="M43" s="175">
        <f>-1382-0.53*750.6</f>
        <v>-1779.818</v>
      </c>
      <c r="N43" s="175">
        <v>-2007</v>
      </c>
      <c r="O43" s="175">
        <f>-1646-(406-0.34*767.6)</f>
        <v>-1791.0160000000001</v>
      </c>
      <c r="P43" s="175">
        <v>-1691</v>
      </c>
      <c r="Q43" s="124">
        <f>+Income_Statement_Qtr!F43</f>
        <v>-1979</v>
      </c>
      <c r="R43" s="124">
        <f>+Income_Statement_Qtr!K43</f>
        <v>-673</v>
      </c>
      <c r="S43" s="124">
        <f>+Income_Statement_Qtr!P43</f>
        <v>-1649</v>
      </c>
      <c r="T43" s="124">
        <f>+Income_Statement_Qtr!U43</f>
        <v>-1144</v>
      </c>
      <c r="U43" s="124">
        <f>+Income_Statement_Qtr!Z43</f>
        <v>1623</v>
      </c>
      <c r="V43" s="124">
        <f>+Income_Statement_Qtr!AE43</f>
        <v>2535</v>
      </c>
      <c r="W43" s="124">
        <f>+Income_Statement_Qtr!AJ43</f>
        <v>743</v>
      </c>
      <c r="X43" s="124">
        <f>+Income_Statement_Qtr!AO43</f>
        <v>-31</v>
      </c>
      <c r="Y43" s="124">
        <f>+Income_Statement_Qtr!AT43</f>
        <v>-237</v>
      </c>
      <c r="Z43" s="124">
        <f>+Income_Statement_Qtr!AY43</f>
        <v>381</v>
      </c>
      <c r="AA43" s="124">
        <f>+Income_Statement_Qtr!BD43</f>
        <v>-397</v>
      </c>
      <c r="AB43" s="124">
        <f>+Income_Statement_Qtr!BI43</f>
        <v>-52.784550525461512</v>
      </c>
      <c r="AC43" s="40">
        <f>IF(AC40&lt;0,0,-AC40*AC44)</f>
        <v>-1450.8287932976223</v>
      </c>
      <c r="AD43" s="40">
        <f>IF(AD40&lt;0,0,-AD40*AD44)</f>
        <v>-1989.0604169899848</v>
      </c>
      <c r="AE43" s="40">
        <f>IF(AE40&lt;0,0,-AE40*AE44)</f>
        <v>-2122.1898453595854</v>
      </c>
      <c r="AF43" s="40">
        <f>IF(AF40&lt;0,0,-AF40*AF44)</f>
        <v>-2216.0121243825602</v>
      </c>
    </row>
    <row r="44" spans="1:35">
      <c r="A44" s="1" t="str">
        <f>Income_Statement_Qtr!A44</f>
        <v>Tax Rate</v>
      </c>
      <c r="B44" s="89">
        <f>IF(B43&gt;0,"NM",-B43/B40)</f>
        <v>0.29043014338112705</v>
      </c>
      <c r="C44" s="89">
        <f t="shared" ref="C44:P44" si="31">IF(C43&gt;0,"NM",-C43/C40)</f>
        <v>0.20707070707070707</v>
      </c>
      <c r="D44" s="89">
        <f t="shared" si="31"/>
        <v>0.27075471698113207</v>
      </c>
      <c r="E44" s="89" t="str">
        <f t="shared" si="31"/>
        <v>NM</v>
      </c>
      <c r="F44" s="89">
        <f t="shared" si="31"/>
        <v>0.27155487804878048</v>
      </c>
      <c r="G44" s="89">
        <f t="shared" si="31"/>
        <v>0.29152268602540832</v>
      </c>
      <c r="H44" s="89">
        <f t="shared" si="31"/>
        <v>0.27267707317073175</v>
      </c>
      <c r="I44" s="89">
        <f t="shared" si="31"/>
        <v>0.33671134357633214</v>
      </c>
      <c r="J44" s="89">
        <f t="shared" si="31"/>
        <v>0.34166197997306741</v>
      </c>
      <c r="K44" s="89">
        <f t="shared" si="31"/>
        <v>0.32670152354570642</v>
      </c>
      <c r="L44" s="89">
        <f t="shared" si="31"/>
        <v>0.31490792101175952</v>
      </c>
      <c r="M44" s="89">
        <f t="shared" si="31"/>
        <v>0.33002373447061006</v>
      </c>
      <c r="N44" s="89">
        <f t="shared" si="31"/>
        <v>0.33959390862944161</v>
      </c>
      <c r="O44" s="452">
        <f t="shared" si="31"/>
        <v>0.26981259415486591</v>
      </c>
      <c r="P44" s="452">
        <f t="shared" si="31"/>
        <v>0.23693428611461398</v>
      </c>
      <c r="Q44" s="384">
        <f>+Income_Statement_Qtr!F44</f>
        <v>0.27658979734451433</v>
      </c>
      <c r="R44" s="384">
        <f>+Income_Statement_Qtr!K44</f>
        <v>0.12086925287356322</v>
      </c>
      <c r="S44" s="384">
        <f>+Income_Statement_Qtr!P44</f>
        <v>0.16315424953002869</v>
      </c>
      <c r="T44" s="384">
        <f>+Income_Statement_Qtr!U44</f>
        <v>9.8586694243364359E-2</v>
      </c>
      <c r="U44" s="384" t="str">
        <f>+Income_Statement_Qtr!Z44</f>
        <v>NM</v>
      </c>
      <c r="V44" s="384" t="str">
        <f>+Income_Statement_Qtr!AE44</f>
        <v>NM</v>
      </c>
      <c r="W44" s="384" t="str">
        <f>+Income_Statement_Qtr!AJ44</f>
        <v>NM</v>
      </c>
      <c r="X44" s="384">
        <f>+Income_Statement_Qtr!AO44</f>
        <v>-6.1728395061728392E-3</v>
      </c>
      <c r="Y44" s="384">
        <f>+Income_Statement_Qtr!AT44</f>
        <v>-0.11820448877805487</v>
      </c>
      <c r="Z44" s="384" t="str">
        <f>+Income_Statement_Qtr!AY44</f>
        <v>NM</v>
      </c>
      <c r="AA44" s="384">
        <f>+Income_Statement_Qtr!BD44</f>
        <v>-5.9150000000000001E-2</v>
      </c>
      <c r="AB44" s="384">
        <f>+Income_Statement_Qtr!BI44</f>
        <v>0.1</v>
      </c>
      <c r="AC44" s="276">
        <v>0.19800000000000001</v>
      </c>
      <c r="AD44" s="276">
        <v>0.20449999999999999</v>
      </c>
      <c r="AE44" s="276">
        <v>0.20499999999999999</v>
      </c>
      <c r="AF44" s="276">
        <v>0.20499999999999999</v>
      </c>
    </row>
    <row r="45" spans="1:35">
      <c r="A45" s="4"/>
      <c r="B45" s="249"/>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c r="AC45" s="36"/>
      <c r="AD45" s="36"/>
      <c r="AE45" s="36"/>
      <c r="AF45" s="36"/>
    </row>
    <row r="46" spans="1:35">
      <c r="A46" s="9" t="str">
        <f>Income_Statement_Qtr!A46</f>
        <v>Net earnings</v>
      </c>
      <c r="B46" s="150">
        <f>B43+B40</f>
        <v>2128</v>
      </c>
      <c r="C46" s="150">
        <f t="shared" ref="C46:W46" si="32">C43+C40</f>
        <v>2826</v>
      </c>
      <c r="D46" s="150">
        <f t="shared" si="32"/>
        <v>2319</v>
      </c>
      <c r="E46" s="150">
        <f t="shared" si="32"/>
        <v>1501.989</v>
      </c>
      <c r="F46" s="150">
        <f t="shared" si="32"/>
        <v>1672.51</v>
      </c>
      <c r="G46" s="150">
        <f t="shared" si="32"/>
        <v>1951.855</v>
      </c>
      <c r="H46" s="150">
        <f t="shared" si="32"/>
        <v>2982.0239999999999</v>
      </c>
      <c r="I46" s="150">
        <f t="shared" si="32"/>
        <v>4058</v>
      </c>
      <c r="J46" s="150">
        <f t="shared" si="32"/>
        <v>4520.24</v>
      </c>
      <c r="K46" s="150">
        <f t="shared" si="32"/>
        <v>3888.9719999999998</v>
      </c>
      <c r="L46" s="150">
        <f t="shared" si="32"/>
        <v>3087.71</v>
      </c>
      <c r="M46" s="150">
        <f t="shared" si="32"/>
        <v>3613.1819999999998</v>
      </c>
      <c r="N46" s="150">
        <f t="shared" si="32"/>
        <v>3903</v>
      </c>
      <c r="O46" s="150">
        <f t="shared" si="32"/>
        <v>4846.9840000000004</v>
      </c>
      <c r="P46" s="150">
        <f t="shared" si="32"/>
        <v>5446</v>
      </c>
      <c r="Q46" s="150">
        <f t="shared" si="32"/>
        <v>5176</v>
      </c>
      <c r="R46" s="150">
        <f t="shared" si="32"/>
        <v>4895</v>
      </c>
      <c r="S46" s="150">
        <f t="shared" si="32"/>
        <v>8458</v>
      </c>
      <c r="T46" s="150">
        <f t="shared" si="32"/>
        <v>10460</v>
      </c>
      <c r="U46" s="150">
        <f t="shared" si="32"/>
        <v>-636</v>
      </c>
      <c r="V46" s="150">
        <f t="shared" si="32"/>
        <v>-11941</v>
      </c>
      <c r="W46" s="150">
        <f t="shared" si="32"/>
        <v>-4290</v>
      </c>
      <c r="X46" s="150">
        <f t="shared" ref="X46:AD46" si="33">X43+X40</f>
        <v>-5053</v>
      </c>
      <c r="Y46" s="150">
        <f t="shared" si="33"/>
        <v>-2242</v>
      </c>
      <c r="Z46" s="150">
        <f t="shared" si="33"/>
        <v>-11829</v>
      </c>
      <c r="AA46" s="150">
        <f t="shared" si="33"/>
        <v>2238</v>
      </c>
      <c r="AB46" s="150">
        <f t="shared" ref="AB46" si="34">AB43+AB40</f>
        <v>475.06095472915359</v>
      </c>
      <c r="AC46" s="25">
        <f t="shared" si="33"/>
        <v>5876.5893546701664</v>
      </c>
      <c r="AD46" s="25">
        <f t="shared" si="33"/>
        <v>7737.3963898070069</v>
      </c>
      <c r="AE46" s="25">
        <f t="shared" ref="AE46:AF46" si="35">AE43+AE40</f>
        <v>8229.9557417603428</v>
      </c>
      <c r="AF46" s="25">
        <f t="shared" si="35"/>
        <v>8593.8031165079792</v>
      </c>
    </row>
    <row r="47" spans="1:35">
      <c r="A47" s="4"/>
      <c r="B47" s="249"/>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36"/>
      <c r="AD47" s="36"/>
      <c r="AE47" s="36"/>
      <c r="AF47" s="36"/>
    </row>
    <row r="48" spans="1:35">
      <c r="A48" s="1" t="str">
        <f>Income_Statement_Qtr!A48</f>
        <v>Net Loss Attributable to Noncontrolling Interest</v>
      </c>
      <c r="B48" s="154">
        <v>0</v>
      </c>
      <c r="C48" s="154">
        <v>0</v>
      </c>
      <c r="D48" s="154">
        <v>0</v>
      </c>
      <c r="E48" s="154">
        <v>0</v>
      </c>
      <c r="F48" s="154">
        <v>0</v>
      </c>
      <c r="G48" s="154">
        <v>0</v>
      </c>
      <c r="H48" s="154">
        <v>0</v>
      </c>
      <c r="I48" s="154">
        <v>0</v>
      </c>
      <c r="J48" s="154">
        <v>0</v>
      </c>
      <c r="K48" s="154">
        <v>0</v>
      </c>
      <c r="L48" s="154">
        <v>0</v>
      </c>
      <c r="M48" s="154">
        <v>0</v>
      </c>
      <c r="N48" s="154">
        <v>0</v>
      </c>
      <c r="O48" s="154">
        <v>0</v>
      </c>
      <c r="P48" s="154">
        <v>0</v>
      </c>
      <c r="Q48" s="123">
        <f>+Income_Statement_Qtr!F48</f>
        <v>0</v>
      </c>
      <c r="R48" s="123">
        <f>+Income_Statement_Qtr!K48</f>
        <v>0</v>
      </c>
      <c r="S48" s="123">
        <f>+Income_Statement_Qtr!P48</f>
        <v>0</v>
      </c>
      <c r="T48" s="123">
        <f>+Income_Statement_Qtr!U48</f>
        <v>0</v>
      </c>
      <c r="U48" s="123">
        <f>+Income_Statement_Qtr!Z48</f>
        <v>0</v>
      </c>
      <c r="V48" s="123">
        <f>+Income_Statement_Qtr!AE48</f>
        <v>68</v>
      </c>
      <c r="W48" s="123">
        <f>+Income_Statement_Qtr!AJ48</f>
        <v>88</v>
      </c>
      <c r="X48" s="123">
        <f>+Income_Statement_Qtr!AO48</f>
        <v>118</v>
      </c>
      <c r="Y48" s="123">
        <f>+Income_Statement_Qtr!AT48</f>
        <v>19.8</v>
      </c>
      <c r="Z48" s="123">
        <f>+Income_Statement_Qtr!AY48</f>
        <v>12</v>
      </c>
      <c r="AA48" s="123">
        <f>+Income_Statement_Qtr!BD48</f>
        <v>-3</v>
      </c>
      <c r="AB48" s="123">
        <f>+Income_Statement_Qtr!BI48</f>
        <v>0</v>
      </c>
      <c r="AC48" s="421">
        <v>20</v>
      </c>
      <c r="AD48" s="421">
        <v>20</v>
      </c>
      <c r="AE48" s="421">
        <v>20</v>
      </c>
      <c r="AF48" s="421">
        <v>20</v>
      </c>
    </row>
    <row r="49" spans="1:32">
      <c r="A49" s="1" t="str">
        <f>Income_Statement_Qtr!A49</f>
        <v>Preferred Stock Dividends</v>
      </c>
      <c r="B49" s="154"/>
      <c r="C49" s="154"/>
      <c r="D49" s="154"/>
      <c r="E49" s="154"/>
      <c r="F49" s="154"/>
      <c r="G49" s="154"/>
      <c r="H49" s="154"/>
      <c r="I49" s="154"/>
      <c r="J49" s="154"/>
      <c r="K49" s="154"/>
      <c r="L49" s="154"/>
      <c r="M49" s="154"/>
      <c r="N49" s="154"/>
      <c r="O49" s="154"/>
      <c r="P49" s="154"/>
      <c r="Q49" s="123"/>
      <c r="R49" s="123"/>
      <c r="S49" s="123"/>
      <c r="T49" s="123"/>
      <c r="U49" s="123"/>
      <c r="V49" s="123"/>
      <c r="W49" s="123"/>
      <c r="X49" s="123"/>
      <c r="Y49" s="123"/>
      <c r="Z49" s="123">
        <f>+Income_Statement_Qtr!AY49</f>
        <v>-58</v>
      </c>
      <c r="AA49" s="123">
        <f>+Income_Statement_Qtr!BD49</f>
        <v>-345</v>
      </c>
      <c r="AB49" s="123">
        <f>+Income_Statement_Qtr!BI49</f>
        <v>-346</v>
      </c>
      <c r="AC49" s="421">
        <f>AB49</f>
        <v>-346</v>
      </c>
      <c r="AD49" s="421">
        <v>0</v>
      </c>
      <c r="AE49" s="421">
        <v>0</v>
      </c>
      <c r="AF49" s="421">
        <v>0</v>
      </c>
    </row>
    <row r="50" spans="1:32">
      <c r="A50" s="9" t="str">
        <f>Income_Statement_Qtr!A50</f>
        <v>Net Earnings Attributable to Boeing Shareholders</v>
      </c>
      <c r="B50" s="150">
        <f>B46+B48</f>
        <v>2128</v>
      </c>
      <c r="C50" s="150">
        <f t="shared" ref="C50:W50" si="36">C46+C48</f>
        <v>2826</v>
      </c>
      <c r="D50" s="150">
        <f t="shared" si="36"/>
        <v>2319</v>
      </c>
      <c r="E50" s="150">
        <f t="shared" si="36"/>
        <v>1501.989</v>
      </c>
      <c r="F50" s="150">
        <f t="shared" si="36"/>
        <v>1672.51</v>
      </c>
      <c r="G50" s="150">
        <f t="shared" si="36"/>
        <v>1951.855</v>
      </c>
      <c r="H50" s="150">
        <f t="shared" si="36"/>
        <v>2982.0239999999999</v>
      </c>
      <c r="I50" s="150">
        <f t="shared" si="36"/>
        <v>4058</v>
      </c>
      <c r="J50" s="150">
        <f t="shared" si="36"/>
        <v>4520.24</v>
      </c>
      <c r="K50" s="150">
        <f t="shared" si="36"/>
        <v>3888.9719999999998</v>
      </c>
      <c r="L50" s="150">
        <f t="shared" si="36"/>
        <v>3087.71</v>
      </c>
      <c r="M50" s="150">
        <f t="shared" si="36"/>
        <v>3613.1819999999998</v>
      </c>
      <c r="N50" s="150">
        <f t="shared" si="36"/>
        <v>3903</v>
      </c>
      <c r="O50" s="150">
        <f t="shared" si="36"/>
        <v>4846.9840000000004</v>
      </c>
      <c r="P50" s="150">
        <f t="shared" si="36"/>
        <v>5446</v>
      </c>
      <c r="Q50" s="150">
        <f t="shared" si="36"/>
        <v>5176</v>
      </c>
      <c r="R50" s="150">
        <f t="shared" si="36"/>
        <v>4895</v>
      </c>
      <c r="S50" s="150">
        <f t="shared" si="36"/>
        <v>8458</v>
      </c>
      <c r="T50" s="150">
        <f t="shared" si="36"/>
        <v>10460</v>
      </c>
      <c r="U50" s="150">
        <f t="shared" si="36"/>
        <v>-636</v>
      </c>
      <c r="V50" s="150">
        <f t="shared" si="36"/>
        <v>-11873</v>
      </c>
      <c r="W50" s="150">
        <f t="shared" si="36"/>
        <v>-4202</v>
      </c>
      <c r="X50" s="150">
        <f>X46+X48</f>
        <v>-4935</v>
      </c>
      <c r="Y50" s="150">
        <f>Y46+Y48</f>
        <v>-2222.1999999999998</v>
      </c>
      <c r="Z50" s="150">
        <f>Z46+Z48+Z49</f>
        <v>-11875</v>
      </c>
      <c r="AA50" s="150">
        <f>AA46+AA48+AA49</f>
        <v>1890</v>
      </c>
      <c r="AB50" s="150">
        <f>AB46+AB48+AB49</f>
        <v>129.06095472915359</v>
      </c>
      <c r="AC50" s="150">
        <f t="shared" ref="AC50:AD50" si="37">AC46+AC48+AC49</f>
        <v>5550.5893546701664</v>
      </c>
      <c r="AD50" s="150">
        <f t="shared" si="37"/>
        <v>7757.3963898070069</v>
      </c>
      <c r="AE50" s="150">
        <f t="shared" ref="AE50:AF50" si="38">AE46+AE48+AE49</f>
        <v>8249.9557417603428</v>
      </c>
      <c r="AF50" s="150">
        <f t="shared" si="38"/>
        <v>8613.8031165079792</v>
      </c>
    </row>
    <row r="51" spans="1:32">
      <c r="A51" s="1" t="str">
        <f>Income_Statement_Qtr!A51</f>
        <v>YoY</v>
      </c>
      <c r="B51" s="89">
        <f>B50/2309-1</f>
        <v>-7.8388912949328704E-2</v>
      </c>
      <c r="C51" s="89">
        <f t="shared" ref="C51:P51" si="39">C50/B50-1</f>
        <v>0.32800751879699241</v>
      </c>
      <c r="D51" s="89">
        <f t="shared" si="39"/>
        <v>-0.17940552016985134</v>
      </c>
      <c r="E51" s="89">
        <f t="shared" si="39"/>
        <v>-0.35231177231565325</v>
      </c>
      <c r="F51" s="89">
        <f t="shared" si="39"/>
        <v>0.11353012571996191</v>
      </c>
      <c r="G51" s="89">
        <f t="shared" si="39"/>
        <v>0.16702142289134292</v>
      </c>
      <c r="H51" s="89">
        <f t="shared" si="39"/>
        <v>0.52778971798622321</v>
      </c>
      <c r="I51" s="89">
        <f t="shared" si="39"/>
        <v>0.36082070432699398</v>
      </c>
      <c r="J51" s="89">
        <f t="shared" si="39"/>
        <v>0.11390832922621974</v>
      </c>
      <c r="K51" s="89">
        <f t="shared" si="39"/>
        <v>-0.13965364670902436</v>
      </c>
      <c r="L51" s="89">
        <f t="shared" si="39"/>
        <v>-0.20603439675060653</v>
      </c>
      <c r="M51" s="89">
        <f t="shared" si="39"/>
        <v>0.17018178520651217</v>
      </c>
      <c r="N51" s="89">
        <f t="shared" si="39"/>
        <v>8.021129298219698E-2</v>
      </c>
      <c r="O51" s="89">
        <f t="shared" si="39"/>
        <v>0.24186113246220864</v>
      </c>
      <c r="P51" s="89">
        <f t="shared" si="39"/>
        <v>0.12358530583142002</v>
      </c>
      <c r="Q51" s="126">
        <f>+Income_Statement_Qtr!F51</f>
        <v>-4.9577671685640867E-2</v>
      </c>
      <c r="R51" s="126">
        <f>+Income_Statement_Qtr!K51</f>
        <v>-5.4289026275115893E-2</v>
      </c>
      <c r="S51" s="126">
        <f>+Income_Statement_Qtr!P51</f>
        <v>0.727885597548519</v>
      </c>
      <c r="T51" s="126">
        <f>+Income_Statement_Qtr!U51</f>
        <v>0.23669898321116101</v>
      </c>
      <c r="U51" s="126">
        <f>+Income_Statement_Qtr!Z51</f>
        <v>-1.0608030592734226</v>
      </c>
      <c r="V51" s="126">
        <f>+Income_Statement_Qtr!AE51</f>
        <v>17.668238993710691</v>
      </c>
      <c r="W51" s="126">
        <f>+Income_Statement_Qtr!AJ51</f>
        <v>-0.64608776214941466</v>
      </c>
      <c r="X51" s="126">
        <f>+Income_Statement_Qtr!AO51</f>
        <v>0.17444074250356967</v>
      </c>
      <c r="Y51" s="126">
        <f>+Income_Statement_Qtr!AT51</f>
        <v>-0.54970618034447827</v>
      </c>
      <c r="Z51" s="126">
        <f>+Income_Statement_Qtr!AY51</f>
        <v>4.3438034380343806</v>
      </c>
      <c r="AA51" s="126">
        <f>+Income_Statement_Qtr!BD51</f>
        <v>-1.1591578947368422</v>
      </c>
      <c r="AB51" s="126">
        <f>+Income_Statement_Qtr!BI51</f>
        <v>-0.93171378056658538</v>
      </c>
      <c r="AC51" s="112">
        <f>AC50/AB50-1</f>
        <v>42.007502666616666</v>
      </c>
      <c r="AD51" s="112">
        <f>AD50/AC50-1</f>
        <v>0.39758067011029596</v>
      </c>
      <c r="AE51" s="112">
        <f>AE50/AD50-1</f>
        <v>6.3495447080742728E-2</v>
      </c>
      <c r="AF51" s="112">
        <f>AF50/AE50-1</f>
        <v>4.4102948686849608E-2</v>
      </c>
    </row>
    <row r="52" spans="1:32">
      <c r="A52" s="13"/>
      <c r="B52" s="151"/>
      <c r="C52" s="151"/>
      <c r="D52" s="151"/>
      <c r="E52" s="151"/>
      <c r="F52" s="151"/>
      <c r="G52" s="287"/>
      <c r="H52" s="287"/>
      <c r="I52" s="151"/>
      <c r="J52" s="151"/>
      <c r="K52" s="151"/>
      <c r="L52" s="151"/>
      <c r="M52" s="176"/>
      <c r="N52" s="151"/>
      <c r="O52" s="151"/>
      <c r="P52" s="151"/>
      <c r="Q52" s="151"/>
      <c r="R52" s="151"/>
      <c r="S52" s="151"/>
      <c r="T52" s="151"/>
      <c r="U52" s="151"/>
      <c r="V52" s="151"/>
      <c r="W52" s="151"/>
      <c r="X52" s="151"/>
      <c r="Y52" s="151"/>
      <c r="Z52" s="151"/>
      <c r="AA52" s="151"/>
      <c r="AB52" s="151"/>
      <c r="AC52" s="27"/>
      <c r="AD52" s="27"/>
      <c r="AE52" s="27"/>
      <c r="AF52" s="27"/>
    </row>
    <row r="53" spans="1:32">
      <c r="A53" s="1" t="str">
        <f>Income_Statement_Qtr!A53</f>
        <v>Non-Recurring Charges</v>
      </c>
      <c r="B53" s="154">
        <v>0</v>
      </c>
      <c r="C53" s="154">
        <v>0</v>
      </c>
      <c r="D53" s="154">
        <v>0</v>
      </c>
      <c r="E53" s="154">
        <f>-1.01*808.9</f>
        <v>-816.98900000000003</v>
      </c>
      <c r="F53" s="154">
        <f>-0.44*813+0.17*813+367</f>
        <v>147.48999999999998</v>
      </c>
      <c r="G53" s="154">
        <f>570+(0.05*802.9)</f>
        <v>610.14499999999998</v>
      </c>
      <c r="H53" s="154">
        <f>-0.24*787.6-571-16</f>
        <v>-776.024</v>
      </c>
      <c r="I53" s="154">
        <v>0</v>
      </c>
      <c r="J53" s="154">
        <f>-(2.56*729)</f>
        <v>-1866.24</v>
      </c>
      <c r="K53" s="154">
        <f>-(3.58*713.4)</f>
        <v>-2553.9719999999998</v>
      </c>
      <c r="L53" s="154">
        <f>0.5*744.3-0.2*744.3</f>
        <v>223.29</v>
      </c>
      <c r="M53" s="154">
        <f>0.53*750.6</f>
        <v>397.81800000000004</v>
      </c>
      <c r="N53" s="154">
        <v>0</v>
      </c>
      <c r="O53" s="154">
        <f>-0.34*767.6</f>
        <v>-260.98400000000004</v>
      </c>
      <c r="P53" s="154">
        <v>0</v>
      </c>
      <c r="Q53" s="123">
        <f>+Income_Statement_Qtr!F53</f>
        <v>0</v>
      </c>
      <c r="R53" s="123">
        <f>+Income_Statement_Qtr!K53</f>
        <v>0</v>
      </c>
      <c r="S53" s="123">
        <f>+Income_Statement_Qtr!P53</f>
        <v>0</v>
      </c>
      <c r="T53" s="123">
        <f>+Income_Statement_Qtr!U53</f>
        <v>0</v>
      </c>
      <c r="U53" s="123">
        <f>+Income_Statement_Qtr!Z53</f>
        <v>0</v>
      </c>
      <c r="V53" s="123">
        <f>+Income_Statement_Qtr!AE53</f>
        <v>0</v>
      </c>
      <c r="W53" s="123">
        <f>+Income_Statement_Qtr!AJ53</f>
        <v>0</v>
      </c>
      <c r="X53" s="123">
        <f>+Income_Statement_Qtr!AO53</f>
        <v>0</v>
      </c>
      <c r="Y53" s="123">
        <f>+Income_Statement_Qtr!AT53</f>
        <v>0</v>
      </c>
      <c r="Z53" s="123">
        <f>+Income_Statement_Qtr!AY53</f>
        <v>0</v>
      </c>
      <c r="AA53" s="123">
        <f>+Income_Statement_Qtr!BD53</f>
        <v>0</v>
      </c>
      <c r="AB53" s="123">
        <f>+Income_Statement_Qtr!BI53</f>
        <v>0</v>
      </c>
      <c r="AC53" s="43">
        <v>0</v>
      </c>
      <c r="AD53" s="43">
        <v>0</v>
      </c>
      <c r="AE53" s="43">
        <v>0</v>
      </c>
      <c r="AF53" s="43">
        <v>0</v>
      </c>
    </row>
    <row r="54" spans="1:32">
      <c r="A54" s="1" t="str">
        <f>Income_Statement_Qtr!A54</f>
        <v>Discontinued Operations</v>
      </c>
      <c r="B54" s="154">
        <v>0</v>
      </c>
      <c r="C54" s="154">
        <v>0</v>
      </c>
      <c r="D54" s="154">
        <v>0</v>
      </c>
      <c r="E54" s="154">
        <v>33</v>
      </c>
      <c r="F54" s="154">
        <f>42+10</f>
        <v>52</v>
      </c>
      <c r="G54" s="154">
        <v>-7</v>
      </c>
      <c r="H54" s="154">
        <v>9</v>
      </c>
      <c r="I54" s="154">
        <v>16</v>
      </c>
      <c r="J54" s="154">
        <v>18</v>
      </c>
      <c r="K54" s="154">
        <v>-23</v>
      </c>
      <c r="L54" s="154">
        <v>-4</v>
      </c>
      <c r="M54" s="154">
        <v>7</v>
      </c>
      <c r="N54" s="154">
        <v>-3</v>
      </c>
      <c r="O54" s="154">
        <v>-1</v>
      </c>
      <c r="P54" s="154">
        <v>0</v>
      </c>
      <c r="Q54" s="123">
        <f>+Income_Statement_Qtr!F54</f>
        <v>0</v>
      </c>
      <c r="R54" s="123">
        <f>+Income_Statement_Qtr!K54</f>
        <v>0</v>
      </c>
      <c r="S54" s="123">
        <f>+Income_Statement_Qtr!P54</f>
        <v>0</v>
      </c>
      <c r="T54" s="123">
        <f>+Income_Statement_Qtr!U54</f>
        <v>0</v>
      </c>
      <c r="U54" s="123">
        <f>+Income_Statement_Qtr!Z54</f>
        <v>0</v>
      </c>
      <c r="V54" s="123">
        <f>+Income_Statement_Qtr!AE54</f>
        <v>0</v>
      </c>
      <c r="W54" s="123">
        <f>+Income_Statement_Qtr!AJ54</f>
        <v>0</v>
      </c>
      <c r="X54" s="123">
        <f>+Income_Statement_Qtr!AO54</f>
        <v>0</v>
      </c>
      <c r="Y54" s="123">
        <f>+Income_Statement_Qtr!AT54</f>
        <v>0</v>
      </c>
      <c r="Z54" s="123">
        <f>+Income_Statement_Qtr!AY54</f>
        <v>0</v>
      </c>
      <c r="AA54" s="123">
        <f>+Income_Statement_Qtr!BD54</f>
        <v>0</v>
      </c>
      <c r="AB54" s="123">
        <f>+Income_Statement_Qtr!BI54</f>
        <v>0</v>
      </c>
      <c r="AC54" s="43">
        <v>0</v>
      </c>
      <c r="AD54" s="43">
        <v>0</v>
      </c>
      <c r="AE54" s="43">
        <v>0</v>
      </c>
      <c r="AF54" s="43">
        <v>0</v>
      </c>
    </row>
    <row r="55" spans="1:32">
      <c r="A55" s="1" t="str">
        <f>Income_Statement_Qtr!A55</f>
        <v>Cumulative Effect of Accounting Change</v>
      </c>
      <c r="B55" s="154">
        <v>0</v>
      </c>
      <c r="C55" s="154">
        <v>1</v>
      </c>
      <c r="D55" s="154">
        <v>-1827</v>
      </c>
      <c r="E55" s="154">
        <v>0</v>
      </c>
      <c r="F55" s="154">
        <v>0</v>
      </c>
      <c r="G55" s="154">
        <v>17</v>
      </c>
      <c r="H55" s="154">
        <v>0</v>
      </c>
      <c r="I55" s="154">
        <v>0</v>
      </c>
      <c r="J55" s="154">
        <v>0</v>
      </c>
      <c r="K55" s="154">
        <v>0</v>
      </c>
      <c r="L55" s="154">
        <v>0</v>
      </c>
      <c r="M55" s="154">
        <v>0</v>
      </c>
      <c r="N55" s="154">
        <v>0</v>
      </c>
      <c r="O55" s="154">
        <v>0</v>
      </c>
      <c r="P55" s="154">
        <v>0</v>
      </c>
      <c r="Q55" s="123">
        <f>+Income_Statement_Qtr!F55</f>
        <v>0</v>
      </c>
      <c r="R55" s="123">
        <f>+Income_Statement_Qtr!K55</f>
        <v>0</v>
      </c>
      <c r="S55" s="123">
        <f>+Income_Statement_Qtr!P55</f>
        <v>0</v>
      </c>
      <c r="T55" s="123">
        <f>+Income_Statement_Qtr!U55</f>
        <v>0</v>
      </c>
      <c r="U55" s="123">
        <f>+Income_Statement_Qtr!Z55</f>
        <v>0</v>
      </c>
      <c r="V55" s="123">
        <f>+Income_Statement_Qtr!AE55</f>
        <v>0</v>
      </c>
      <c r="W55" s="123">
        <f>+Income_Statement_Qtr!AJ55</f>
        <v>0</v>
      </c>
      <c r="X55" s="123">
        <f>+Income_Statement_Qtr!AO55</f>
        <v>0</v>
      </c>
      <c r="Y55" s="123">
        <f>+Income_Statement_Qtr!AT55</f>
        <v>0</v>
      </c>
      <c r="Z55" s="123">
        <f>+Income_Statement_Qtr!AY55</f>
        <v>0</v>
      </c>
      <c r="AA55" s="123">
        <f>+Income_Statement_Qtr!BD55</f>
        <v>0</v>
      </c>
      <c r="AB55" s="123">
        <f>+Income_Statement_Qtr!BI55</f>
        <v>0</v>
      </c>
      <c r="AC55" s="43">
        <v>0</v>
      </c>
      <c r="AD55" s="43">
        <v>0</v>
      </c>
      <c r="AE55" s="43">
        <v>0</v>
      </c>
      <c r="AF55" s="43">
        <v>0</v>
      </c>
    </row>
    <row r="56" spans="1:32">
      <c r="A56" s="9" t="str">
        <f>Income_Statement_Qtr!A56</f>
        <v>GAAP Net Earnings</v>
      </c>
      <c r="B56" s="150">
        <f>B46+B53+B54+B55</f>
        <v>2128</v>
      </c>
      <c r="C56" s="150">
        <f t="shared" ref="C56:W56" si="40">C46+C53+C54+C55</f>
        <v>2827</v>
      </c>
      <c r="D56" s="150">
        <f t="shared" si="40"/>
        <v>492</v>
      </c>
      <c r="E56" s="150">
        <f t="shared" si="40"/>
        <v>718</v>
      </c>
      <c r="F56" s="150">
        <f t="shared" si="40"/>
        <v>1872</v>
      </c>
      <c r="G56" s="150">
        <f t="shared" si="40"/>
        <v>2572</v>
      </c>
      <c r="H56" s="150">
        <f t="shared" si="40"/>
        <v>2215</v>
      </c>
      <c r="I56" s="150">
        <f t="shared" si="40"/>
        <v>4074</v>
      </c>
      <c r="J56" s="150">
        <f t="shared" si="40"/>
        <v>2672</v>
      </c>
      <c r="K56" s="150">
        <f t="shared" si="40"/>
        <v>1312</v>
      </c>
      <c r="L56" s="150">
        <f t="shared" si="40"/>
        <v>3307</v>
      </c>
      <c r="M56" s="150">
        <f t="shared" si="40"/>
        <v>4018</v>
      </c>
      <c r="N56" s="150">
        <f t="shared" si="40"/>
        <v>3900</v>
      </c>
      <c r="O56" s="150">
        <f t="shared" si="40"/>
        <v>4585</v>
      </c>
      <c r="P56" s="150">
        <f t="shared" si="40"/>
        <v>5446</v>
      </c>
      <c r="Q56" s="150">
        <f t="shared" si="40"/>
        <v>5176</v>
      </c>
      <c r="R56" s="150">
        <f t="shared" si="40"/>
        <v>4895</v>
      </c>
      <c r="S56" s="150">
        <f t="shared" si="40"/>
        <v>8458</v>
      </c>
      <c r="T56" s="150">
        <f t="shared" si="40"/>
        <v>10460</v>
      </c>
      <c r="U56" s="150">
        <f t="shared" si="40"/>
        <v>-636</v>
      </c>
      <c r="V56" s="150">
        <f t="shared" si="40"/>
        <v>-11941</v>
      </c>
      <c r="W56" s="150">
        <f t="shared" si="40"/>
        <v>-4290</v>
      </c>
      <c r="X56" s="150">
        <f t="shared" ref="X56:AE56" si="41">X46+X53+X54+X55</f>
        <v>-5053</v>
      </c>
      <c r="Y56" s="150">
        <f t="shared" si="41"/>
        <v>-2242</v>
      </c>
      <c r="Z56" s="150">
        <f t="shared" si="41"/>
        <v>-11829</v>
      </c>
      <c r="AA56" s="150">
        <f t="shared" si="41"/>
        <v>2238</v>
      </c>
      <c r="AB56" s="150">
        <f t="shared" ref="AB56" si="42">AB46+AB53+AB54+AB55</f>
        <v>475.06095472915359</v>
      </c>
      <c r="AC56" s="25">
        <f t="shared" si="41"/>
        <v>5876.5893546701664</v>
      </c>
      <c r="AD56" s="25">
        <f t="shared" si="41"/>
        <v>7737.3963898070069</v>
      </c>
      <c r="AE56" s="25">
        <f t="shared" si="41"/>
        <v>8229.9557417603428</v>
      </c>
      <c r="AF56" s="25">
        <f t="shared" ref="AF56" si="43">AF46+AF53+AF54+AF55</f>
        <v>8593.8031165079792</v>
      </c>
    </row>
    <row r="57" spans="1:32">
      <c r="A57" s="1" t="str">
        <f>Income_Statement_Qtr!A57</f>
        <v>YoY</v>
      </c>
      <c r="B57" s="89">
        <f>B56/2309-1</f>
        <v>-7.8388912949328704E-2</v>
      </c>
      <c r="C57" s="89">
        <f t="shared" ref="C57:P57" si="44">C56/B56-1</f>
        <v>0.32847744360902253</v>
      </c>
      <c r="D57" s="89">
        <f t="shared" si="44"/>
        <v>-0.82596391934913338</v>
      </c>
      <c r="E57" s="89">
        <f t="shared" si="44"/>
        <v>0.45934959349593485</v>
      </c>
      <c r="F57" s="89">
        <f t="shared" si="44"/>
        <v>1.6072423398328692</v>
      </c>
      <c r="G57" s="89">
        <f t="shared" si="44"/>
        <v>0.37393162393162394</v>
      </c>
      <c r="H57" s="89">
        <f t="shared" si="44"/>
        <v>-0.13880248833592534</v>
      </c>
      <c r="I57" s="89">
        <f t="shared" si="44"/>
        <v>0.83927765237020324</v>
      </c>
      <c r="J57" s="89">
        <f t="shared" si="44"/>
        <v>-0.34413352970054001</v>
      </c>
      <c r="K57" s="89">
        <f t="shared" si="44"/>
        <v>-0.50898203592814373</v>
      </c>
      <c r="L57" s="89">
        <f t="shared" si="44"/>
        <v>1.5205792682926829</v>
      </c>
      <c r="M57" s="89">
        <f t="shared" si="44"/>
        <v>0.21499848805563948</v>
      </c>
      <c r="N57" s="89">
        <f t="shared" si="44"/>
        <v>-2.9367844698855117E-2</v>
      </c>
      <c r="O57" s="89">
        <f t="shared" si="44"/>
        <v>0.17564102564102568</v>
      </c>
      <c r="P57" s="89">
        <f t="shared" si="44"/>
        <v>0.1877862595419848</v>
      </c>
      <c r="Q57" s="126">
        <f>+Income_Statement_Qtr!F57</f>
        <v>-4.9577671685640867E-2</v>
      </c>
      <c r="R57" s="126">
        <f>+Income_Statement_Qtr!K57</f>
        <v>-5.4289026275115893E-2</v>
      </c>
      <c r="S57" s="126">
        <f>+Income_Statement_Qtr!P57</f>
        <v>0.727885597548519</v>
      </c>
      <c r="T57" s="126">
        <f>+Income_Statement_Qtr!U57</f>
        <v>0.23669898321116101</v>
      </c>
      <c r="U57" s="126">
        <f>+Income_Statement_Qtr!Z57</f>
        <v>-1.0608030592734226</v>
      </c>
      <c r="V57" s="126">
        <f>+Income_Statement_Qtr!AE57</f>
        <v>17.775157232704402</v>
      </c>
      <c r="W57" s="126">
        <f>+Income_Statement_Qtr!AJ57</f>
        <v>-0.64073360690059467</v>
      </c>
      <c r="X57" s="126">
        <f>+Income_Statement_Qtr!AO57</f>
        <v>0.17785547785547795</v>
      </c>
      <c r="Y57" s="126">
        <f>+Income_Statement_Qtr!AT57</f>
        <v>-0.55630318622600439</v>
      </c>
      <c r="Z57" s="126">
        <f>+Income_Statement_Qtr!AY57</f>
        <v>4.276092774308653</v>
      </c>
      <c r="AA57" s="126">
        <f>+Income_Statement_Qtr!BD57</f>
        <v>-1.189196043621608</v>
      </c>
      <c r="AB57" s="126">
        <f>+Income_Statement_Qtr!BI57</f>
        <v>-0.78772968957589207</v>
      </c>
      <c r="AC57" s="112">
        <f>AC56/AB56-1</f>
        <v>11.37017964993689</v>
      </c>
      <c r="AD57" s="112">
        <f>AD56/AC56-1</f>
        <v>0.3166474502183898</v>
      </c>
      <c r="AE57" s="112">
        <f>AE56/AD56-1</f>
        <v>6.365957321279514E-2</v>
      </c>
      <c r="AF57" s="112">
        <f>AF56/AE56-1</f>
        <v>4.4210125323202787E-2</v>
      </c>
    </row>
    <row r="58" spans="1:32">
      <c r="A58" s="1"/>
      <c r="B58" s="36"/>
      <c r="C58" s="36"/>
      <c r="D58" s="36"/>
      <c r="E58" s="36"/>
      <c r="F58" s="36"/>
      <c r="G58" s="36"/>
      <c r="H58" s="36"/>
      <c r="I58" s="36"/>
      <c r="J58" s="36"/>
      <c r="K58" s="36"/>
      <c r="L58" s="36"/>
      <c r="M58" s="36"/>
      <c r="N58" s="36"/>
      <c r="O58" s="36"/>
      <c r="P58" s="36"/>
      <c r="Q58" s="182"/>
      <c r="R58" s="182"/>
      <c r="S58" s="182"/>
      <c r="T58" s="182"/>
      <c r="U58" s="182"/>
      <c r="V58" s="182"/>
      <c r="W58" s="182"/>
      <c r="X58" s="182"/>
      <c r="Y58" s="182"/>
      <c r="Z58" s="182"/>
      <c r="AA58" s="182"/>
      <c r="AB58" s="182"/>
      <c r="AC58" s="112"/>
      <c r="AD58" s="112"/>
      <c r="AE58" s="112"/>
      <c r="AF58" s="112"/>
    </row>
    <row r="59" spans="1:32">
      <c r="A59" s="1" t="s">
        <v>291</v>
      </c>
      <c r="B59" s="27">
        <f t="shared" ref="B59:W59" si="45">B48</f>
        <v>0</v>
      </c>
      <c r="C59" s="27">
        <f t="shared" si="45"/>
        <v>0</v>
      </c>
      <c r="D59" s="27">
        <f t="shared" si="45"/>
        <v>0</v>
      </c>
      <c r="E59" s="27">
        <f t="shared" si="45"/>
        <v>0</v>
      </c>
      <c r="F59" s="27">
        <f t="shared" si="45"/>
        <v>0</v>
      </c>
      <c r="G59" s="27">
        <f t="shared" si="45"/>
        <v>0</v>
      </c>
      <c r="H59" s="27">
        <f t="shared" si="45"/>
        <v>0</v>
      </c>
      <c r="I59" s="27">
        <f t="shared" si="45"/>
        <v>0</v>
      </c>
      <c r="J59" s="27">
        <f t="shared" si="45"/>
        <v>0</v>
      </c>
      <c r="K59" s="27">
        <f t="shared" si="45"/>
        <v>0</v>
      </c>
      <c r="L59" s="27">
        <f t="shared" si="45"/>
        <v>0</v>
      </c>
      <c r="M59" s="27">
        <f t="shared" si="45"/>
        <v>0</v>
      </c>
      <c r="N59" s="27">
        <f t="shared" si="45"/>
        <v>0</v>
      </c>
      <c r="O59" s="27">
        <f t="shared" si="45"/>
        <v>0</v>
      </c>
      <c r="P59" s="27">
        <f t="shared" si="45"/>
        <v>0</v>
      </c>
      <c r="Q59" s="27">
        <f t="shared" si="45"/>
        <v>0</v>
      </c>
      <c r="R59" s="27">
        <f t="shared" si="45"/>
        <v>0</v>
      </c>
      <c r="S59" s="27">
        <f t="shared" si="45"/>
        <v>0</v>
      </c>
      <c r="T59" s="27">
        <f t="shared" si="45"/>
        <v>0</v>
      </c>
      <c r="U59" s="27">
        <f t="shared" si="45"/>
        <v>0</v>
      </c>
      <c r="V59" s="27">
        <f t="shared" si="45"/>
        <v>68</v>
      </c>
      <c r="W59" s="27">
        <f t="shared" si="45"/>
        <v>88</v>
      </c>
      <c r="X59" s="27">
        <f t="shared" ref="X59:AD59" si="46">X48</f>
        <v>118</v>
      </c>
      <c r="Y59" s="27">
        <f t="shared" si="46"/>
        <v>19.8</v>
      </c>
      <c r="Z59" s="27">
        <f t="shared" si="46"/>
        <v>12</v>
      </c>
      <c r="AA59" s="27">
        <f t="shared" si="46"/>
        <v>-3</v>
      </c>
      <c r="AB59" s="27">
        <f t="shared" ref="AB59" si="47">AB48</f>
        <v>0</v>
      </c>
      <c r="AC59" s="27">
        <f t="shared" si="46"/>
        <v>20</v>
      </c>
      <c r="AD59" s="27">
        <f t="shared" si="46"/>
        <v>20</v>
      </c>
      <c r="AE59" s="27">
        <f t="shared" ref="AE59:AF59" si="48">AE48</f>
        <v>20</v>
      </c>
      <c r="AF59" s="27">
        <f t="shared" si="48"/>
        <v>20</v>
      </c>
    </row>
    <row r="60" spans="1:32">
      <c r="A60" s="9" t="s">
        <v>440</v>
      </c>
      <c r="B60" s="25">
        <f t="shared" ref="B60:X60" si="49">B56+B59</f>
        <v>2128</v>
      </c>
      <c r="C60" s="25">
        <f t="shared" si="49"/>
        <v>2827</v>
      </c>
      <c r="D60" s="25">
        <f t="shared" si="49"/>
        <v>492</v>
      </c>
      <c r="E60" s="25">
        <f t="shared" si="49"/>
        <v>718</v>
      </c>
      <c r="F60" s="25">
        <f t="shared" si="49"/>
        <v>1872</v>
      </c>
      <c r="G60" s="25">
        <f t="shared" si="49"/>
        <v>2572</v>
      </c>
      <c r="H60" s="25">
        <f t="shared" si="49"/>
        <v>2215</v>
      </c>
      <c r="I60" s="25">
        <f t="shared" si="49"/>
        <v>4074</v>
      </c>
      <c r="J60" s="25">
        <f t="shared" si="49"/>
        <v>2672</v>
      </c>
      <c r="K60" s="25">
        <f t="shared" si="49"/>
        <v>1312</v>
      </c>
      <c r="L60" s="25">
        <f t="shared" si="49"/>
        <v>3307</v>
      </c>
      <c r="M60" s="25">
        <f t="shared" si="49"/>
        <v>4018</v>
      </c>
      <c r="N60" s="25">
        <f t="shared" si="49"/>
        <v>3900</v>
      </c>
      <c r="O60" s="25">
        <f t="shared" si="49"/>
        <v>4585</v>
      </c>
      <c r="P60" s="25">
        <f t="shared" si="49"/>
        <v>5446</v>
      </c>
      <c r="Q60" s="25">
        <f t="shared" si="49"/>
        <v>5176</v>
      </c>
      <c r="R60" s="25">
        <f t="shared" si="49"/>
        <v>4895</v>
      </c>
      <c r="S60" s="25">
        <f t="shared" si="49"/>
        <v>8458</v>
      </c>
      <c r="T60" s="25">
        <f t="shared" si="49"/>
        <v>10460</v>
      </c>
      <c r="U60" s="25">
        <f t="shared" si="49"/>
        <v>-636</v>
      </c>
      <c r="V60" s="25">
        <f t="shared" si="49"/>
        <v>-11873</v>
      </c>
      <c r="W60" s="25">
        <f t="shared" si="49"/>
        <v>-4202</v>
      </c>
      <c r="X60" s="25">
        <f t="shared" si="49"/>
        <v>-4935</v>
      </c>
      <c r="Y60" s="25">
        <f t="shared" ref="Y60:Z60" si="50">Y56+Y59</f>
        <v>-2222.1999999999998</v>
      </c>
      <c r="Z60" s="25">
        <f t="shared" si="50"/>
        <v>-11817</v>
      </c>
      <c r="AA60" s="25">
        <f t="shared" ref="AA60:AB60" si="51">AA56+AA59</f>
        <v>2235</v>
      </c>
      <c r="AB60" s="25">
        <f t="shared" si="51"/>
        <v>475.06095472915359</v>
      </c>
      <c r="AC60" s="25">
        <f t="shared" ref="AC60" si="52">AC56+AC59</f>
        <v>5896.5893546701664</v>
      </c>
      <c r="AD60" s="25">
        <f t="shared" ref="AD60:AE60" si="53">AD56+AD59</f>
        <v>7757.3963898070069</v>
      </c>
      <c r="AE60" s="25">
        <f t="shared" si="53"/>
        <v>8249.9557417603428</v>
      </c>
      <c r="AF60" s="25">
        <f t="shared" ref="AF60" si="54">AF56+AF59</f>
        <v>8613.8031165079792</v>
      </c>
    </row>
    <row r="61" spans="1:32">
      <c r="A61" s="1"/>
      <c r="B61" s="36"/>
      <c r="C61" s="36"/>
      <c r="D61" s="36"/>
      <c r="E61" s="36"/>
      <c r="F61" s="36"/>
      <c r="G61" s="243"/>
      <c r="H61" s="243"/>
      <c r="I61" s="36"/>
      <c r="J61" s="36"/>
      <c r="K61" s="36"/>
      <c r="L61" s="36"/>
      <c r="M61" s="36"/>
      <c r="N61" s="36"/>
      <c r="O61" s="36"/>
      <c r="P61" s="36"/>
      <c r="Q61" s="182"/>
      <c r="R61" s="182"/>
      <c r="S61" s="182"/>
      <c r="T61" s="182"/>
      <c r="U61" s="182"/>
      <c r="V61" s="182"/>
      <c r="W61" s="182"/>
      <c r="X61" s="182"/>
      <c r="Y61" s="182"/>
      <c r="Z61" s="182"/>
      <c r="AA61" s="182"/>
      <c r="AB61" s="182"/>
      <c r="AC61" s="112"/>
      <c r="AD61" s="112"/>
      <c r="AE61" s="112"/>
      <c r="AF61" s="112"/>
    </row>
    <row r="62" spans="1:32">
      <c r="A62" s="1" t="str">
        <f>Income_Statement_Qtr!A62</f>
        <v>Adjustments for Core Earnings</v>
      </c>
      <c r="B62" s="210">
        <f t="shared" ref="B62:P62" si="55">B130</f>
        <v>0</v>
      </c>
      <c r="C62" s="210">
        <f t="shared" si="55"/>
        <v>0</v>
      </c>
      <c r="D62" s="210">
        <f t="shared" si="55"/>
        <v>0</v>
      </c>
      <c r="E62" s="210">
        <f t="shared" si="55"/>
        <v>0</v>
      </c>
      <c r="F62" s="210">
        <f t="shared" si="55"/>
        <v>0</v>
      </c>
      <c r="G62" s="210">
        <f t="shared" si="55"/>
        <v>-32.116</v>
      </c>
      <c r="H62" s="210">
        <f t="shared" si="55"/>
        <v>0</v>
      </c>
      <c r="I62" s="210">
        <f t="shared" si="55"/>
        <v>0</v>
      </c>
      <c r="J62" s="210">
        <f t="shared" si="55"/>
        <v>0</v>
      </c>
      <c r="K62" s="210">
        <f t="shared" si="55"/>
        <v>0</v>
      </c>
      <c r="L62" s="210">
        <f t="shared" si="55"/>
        <v>0</v>
      </c>
      <c r="M62" s="210">
        <f t="shared" si="55"/>
        <v>337.77000000000004</v>
      </c>
      <c r="N62" s="210">
        <f t="shared" si="55"/>
        <v>586.35500000000002</v>
      </c>
      <c r="O62" s="210">
        <f t="shared" si="55"/>
        <v>591.05200000000002</v>
      </c>
      <c r="P62" s="210">
        <f t="shared" si="55"/>
        <v>898.774</v>
      </c>
      <c r="Q62" s="123">
        <f>+Income_Statement_Qtr!F62</f>
        <v>193.75</v>
      </c>
      <c r="R62" s="123">
        <f>+Income_Statement_Qtr!K62</f>
        <v>-241.44</v>
      </c>
      <c r="S62" s="123">
        <f>+Income_Statement_Qtr!P62</f>
        <v>-931</v>
      </c>
      <c r="T62" s="123">
        <f>+Income_Statement_Qtr!U62</f>
        <v>-1082</v>
      </c>
      <c r="U62" s="123">
        <f>+Income_Statement_Qtr!Z62</f>
        <v>-1329</v>
      </c>
      <c r="V62" s="123">
        <f>+Income_Statement_Qtr!AE62</f>
        <v>-1348</v>
      </c>
      <c r="W62" s="123">
        <f>+Income_Statement_Qtr!AJ62</f>
        <v>-1345</v>
      </c>
      <c r="X62" s="123">
        <f>+Income_Statement_Qtr!AO62</f>
        <v>-1645</v>
      </c>
      <c r="Y62" s="123">
        <f>+Income_Statement_Qtr!AT62</f>
        <v>-1299</v>
      </c>
      <c r="Z62" s="123">
        <f>+Income_Statement_Qtr!AY62</f>
        <v>-1306</v>
      </c>
      <c r="AA62" s="123">
        <f ca="1">+Income_Statement_Qtr!BD62</f>
        <v>-979.8</v>
      </c>
      <c r="AB62" s="123">
        <f>+Income_Statement_Qtr!BI62</f>
        <v>-1066.5</v>
      </c>
      <c r="AC62" s="23">
        <f>AC130</f>
        <v>-1066.5</v>
      </c>
      <c r="AD62" s="23">
        <f>AD130</f>
        <v>-1066.5</v>
      </c>
      <c r="AE62" s="23">
        <f>AE130</f>
        <v>-1066.5</v>
      </c>
      <c r="AF62" s="23">
        <f>AF130</f>
        <v>-1066.5</v>
      </c>
    </row>
    <row r="63" spans="1:32">
      <c r="A63" s="9" t="str">
        <f>Income_Statement_Qtr!A63</f>
        <v>Core Net Earnings from Continuing Operations</v>
      </c>
      <c r="B63" s="150">
        <f>B50+B62</f>
        <v>2128</v>
      </c>
      <c r="C63" s="150">
        <f t="shared" ref="C63:W63" si="56">C50+C62</f>
        <v>2826</v>
      </c>
      <c r="D63" s="150">
        <f t="shared" si="56"/>
        <v>2319</v>
      </c>
      <c r="E63" s="150">
        <f t="shared" si="56"/>
        <v>1501.989</v>
      </c>
      <c r="F63" s="150">
        <f t="shared" si="56"/>
        <v>1672.51</v>
      </c>
      <c r="G63" s="150">
        <f t="shared" si="56"/>
        <v>1919.739</v>
      </c>
      <c r="H63" s="150">
        <f t="shared" si="56"/>
        <v>2982.0239999999999</v>
      </c>
      <c r="I63" s="150">
        <f t="shared" si="56"/>
        <v>4058</v>
      </c>
      <c r="J63" s="150">
        <f t="shared" si="56"/>
        <v>4520.24</v>
      </c>
      <c r="K63" s="150">
        <f t="shared" si="56"/>
        <v>3888.9719999999998</v>
      </c>
      <c r="L63" s="150">
        <f t="shared" si="56"/>
        <v>3087.71</v>
      </c>
      <c r="M63" s="150">
        <f t="shared" si="56"/>
        <v>3950.9519999999998</v>
      </c>
      <c r="N63" s="150">
        <f t="shared" si="56"/>
        <v>4489.3549999999996</v>
      </c>
      <c r="O63" s="150">
        <f t="shared" si="56"/>
        <v>5438.0360000000001</v>
      </c>
      <c r="P63" s="150">
        <f t="shared" si="56"/>
        <v>6344.7740000000003</v>
      </c>
      <c r="Q63" s="150">
        <f t="shared" si="56"/>
        <v>5369.75</v>
      </c>
      <c r="R63" s="150">
        <f t="shared" si="56"/>
        <v>4653.5600000000004</v>
      </c>
      <c r="S63" s="150">
        <f t="shared" si="56"/>
        <v>7527</v>
      </c>
      <c r="T63" s="150">
        <f t="shared" si="56"/>
        <v>9378</v>
      </c>
      <c r="U63" s="150">
        <f t="shared" si="56"/>
        <v>-1965</v>
      </c>
      <c r="V63" s="150">
        <f t="shared" si="56"/>
        <v>-13221</v>
      </c>
      <c r="W63" s="150">
        <f t="shared" si="56"/>
        <v>-5547</v>
      </c>
      <c r="X63" s="150">
        <f t="shared" ref="X63:AE63" si="57">X50+X62</f>
        <v>-6580</v>
      </c>
      <c r="Y63" s="150">
        <f t="shared" si="57"/>
        <v>-3521.2</v>
      </c>
      <c r="Z63" s="150">
        <f t="shared" si="57"/>
        <v>-13181</v>
      </c>
      <c r="AA63" s="150">
        <f t="shared" ca="1" si="57"/>
        <v>910.2</v>
      </c>
      <c r="AB63" s="150">
        <f t="shared" ref="AB63" si="58">AB50+AB62</f>
        <v>-937.43904527084646</v>
      </c>
      <c r="AC63" s="25">
        <f t="shared" si="57"/>
        <v>4484.0893546701664</v>
      </c>
      <c r="AD63" s="25">
        <f t="shared" si="57"/>
        <v>6690.8963898070069</v>
      </c>
      <c r="AE63" s="25">
        <f t="shared" si="57"/>
        <v>7183.4557417603428</v>
      </c>
      <c r="AF63" s="25">
        <f t="shared" ref="AF63" si="59">AF50+AF62</f>
        <v>7547.3031165079792</v>
      </c>
    </row>
    <row r="64" spans="1:32">
      <c r="A64" s="1" t="str">
        <f>Income_Statement_Qtr!A64</f>
        <v>YoY</v>
      </c>
      <c r="B64" s="89">
        <f>B63/2309-1</f>
        <v>-7.8388912949328704E-2</v>
      </c>
      <c r="C64" s="89">
        <f t="shared" ref="C64:P64" si="60">C63/B63-1</f>
        <v>0.32800751879699241</v>
      </c>
      <c r="D64" s="89">
        <f t="shared" si="60"/>
        <v>-0.17940552016985134</v>
      </c>
      <c r="E64" s="89">
        <f t="shared" si="60"/>
        <v>-0.35231177231565325</v>
      </c>
      <c r="F64" s="89">
        <f t="shared" si="60"/>
        <v>0.11353012571996191</v>
      </c>
      <c r="G64" s="89">
        <f t="shared" si="60"/>
        <v>0.14781914607386515</v>
      </c>
      <c r="H64" s="89">
        <f t="shared" si="60"/>
        <v>0.55334865833324209</v>
      </c>
      <c r="I64" s="89">
        <f t="shared" si="60"/>
        <v>0.36082070432699398</v>
      </c>
      <c r="J64" s="89">
        <f t="shared" si="60"/>
        <v>0.11390832922621974</v>
      </c>
      <c r="K64" s="89">
        <f t="shared" si="60"/>
        <v>-0.13965364670902436</v>
      </c>
      <c r="L64" s="89">
        <f t="shared" si="60"/>
        <v>-0.20603439675060653</v>
      </c>
      <c r="M64" s="89">
        <f t="shared" si="60"/>
        <v>0.27957353507939531</v>
      </c>
      <c r="N64" s="89">
        <f t="shared" si="60"/>
        <v>0.13627171375405212</v>
      </c>
      <c r="O64" s="89">
        <f t="shared" si="60"/>
        <v>0.21131788419494568</v>
      </c>
      <c r="P64" s="89">
        <f t="shared" si="60"/>
        <v>0.16673997744774027</v>
      </c>
      <c r="Q64" s="126">
        <f>+Income_Statement_Qtr!F64</f>
        <v>-0.15367355874299071</v>
      </c>
      <c r="R64" s="126">
        <f>+Income_Statement_Qtr!K64</f>
        <v>-0.13337492434470866</v>
      </c>
      <c r="S64" s="126">
        <f>+Income_Statement_Qtr!P64</f>
        <v>0.61747135526349695</v>
      </c>
      <c r="T64" s="126">
        <f>+Income_Statement_Qtr!U64</f>
        <v>0.2459147070546035</v>
      </c>
      <c r="U64" s="126">
        <f>+Income_Statement_Qtr!Z64</f>
        <v>-1.209532949456174</v>
      </c>
      <c r="V64" s="126">
        <f>+Income_Statement_Qtr!AE64</f>
        <v>5.7282442748091604</v>
      </c>
      <c r="W64" s="126">
        <f>+Income_Statement_Qtr!AJ64</f>
        <v>-0.58044020875879276</v>
      </c>
      <c r="X64" s="126">
        <f>+Income_Statement_Qtr!AO64</f>
        <v>0.18622678925545344</v>
      </c>
      <c r="Y64" s="126">
        <f>+Income_Statement_Qtr!AT64</f>
        <v>-0.46486322188449847</v>
      </c>
      <c r="Z64" s="126">
        <f>+Income_Statement_Qtr!AY64</f>
        <v>2.7433261388163128</v>
      </c>
      <c r="AA64" s="126">
        <f ca="1">+Income_Statement_Qtr!BD64</f>
        <v>-1.0690539412791138</v>
      </c>
      <c r="AB64" s="126">
        <f ca="1">+Income_Statement_Qtr!BI64</f>
        <v>-2.0299264395416903</v>
      </c>
      <c r="AC64" s="112">
        <f>AC63/AB63-1</f>
        <v>-5.7833396499658445</v>
      </c>
      <c r="AD64" s="112">
        <f>AD63/AC63-1</f>
        <v>0.49214162800713535</v>
      </c>
      <c r="AE64" s="112">
        <f>AE63/AD63-1</f>
        <v>7.3616347236179935E-2</v>
      </c>
      <c r="AF64" s="112">
        <f>AF63/AE63-1</f>
        <v>5.0650743573520396E-2</v>
      </c>
    </row>
    <row r="65" spans="1:33">
      <c r="B65" s="176"/>
      <c r="C65" s="151"/>
      <c r="D65" s="151"/>
      <c r="E65" s="151"/>
      <c r="F65" s="151"/>
      <c r="G65" s="151"/>
      <c r="H65" s="151"/>
      <c r="I65" s="151"/>
      <c r="J65" s="151"/>
      <c r="K65" s="151"/>
      <c r="L65" s="151"/>
      <c r="M65" s="151"/>
      <c r="N65" s="151"/>
      <c r="O65" s="151"/>
      <c r="P65" s="176"/>
      <c r="Q65" s="151"/>
      <c r="R65" s="151"/>
      <c r="S65" s="151"/>
      <c r="T65" s="151"/>
      <c r="U65" s="151"/>
      <c r="V65" s="151"/>
      <c r="W65" s="151"/>
      <c r="X65" s="151"/>
      <c r="Y65" s="151"/>
      <c r="Z65" s="151"/>
      <c r="AA65" s="151"/>
      <c r="AB65" s="151"/>
      <c r="AC65" s="27"/>
      <c r="AD65" s="27"/>
      <c r="AE65" s="27"/>
      <c r="AF65" s="27"/>
    </row>
    <row r="66" spans="1:33">
      <c r="A66" s="1" t="str">
        <f>Income_Statement_Qtr!A66</f>
        <v>Less: Earnings Available to Participating Securities</v>
      </c>
      <c r="B66" s="154">
        <v>0</v>
      </c>
      <c r="C66" s="154">
        <v>0</v>
      </c>
      <c r="D66" s="154">
        <v>0</v>
      </c>
      <c r="E66" s="154">
        <v>0</v>
      </c>
      <c r="F66" s="154">
        <v>0</v>
      </c>
      <c r="G66" s="154">
        <v>0</v>
      </c>
      <c r="H66" s="154">
        <v>0</v>
      </c>
      <c r="I66" s="154">
        <v>0</v>
      </c>
      <c r="J66" s="154">
        <v>0</v>
      </c>
      <c r="K66" s="154">
        <v>0</v>
      </c>
      <c r="L66" s="154">
        <v>0</v>
      </c>
      <c r="M66" s="154">
        <v>-9</v>
      </c>
      <c r="N66" s="154">
        <v>-8</v>
      </c>
      <c r="O66" s="154">
        <v>-7</v>
      </c>
      <c r="P66" s="154">
        <v>-6</v>
      </c>
      <c r="Q66" s="123">
        <f>+Income_Statement_Qtr!F66</f>
        <v>-4</v>
      </c>
      <c r="R66" s="123">
        <f>+Income_Statement_Qtr!K66</f>
        <v>-3</v>
      </c>
      <c r="S66" s="123">
        <f>+Income_Statement_Qtr!P66</f>
        <v>-6</v>
      </c>
      <c r="T66" s="123">
        <f>+Income_Statement_Qtr!U66</f>
        <v>-7</v>
      </c>
      <c r="U66" s="123">
        <f>+Income_Statement_Qtr!Z66</f>
        <v>0</v>
      </c>
      <c r="V66" s="123">
        <f>+Income_Statement_Qtr!AE66</f>
        <v>0</v>
      </c>
      <c r="W66" s="123">
        <f>+Income_Statement_Qtr!AJ66</f>
        <v>0</v>
      </c>
      <c r="X66" s="123">
        <f>+Income_Statement_Qtr!AO66</f>
        <v>0</v>
      </c>
      <c r="Y66" s="123">
        <f>+Income_Statement_Qtr!AT66</f>
        <v>0</v>
      </c>
      <c r="Z66" s="123">
        <f>+Income_Statement_Qtr!AY66</f>
        <v>0</v>
      </c>
      <c r="AA66" s="123">
        <f>+Income_Statement_Qtr!BD66</f>
        <v>0</v>
      </c>
      <c r="AB66" s="123">
        <f>+Income_Statement_Qtr!BI66</f>
        <v>0</v>
      </c>
      <c r="AC66" s="43">
        <v>0</v>
      </c>
      <c r="AD66" s="43">
        <v>0</v>
      </c>
      <c r="AE66" s="43">
        <v>0</v>
      </c>
      <c r="AF66" s="43">
        <v>0</v>
      </c>
    </row>
    <row r="67" spans="1:33">
      <c r="A67" s="1" t="str">
        <f>Income_Statement_Qtr!A67</f>
        <v>Expense related to diluted shares</v>
      </c>
      <c r="B67" s="154">
        <v>0</v>
      </c>
      <c r="C67" s="154">
        <v>0</v>
      </c>
      <c r="D67" s="154">
        <v>0</v>
      </c>
      <c r="E67" s="154">
        <v>0</v>
      </c>
      <c r="F67" s="154">
        <v>0</v>
      </c>
      <c r="G67" s="154">
        <v>0</v>
      </c>
      <c r="H67" s="154">
        <v>27</v>
      </c>
      <c r="I67" s="154">
        <v>0</v>
      </c>
      <c r="J67" s="154">
        <v>0</v>
      </c>
      <c r="K67" s="154">
        <v>0</v>
      </c>
      <c r="L67" s="154">
        <v>0</v>
      </c>
      <c r="M67" s="154">
        <v>0</v>
      </c>
      <c r="N67" s="154">
        <v>0</v>
      </c>
      <c r="O67" s="154">
        <v>0</v>
      </c>
      <c r="P67" s="154">
        <v>0</v>
      </c>
      <c r="Q67" s="123">
        <f>+Income_Statement_Qtr!F67</f>
        <v>0</v>
      </c>
      <c r="R67" s="123">
        <f>+Income_Statement_Qtr!K67</f>
        <v>0</v>
      </c>
      <c r="S67" s="123">
        <f>+Income_Statement_Qtr!P67</f>
        <v>0</v>
      </c>
      <c r="T67" s="123">
        <f>+Income_Statement_Qtr!U67</f>
        <v>0</v>
      </c>
      <c r="U67" s="123">
        <f>+Income_Statement_Qtr!Z67</f>
        <v>0</v>
      </c>
      <c r="V67" s="123">
        <f>+Income_Statement_Qtr!AE67</f>
        <v>0</v>
      </c>
      <c r="W67" s="123">
        <f>+Income_Statement_Qtr!AJ67</f>
        <v>0</v>
      </c>
      <c r="X67" s="123">
        <f>+Income_Statement_Qtr!AO67</f>
        <v>0</v>
      </c>
      <c r="Y67" s="123">
        <f>+Income_Statement_Qtr!AT67</f>
        <v>0</v>
      </c>
      <c r="Z67" s="123">
        <f>+Income_Statement_Qtr!AY67</f>
        <v>0</v>
      </c>
      <c r="AA67" s="123">
        <f>+Income_Statement_Qtr!BD67</f>
        <v>0</v>
      </c>
      <c r="AB67" s="123">
        <f>+Income_Statement_Qtr!BI67</f>
        <v>0</v>
      </c>
      <c r="AC67" s="43">
        <v>0</v>
      </c>
      <c r="AD67" s="43">
        <v>0</v>
      </c>
      <c r="AE67" s="43">
        <v>0</v>
      </c>
      <c r="AF67" s="43">
        <v>0</v>
      </c>
    </row>
    <row r="68" spans="1:33">
      <c r="B68" s="176"/>
      <c r="C68" s="151"/>
      <c r="D68" s="151"/>
      <c r="E68" s="151"/>
      <c r="F68" s="151"/>
      <c r="G68" s="151"/>
      <c r="H68" s="157"/>
      <c r="I68" s="151"/>
      <c r="J68" s="151"/>
      <c r="K68" s="151"/>
      <c r="L68" s="151"/>
      <c r="M68" s="151"/>
      <c r="N68" s="89"/>
      <c r="O68" s="151"/>
      <c r="P68" s="151"/>
      <c r="Q68" s="151"/>
      <c r="R68" s="151"/>
      <c r="S68" s="151"/>
      <c r="T68" s="151"/>
      <c r="U68" s="151"/>
      <c r="V68" s="151"/>
      <c r="W68" s="430"/>
      <c r="X68" s="430"/>
      <c r="Y68" s="430"/>
      <c r="Z68" s="430"/>
      <c r="AA68" s="430"/>
      <c r="AB68" s="430"/>
      <c r="AC68" s="431"/>
      <c r="AD68" s="431"/>
      <c r="AE68" s="431"/>
      <c r="AF68" s="431"/>
    </row>
    <row r="69" spans="1:33">
      <c r="A69" s="9" t="str">
        <f>Income_Statement_Qtr!A69</f>
        <v>Core EPS from Continuing Operations - Diluted</v>
      </c>
      <c r="B69" s="156">
        <f>(B63+B66+B67)/B79</f>
        <v>2.4423275565247331</v>
      </c>
      <c r="C69" s="156">
        <f t="shared" ref="C69:W69" si="61">(C63+C66+C67)/C79</f>
        <v>3.4076932352586522</v>
      </c>
      <c r="D69" s="156">
        <f t="shared" si="61"/>
        <v>2.8686293913904009</v>
      </c>
      <c r="E69" s="156">
        <f t="shared" si="61"/>
        <v>1.8568290270738039</v>
      </c>
      <c r="F69" s="156">
        <f t="shared" si="61"/>
        <v>2.0572078720787208</v>
      </c>
      <c r="G69" s="156">
        <f t="shared" si="61"/>
        <v>2.3910063519740938</v>
      </c>
      <c r="H69" s="156">
        <f t="shared" si="61"/>
        <v>3.8204977145759265</v>
      </c>
      <c r="I69" s="156">
        <f t="shared" si="61"/>
        <v>5.2530744336569581</v>
      </c>
      <c r="J69" s="156">
        <f t="shared" si="61"/>
        <v>6.2006035665294919</v>
      </c>
      <c r="K69" s="156">
        <f t="shared" si="61"/>
        <v>5.4513204373423045</v>
      </c>
      <c r="L69" s="156">
        <f t="shared" si="61"/>
        <v>4.1484750772537957</v>
      </c>
      <c r="M69" s="156">
        <f t="shared" si="61"/>
        <v>5.2517346123101518</v>
      </c>
      <c r="N69" s="156">
        <f t="shared" si="61"/>
        <v>5.8849047931713718</v>
      </c>
      <c r="O69" s="156">
        <f t="shared" si="61"/>
        <v>7.0753465346534652</v>
      </c>
      <c r="P69" s="156">
        <f t="shared" si="61"/>
        <v>8.6042812542418901</v>
      </c>
      <c r="Q69" s="156">
        <f t="shared" si="61"/>
        <v>7.7205035971223017</v>
      </c>
      <c r="R69" s="156">
        <f t="shared" si="61"/>
        <v>7.2348475420037346</v>
      </c>
      <c r="S69" s="156">
        <f t="shared" si="61"/>
        <v>12.329508196721312</v>
      </c>
      <c r="T69" s="156">
        <f t="shared" si="61"/>
        <v>16.005123825789923</v>
      </c>
      <c r="U69" s="156">
        <f t="shared" si="61"/>
        <v>-3.4754156349487091</v>
      </c>
      <c r="V69" s="156">
        <f t="shared" si="61"/>
        <v>-23.269239230870774</v>
      </c>
      <c r="W69" s="156">
        <f t="shared" si="61"/>
        <v>-9.4252580604052518</v>
      </c>
      <c r="X69" s="156">
        <f t="shared" ref="X69:AD69" si="62">(X63+X66+X67)/X79</f>
        <v>-11.043325752934956</v>
      </c>
      <c r="Y69" s="156">
        <f t="shared" si="62"/>
        <v>-5.8088835732255539</v>
      </c>
      <c r="Z69" s="156">
        <f t="shared" si="62"/>
        <v>-20.366192830655127</v>
      </c>
      <c r="AA69" s="156">
        <f t="shared" ca="1" si="62"/>
        <v>1.1940181031090122</v>
      </c>
      <c r="AB69" s="156">
        <f t="shared" ref="AB69" si="63">(AB63+AB66+AB67)/AB79</f>
        <v>-1.1662590759776643</v>
      </c>
      <c r="AC69" s="48">
        <f t="shared" si="62"/>
        <v>5.3553450924091131</v>
      </c>
      <c r="AD69" s="48">
        <f t="shared" si="62"/>
        <v>7.9909333447273561</v>
      </c>
      <c r="AE69" s="48">
        <f t="shared" ref="AE69:AF69" si="64">(AE63+AE66+AE67)/AE79</f>
        <v>8.5791966685739744</v>
      </c>
      <c r="AF69" s="48">
        <f t="shared" si="64"/>
        <v>9.0137393591007164</v>
      </c>
    </row>
    <row r="70" spans="1:33">
      <c r="A70" s="9" t="str">
        <f>Income_Statement_Qtr!A70</f>
        <v>EPS from Continuing Operations - Diluted</v>
      </c>
      <c r="B70" s="156">
        <f>(B50+B66+B67)/B79</f>
        <v>2.4423275565247331</v>
      </c>
      <c r="C70" s="156">
        <f t="shared" ref="C70:P70" si="65">(C50+C66+C67)/C79</f>
        <v>3.4076932352586522</v>
      </c>
      <c r="D70" s="156">
        <f t="shared" si="65"/>
        <v>2.8686293913904009</v>
      </c>
      <c r="E70" s="156">
        <f t="shared" si="65"/>
        <v>1.8568290270738039</v>
      </c>
      <c r="F70" s="156">
        <f t="shared" si="65"/>
        <v>2.0572078720787208</v>
      </c>
      <c r="G70" s="156">
        <f t="shared" si="65"/>
        <v>2.4310063519740939</v>
      </c>
      <c r="H70" s="156">
        <f t="shared" si="65"/>
        <v>3.8204977145759265</v>
      </c>
      <c r="I70" s="156">
        <f t="shared" si="65"/>
        <v>5.2530744336569581</v>
      </c>
      <c r="J70" s="156">
        <f t="shared" si="65"/>
        <v>6.2006035665294919</v>
      </c>
      <c r="K70" s="156">
        <f t="shared" si="65"/>
        <v>5.4513204373423045</v>
      </c>
      <c r="L70" s="156">
        <f t="shared" si="65"/>
        <v>4.1484750772537957</v>
      </c>
      <c r="M70" s="156">
        <f t="shared" si="65"/>
        <v>4.8017346123101516</v>
      </c>
      <c r="N70" s="156">
        <f t="shared" si="65"/>
        <v>5.1149047931713723</v>
      </c>
      <c r="O70" s="156">
        <f t="shared" si="65"/>
        <v>6.3053465346534656</v>
      </c>
      <c r="P70" s="156">
        <f t="shared" si="65"/>
        <v>7.3842812542418894</v>
      </c>
      <c r="Q70" s="156">
        <f>IF((Q50+Q66+Q67)/Q79=Income_Statement_Qtr!F70,(Q50+Q66+Q67)/Q79,"error")</f>
        <v>7.4417266187050357</v>
      </c>
      <c r="R70" s="156">
        <f>IF((R50+R66+R67)/R79=Income_Statement_Qtr!K70,(R50+R66+R67)/R79,"error")</f>
        <v>7.6104542626011202</v>
      </c>
      <c r="S70" s="156">
        <f>IF((S50+S66+S67)/S79=Income_Statement_Qtr!P70,(S50+S66+S67)/S79,"error")</f>
        <v>13.855737704918033</v>
      </c>
      <c r="T70" s="156">
        <f>IF((T50+T66+T67)/T79=Income_Statement_Qtr!U70,(T50+T66+T67)/T79,"error")</f>
        <v>17.853116994022205</v>
      </c>
      <c r="U70" s="156">
        <f>IF((U50+U66+U67)/U79=Income_Statement_Qtr!Z70,(U50+U66+U67)/U79,"error")</f>
        <v>-1.1248673505482845</v>
      </c>
      <c r="V70" s="156">
        <f>IF((V50+V66+V67)/V79=Income_Statement_Qtr!AE70,(V50+V66+V67)/V79,"error")</f>
        <v>-20.896730760769131</v>
      </c>
      <c r="W70" s="156">
        <f>IF((W50+W66+W67)/W79=Income_Statement_Qtr!AJ70,(W50+W66+W67)/W79,"error")</f>
        <v>-7.1398836073233944</v>
      </c>
      <c r="X70" s="156">
        <f>IF((X50+X66+X67)/X79=Income_Statement_Qtr!AO70,(X50+X66+X67)/X79,"error")</f>
        <v>-8.2824943147012178</v>
      </c>
      <c r="Y70" s="156">
        <f>IF((Y50+Y66+Y67)/Y79=Income_Statement_Qtr!AT70,(Y50+Y66+Y67)/Y79,"error")</f>
        <v>-3.6659380541922713</v>
      </c>
      <c r="Z70" s="156">
        <f>IF((Z50+Z66+Z67)/Z79=Income_Statement_Qtr!AY70,(Z50+Z66+Z67)/Z79,"error")</f>
        <v>-18.348269468479604</v>
      </c>
      <c r="AA70" s="156">
        <f>IF((AA50+AA66+AA67)/AA79=Income_Statement_Qtr!BD70,(AA50+AA66+AA67)/AA79,"error")</f>
        <v>2.4793388429752068</v>
      </c>
      <c r="AB70" s="156">
        <f>IF((AB50+AB66+AB67)/AB79=Income_Statement_Qtr!BI70,(AB50+AB66+AB67)/AB79,"error")</f>
        <v>0.16056351670708335</v>
      </c>
      <c r="AC70" s="48">
        <f>(AC50+AC66+AC67)/AC79</f>
        <v>6.6290653707764102</v>
      </c>
      <c r="AD70" s="48">
        <f>(AD50+AD66+AD67)/AD79</f>
        <v>9.2646536230946541</v>
      </c>
      <c r="AE70" s="48">
        <f>(AE50+AE66+AE67)/AE79</f>
        <v>9.8529169469412725</v>
      </c>
      <c r="AF70" s="48">
        <f>(AF50+AF66+AF67)/AF79</f>
        <v>10.287459637468015</v>
      </c>
    </row>
    <row r="71" spans="1:33">
      <c r="A71" s="9" t="str">
        <f>Income_Statement_Qtr!A71</f>
        <v>GAAP EPS - Diluted</v>
      </c>
      <c r="B71" s="156">
        <f t="shared" ref="B71:G71" si="66">(B56+B66+B67)/B79</f>
        <v>2.4423275565247331</v>
      </c>
      <c r="C71" s="156">
        <f t="shared" si="66"/>
        <v>3.4088990715060898</v>
      </c>
      <c r="D71" s="156">
        <f t="shared" si="66"/>
        <v>0.6086095992083127</v>
      </c>
      <c r="E71" s="156">
        <f t="shared" si="66"/>
        <v>0.88762516998392882</v>
      </c>
      <c r="F71" s="156">
        <f t="shared" si="66"/>
        <v>2.3025830258302582</v>
      </c>
      <c r="G71" s="156">
        <f t="shared" si="66"/>
        <v>3.2033877195167517</v>
      </c>
      <c r="H71" s="156">
        <f>(H56+H66+H67)/H79</f>
        <v>2.8466226510919248</v>
      </c>
      <c r="I71" s="156">
        <f t="shared" ref="I71:P71" si="67">(I56+I66+I67)/I79</f>
        <v>5.2737864077669903</v>
      </c>
      <c r="J71" s="156">
        <f t="shared" si="67"/>
        <v>3.6652949245541837</v>
      </c>
      <c r="K71" s="156">
        <f t="shared" si="67"/>
        <v>1.8390804597701149</v>
      </c>
      <c r="L71" s="156">
        <f t="shared" si="67"/>
        <v>4.4431009001746613</v>
      </c>
      <c r="M71" s="156">
        <f t="shared" si="67"/>
        <v>5.3410604849453769</v>
      </c>
      <c r="N71" s="156">
        <f t="shared" si="67"/>
        <v>5.1109652002626396</v>
      </c>
      <c r="O71" s="156">
        <f t="shared" si="67"/>
        <v>5.9640437727983322</v>
      </c>
      <c r="P71" s="156">
        <f t="shared" si="67"/>
        <v>7.3842812542418894</v>
      </c>
      <c r="Q71" s="156">
        <f>(Q56+Q66+Q67)/Q79</f>
        <v>7.4417266187050357</v>
      </c>
      <c r="R71" s="156">
        <f>(R56+R66+R67)/R79</f>
        <v>7.6104542626011202</v>
      </c>
      <c r="S71" s="156">
        <f t="shared" ref="S71:W71" si="68">(S56+S66+S67)/S79</f>
        <v>13.855737704918033</v>
      </c>
      <c r="T71" s="156">
        <f t="shared" si="68"/>
        <v>17.853116994022205</v>
      </c>
      <c r="U71" s="156">
        <f t="shared" si="68"/>
        <v>-1.1248673505482845</v>
      </c>
      <c r="V71" s="156">
        <f t="shared" si="68"/>
        <v>-21.016412196946366</v>
      </c>
      <c r="W71" s="156">
        <f t="shared" si="68"/>
        <v>-7.2894099655919478</v>
      </c>
      <c r="X71" s="156">
        <f t="shared" ref="X71:AD71" si="69">(X56+X66+X67)/X79</f>
        <v>-8.4805357187812049</v>
      </c>
      <c r="Y71" s="156">
        <f t="shared" si="69"/>
        <v>-3.6986018888934717</v>
      </c>
      <c r="Z71" s="156">
        <f t="shared" si="69"/>
        <v>-18.277194066749072</v>
      </c>
      <c r="AA71" s="156">
        <f t="shared" si="69"/>
        <v>2.9358520267611179</v>
      </c>
      <c r="AB71" s="156">
        <f t="shared" ref="AB71" si="70">(AB56+AB66+AB67)/AB79</f>
        <v>0.5910188538556278</v>
      </c>
      <c r="AC71" s="48">
        <f t="shared" si="69"/>
        <v>7.0184069654765873</v>
      </c>
      <c r="AD71" s="48">
        <f t="shared" si="69"/>
        <v>9.2407676356897355</v>
      </c>
      <c r="AE71" s="48">
        <f t="shared" ref="AE71:AF71" si="71">(AE56+AE66+AE67)/AE79</f>
        <v>9.8290309595363539</v>
      </c>
      <c r="AF71" s="48">
        <f t="shared" si="71"/>
        <v>10.263573650063094</v>
      </c>
    </row>
    <row r="72" spans="1:33">
      <c r="B72" s="151"/>
      <c r="C72" s="151"/>
      <c r="D72" s="151"/>
      <c r="E72" s="151"/>
      <c r="F72" s="151"/>
      <c r="G72" s="151"/>
      <c r="H72" s="151"/>
      <c r="I72" s="151"/>
      <c r="J72" s="151"/>
      <c r="K72" s="151"/>
      <c r="L72" s="151"/>
      <c r="M72" s="157"/>
      <c r="N72" s="285"/>
      <c r="O72" s="151"/>
      <c r="P72" s="151"/>
      <c r="Q72" s="151"/>
      <c r="R72" s="151"/>
      <c r="S72" s="151"/>
      <c r="T72" s="151"/>
      <c r="U72" s="151"/>
      <c r="V72" s="151"/>
      <c r="W72" s="151"/>
      <c r="X72" s="151"/>
      <c r="Y72" s="151"/>
      <c r="Z72" s="151"/>
      <c r="AA72" s="151"/>
      <c r="AB72" s="151"/>
      <c r="AC72" s="27"/>
      <c r="AD72" s="27"/>
      <c r="AE72" s="27"/>
      <c r="AF72" s="27"/>
    </row>
    <row r="73" spans="1:33">
      <c r="A73" s="5" t="str">
        <f>Income_Statement_Qtr!A73</f>
        <v>EPS from Continuing Operations - Basic</v>
      </c>
      <c r="B73" s="157">
        <f t="shared" ref="B73:W73" si="72">(B50+B66)/B76</f>
        <v>2.4758580570098894</v>
      </c>
      <c r="C73" s="157">
        <f t="shared" si="72"/>
        <v>3.4623866699338395</v>
      </c>
      <c r="D73" s="157">
        <f t="shared" si="72"/>
        <v>2.8998374390396395</v>
      </c>
      <c r="E73" s="157">
        <f t="shared" si="72"/>
        <v>1.8648981872361561</v>
      </c>
      <c r="F73" s="157">
        <f t="shared" si="72"/>
        <v>2.0725030978934322</v>
      </c>
      <c r="G73" s="157">
        <f t="shared" si="72"/>
        <v>2.4754026632847177</v>
      </c>
      <c r="H73" s="157">
        <f t="shared" si="72"/>
        <v>3.9211360946745559</v>
      </c>
      <c r="I73" s="157">
        <f t="shared" si="72"/>
        <v>5.3443961543526939</v>
      </c>
      <c r="J73" s="157">
        <f t="shared" si="72"/>
        <v>6.253790813503044</v>
      </c>
      <c r="K73" s="157">
        <f t="shared" si="72"/>
        <v>5.4805129650507327</v>
      </c>
      <c r="L73" s="157">
        <f t="shared" si="72"/>
        <v>4.1833220430835931</v>
      </c>
      <c r="M73" s="157">
        <f t="shared" si="72"/>
        <v>4.8436796129552473</v>
      </c>
      <c r="N73" s="157">
        <f t="shared" si="72"/>
        <v>5.1541617043800443</v>
      </c>
      <c r="O73" s="157">
        <f t="shared" si="72"/>
        <v>6.3776307813941235</v>
      </c>
      <c r="P73" s="157">
        <f t="shared" si="72"/>
        <v>7.4766355140186915</v>
      </c>
      <c r="Q73" s="157">
        <f t="shared" si="72"/>
        <v>7.5294802736934052</v>
      </c>
      <c r="R73" s="157">
        <f t="shared" si="72"/>
        <v>7.697875688434304</v>
      </c>
      <c r="S73" s="157">
        <f t="shared" si="72"/>
        <v>14.028215767634855</v>
      </c>
      <c r="T73" s="157">
        <f t="shared" si="72"/>
        <v>18.047306629834253</v>
      </c>
      <c r="U73" s="157">
        <f t="shared" si="72"/>
        <v>-1.1248673505482845</v>
      </c>
      <c r="V73" s="157">
        <f t="shared" si="72"/>
        <v>-20.896730760769131</v>
      </c>
      <c r="W73" s="157">
        <f t="shared" si="72"/>
        <v>-7.1480819937058788</v>
      </c>
      <c r="X73" s="157">
        <f t="shared" ref="X73:AD73" si="73">(X50+X66)/X76</f>
        <v>-8.2930723018106978</v>
      </c>
      <c r="Y73" s="157">
        <f t="shared" si="73"/>
        <v>-3.6663916845405042</v>
      </c>
      <c r="Z73" s="157">
        <f t="shared" si="73"/>
        <v>-18.348269468479604</v>
      </c>
      <c r="AA73" s="157">
        <f t="shared" si="73"/>
        <v>2.4900000000000002</v>
      </c>
      <c r="AB73" s="157">
        <f t="shared" ref="AB73" si="74">(AB50+AB66)/AB76</f>
        <v>0.17003268638920238</v>
      </c>
      <c r="AC73" s="50">
        <f t="shared" si="73"/>
        <v>6.7644289200062238</v>
      </c>
      <c r="AD73" s="50">
        <f t="shared" si="73"/>
        <v>9.2646536230946541</v>
      </c>
      <c r="AE73" s="50">
        <f t="shared" ref="AE73:AF73" si="75">(AE50+AE66)/AE76</f>
        <v>9.8529169469412725</v>
      </c>
      <c r="AF73" s="50">
        <f t="shared" si="75"/>
        <v>10.287459637468015</v>
      </c>
    </row>
    <row r="74" spans="1:33">
      <c r="A74" s="5" t="str">
        <f>Income_Statement_Qtr!A74</f>
        <v>GAAP EPS - Basic</v>
      </c>
      <c r="B74" s="158">
        <f t="shared" ref="B74:G74" si="76">(B56+B66)/B76</f>
        <v>2.4758580570098894</v>
      </c>
      <c r="C74" s="158">
        <f t="shared" si="76"/>
        <v>3.4636118598382746</v>
      </c>
      <c r="D74" s="158">
        <f t="shared" si="76"/>
        <v>0.61523071151681874</v>
      </c>
      <c r="E74" s="158">
        <f t="shared" si="76"/>
        <v>0.89148249317109518</v>
      </c>
      <c r="F74" s="158">
        <f t="shared" si="76"/>
        <v>2.3197026022304832</v>
      </c>
      <c r="G74" s="158">
        <f t="shared" si="76"/>
        <v>3.2618896639188333</v>
      </c>
      <c r="H74" s="158">
        <f>(H56+H66)/H76</f>
        <v>2.9125575279421434</v>
      </c>
      <c r="I74" s="158">
        <f t="shared" ref="I74:P74" si="77">(I56+I66)/I76</f>
        <v>5.3654681943895692</v>
      </c>
      <c r="J74" s="158">
        <f t="shared" si="77"/>
        <v>3.6967349197565027</v>
      </c>
      <c r="K74" s="158">
        <f t="shared" si="77"/>
        <v>1.8489289740698984</v>
      </c>
      <c r="L74" s="158">
        <f t="shared" si="77"/>
        <v>4.4804227069502778</v>
      </c>
      <c r="M74" s="158">
        <f t="shared" si="77"/>
        <v>5.387716704743986</v>
      </c>
      <c r="N74" s="158">
        <f t="shared" si="77"/>
        <v>5.1501918750827045</v>
      </c>
      <c r="O74" s="158">
        <f t="shared" si="77"/>
        <v>6.0324153379891952</v>
      </c>
      <c r="P74" s="158">
        <f t="shared" si="77"/>
        <v>7.4766355140186915</v>
      </c>
      <c r="Q74" s="158">
        <f>(Q56+Q66)/Q76</f>
        <v>7.5294802736934052</v>
      </c>
      <c r="R74" s="158">
        <f t="shared" ref="R74:W74" si="78">(R56+R66)/R76</f>
        <v>7.697875688434304</v>
      </c>
      <c r="S74" s="158">
        <f t="shared" si="78"/>
        <v>14.028215767634855</v>
      </c>
      <c r="T74" s="158">
        <f t="shared" si="78"/>
        <v>18.047306629834253</v>
      </c>
      <c r="U74" s="158">
        <f t="shared" si="78"/>
        <v>-1.1248673505482845</v>
      </c>
      <c r="V74" s="158">
        <f t="shared" si="78"/>
        <v>-21.016412196946366</v>
      </c>
      <c r="W74" s="158">
        <f t="shared" si="78"/>
        <v>-7.297780045930085</v>
      </c>
      <c r="X74" s="158">
        <f t="shared" ref="X74:AD74" si="79">(X56+X66)/X76</f>
        <v>-8.491366634457842</v>
      </c>
      <c r="Y74" s="158">
        <f t="shared" si="79"/>
        <v>-3.6990595611285264</v>
      </c>
      <c r="Z74" s="158">
        <f t="shared" si="79"/>
        <v>-18.277194066749072</v>
      </c>
      <c r="AA74" s="158">
        <f t="shared" si="79"/>
        <v>2.9484761904761907</v>
      </c>
      <c r="AB74" s="158">
        <f t="shared" ref="AB74" si="80">(AB56+AB66)/AB76</f>
        <v>0.62587395623047226</v>
      </c>
      <c r="AC74" s="52">
        <f t="shared" si="79"/>
        <v>7.161720754623139</v>
      </c>
      <c r="AD74" s="52">
        <f t="shared" si="79"/>
        <v>9.2407676356897355</v>
      </c>
      <c r="AE74" s="52">
        <f t="shared" ref="AE74:AF74" si="81">(AE56+AE66)/AE76</f>
        <v>9.8290309595363539</v>
      </c>
      <c r="AF74" s="52">
        <f t="shared" si="81"/>
        <v>10.263573650063094</v>
      </c>
    </row>
    <row r="75" spans="1:33">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c r="AA75" s="151"/>
      <c r="AB75" s="151"/>
      <c r="AC75" s="27"/>
      <c r="AD75" s="27"/>
      <c r="AE75" s="27"/>
      <c r="AF75" s="27"/>
    </row>
    <row r="76" spans="1:33">
      <c r="A76" s="5" t="str">
        <f>Income_Statement_Qtr!A76</f>
        <v>Weighted Average Common Shares - Basic</v>
      </c>
      <c r="B76" s="187">
        <v>859.5</v>
      </c>
      <c r="C76" s="187">
        <v>816.2</v>
      </c>
      <c r="D76" s="187">
        <v>799.7</v>
      </c>
      <c r="E76" s="187">
        <v>805.4</v>
      </c>
      <c r="F76" s="187">
        <v>807</v>
      </c>
      <c r="G76" s="187">
        <v>788.5</v>
      </c>
      <c r="H76" s="187">
        <v>760.5</v>
      </c>
      <c r="I76" s="187">
        <v>759.3</v>
      </c>
      <c r="J76" s="187">
        <v>722.8</v>
      </c>
      <c r="K76" s="187">
        <v>709.6</v>
      </c>
      <c r="L76" s="187">
        <v>738.1</v>
      </c>
      <c r="M76" s="187">
        <v>744.1</v>
      </c>
      <c r="N76" s="187">
        <v>755.7</v>
      </c>
      <c r="O76" s="187">
        <v>758.9</v>
      </c>
      <c r="P76" s="187">
        <v>727.6</v>
      </c>
      <c r="Q76" s="241">
        <f>+Income_Statement_Qtr!F76</f>
        <v>686.9</v>
      </c>
      <c r="R76" s="241">
        <f>+Income_Statement_Qtr!K76</f>
        <v>635.5</v>
      </c>
      <c r="S76" s="241">
        <f>+Income_Statement_Qtr!P76</f>
        <v>602.5</v>
      </c>
      <c r="T76" s="241">
        <f>+Income_Statement_Qtr!U76</f>
        <v>579.20000000000005</v>
      </c>
      <c r="U76" s="241">
        <f>+Income_Statement_Qtr!Z76</f>
        <v>565.4</v>
      </c>
      <c r="V76" s="241">
        <f>+Income_Statement_Qtr!AE76</f>
        <v>568.17499999999995</v>
      </c>
      <c r="W76" s="241">
        <f>+Income_Statement_Qtr!AJ76</f>
        <v>587.84999999999991</v>
      </c>
      <c r="X76" s="241">
        <f>+Income_Statement_Qtr!AO76</f>
        <v>595.07499999999993</v>
      </c>
      <c r="Y76" s="241">
        <f>+Income_Statement_Qtr!AT76</f>
        <v>606.1</v>
      </c>
      <c r="Z76" s="241">
        <f>+Income_Statement_Qtr!AY76</f>
        <v>647.20000000000005</v>
      </c>
      <c r="AA76" s="241">
        <f>+Income_Statement_Qtr!BD76</f>
        <v>759.03614457831316</v>
      </c>
      <c r="AB76" s="241">
        <f>+Income_Statement_Qtr!BI76</f>
        <v>759.03614457831316</v>
      </c>
      <c r="AC76" s="54">
        <f>AVERAGE(AC82,AB82)</f>
        <v>820.55549999999994</v>
      </c>
      <c r="AD76" s="54">
        <f>AVERAGE(AD82,AC82)</f>
        <v>837.31099999999992</v>
      </c>
      <c r="AE76" s="54">
        <f>AVERAGE(AE82,AD82)</f>
        <v>837.31099999999992</v>
      </c>
      <c r="AF76" s="54">
        <f>AVERAGE(AF82,AE82)</f>
        <v>837.31099999999992</v>
      </c>
    </row>
    <row r="77" spans="1:33">
      <c r="A77" s="1" t="str">
        <f>Income_Statement_Qtr!A77</f>
        <v>YoY</v>
      </c>
      <c r="B77" s="89">
        <f>B76/917.1-1</f>
        <v>-6.2806673209028441E-2</v>
      </c>
      <c r="C77" s="89">
        <f t="shared" ref="C77:O77" si="82">C76/B76-1</f>
        <v>-5.0378126817917313E-2</v>
      </c>
      <c r="D77" s="89">
        <f t="shared" si="82"/>
        <v>-2.0215633423180557E-2</v>
      </c>
      <c r="E77" s="89">
        <f t="shared" si="82"/>
        <v>7.12767287732885E-3</v>
      </c>
      <c r="F77" s="89">
        <f t="shared" si="82"/>
        <v>1.9865905140303841E-3</v>
      </c>
      <c r="G77" s="89">
        <f t="shared" si="82"/>
        <v>-2.2924411400247813E-2</v>
      </c>
      <c r="H77" s="89">
        <f t="shared" si="82"/>
        <v>-3.551046290424853E-2</v>
      </c>
      <c r="I77" s="89">
        <f t="shared" si="82"/>
        <v>-1.5779092702170594E-3</v>
      </c>
      <c r="J77" s="89">
        <f t="shared" si="82"/>
        <v>-4.8070591334123502E-2</v>
      </c>
      <c r="K77" s="89">
        <f t="shared" si="82"/>
        <v>-1.8262313226341864E-2</v>
      </c>
      <c r="L77" s="89">
        <f t="shared" si="82"/>
        <v>4.016347237880491E-2</v>
      </c>
      <c r="M77" s="89">
        <f t="shared" si="82"/>
        <v>8.12897981303351E-3</v>
      </c>
      <c r="N77" s="89">
        <f t="shared" si="82"/>
        <v>1.5589302513103087E-2</v>
      </c>
      <c r="O77" s="89">
        <f t="shared" si="82"/>
        <v>4.2344845838295786E-3</v>
      </c>
      <c r="P77" s="89">
        <f>P76/O76-1</f>
        <v>-4.1243905652918689E-2</v>
      </c>
      <c r="Q77" s="89">
        <f>+Income_Statement_Qtr!F77</f>
        <v>-5.5937328202309011E-2</v>
      </c>
      <c r="R77" s="89">
        <f>+Income_Statement_Qtr!K77</f>
        <v>-7.4828941621778999E-2</v>
      </c>
      <c r="S77" s="89">
        <f>+Income_Statement_Qtr!P77</f>
        <v>-5.1927616050354009E-2</v>
      </c>
      <c r="T77" s="89">
        <f>+Income_Statement_Qtr!U77</f>
        <v>-3.8672199170124433E-2</v>
      </c>
      <c r="U77" s="89">
        <f>+Income_Statement_Qtr!Z77</f>
        <v>-2.3825966850828828E-2</v>
      </c>
      <c r="V77" s="89">
        <f>+Income_Statement_Qtr!AE77</f>
        <v>4.9080297134771467E-3</v>
      </c>
      <c r="W77" s="89">
        <f>+Income_Statement_Qtr!AJ77</f>
        <v>3.462841554098639E-2</v>
      </c>
      <c r="X77" s="89">
        <f>+Income_Statement_Qtr!AO77</f>
        <v>1.2290550310453341E-2</v>
      </c>
      <c r="Y77" s="89">
        <f>+Income_Statement_Qtr!AT77</f>
        <v>1.8527076418938915E-2</v>
      </c>
      <c r="Z77" s="89">
        <f>+Income_Statement_Qtr!AY77</f>
        <v>6.7810592311499773E-2</v>
      </c>
      <c r="AA77" s="89">
        <f>+Income_Statement_Qtr!BD77</f>
        <v>0.17279997617168275</v>
      </c>
      <c r="AB77" s="89">
        <f>+Income_Statement_Qtr!BI77</f>
        <v>0</v>
      </c>
      <c r="AC77" s="36">
        <f>AC76/AB76-1</f>
        <v>8.1049309523809621E-2</v>
      </c>
      <c r="AD77" s="36">
        <f>AD76/AC76-1</f>
        <v>2.0419703481361129E-2</v>
      </c>
      <c r="AE77" s="36">
        <f>AE76/AD76-1</f>
        <v>0</v>
      </c>
      <c r="AF77" s="36">
        <f>AF76/AE76-1</f>
        <v>0</v>
      </c>
    </row>
    <row r="78" spans="1:33">
      <c r="B78" s="160"/>
      <c r="C78" s="160"/>
      <c r="D78" s="160"/>
      <c r="E78" s="160"/>
      <c r="F78" s="160"/>
      <c r="G78" s="160"/>
      <c r="H78" s="160"/>
      <c r="I78" s="160"/>
      <c r="J78" s="160"/>
      <c r="K78" s="160"/>
      <c r="L78" s="160"/>
      <c r="M78" s="160"/>
      <c r="N78" s="160"/>
      <c r="O78" s="160"/>
      <c r="P78" s="160"/>
      <c r="Q78" s="160"/>
      <c r="R78" s="160"/>
      <c r="S78" s="160"/>
      <c r="T78" s="160"/>
      <c r="U78" s="160"/>
      <c r="V78" s="160"/>
      <c r="W78" s="160"/>
      <c r="X78" s="160"/>
      <c r="Y78" s="160"/>
      <c r="Z78" s="160"/>
      <c r="AA78" s="160"/>
      <c r="AB78" s="160"/>
      <c r="AC78" s="57"/>
      <c r="AD78" s="57"/>
      <c r="AE78" s="57"/>
      <c r="AF78" s="57"/>
    </row>
    <row r="79" spans="1:33">
      <c r="A79" s="5" t="str">
        <f>Income_Statement_Qtr!A79</f>
        <v>Weighted Average Common Shares - Diluted</v>
      </c>
      <c r="B79" s="187">
        <v>871.3</v>
      </c>
      <c r="C79" s="187">
        <v>829.3</v>
      </c>
      <c r="D79" s="187">
        <v>808.4</v>
      </c>
      <c r="E79" s="187">
        <v>808.9</v>
      </c>
      <c r="F79" s="187">
        <v>813</v>
      </c>
      <c r="G79" s="187">
        <v>802.9</v>
      </c>
      <c r="H79" s="187">
        <v>787.6</v>
      </c>
      <c r="I79" s="187">
        <v>772.5</v>
      </c>
      <c r="J79" s="187">
        <v>729</v>
      </c>
      <c r="K79" s="187">
        <v>713.4</v>
      </c>
      <c r="L79" s="187">
        <v>744.3</v>
      </c>
      <c r="M79" s="187">
        <v>750.6</v>
      </c>
      <c r="N79" s="187">
        <v>761.5</v>
      </c>
      <c r="O79" s="187">
        <v>767.6</v>
      </c>
      <c r="P79" s="187">
        <v>736.7</v>
      </c>
      <c r="Q79" s="241">
        <f>+Income_Statement_Qtr!F79</f>
        <v>695</v>
      </c>
      <c r="R79" s="241">
        <f>+Income_Statement_Qtr!K79</f>
        <v>642.79999999999995</v>
      </c>
      <c r="S79" s="241">
        <f>+Income_Statement_Qtr!P79</f>
        <v>610</v>
      </c>
      <c r="T79" s="241">
        <f>+Income_Statement_Qtr!U79</f>
        <v>585.5</v>
      </c>
      <c r="U79" s="241">
        <f>+Income_Statement_Qtr!Z79</f>
        <v>565.4</v>
      </c>
      <c r="V79" s="241">
        <f>+Income_Statement_Qtr!AE79</f>
        <v>568.17499999999995</v>
      </c>
      <c r="W79" s="241">
        <f>+Income_Statement_Qtr!AJ79</f>
        <v>588.52499999999986</v>
      </c>
      <c r="X79" s="241">
        <f>+Income_Statement_Qtr!AO79</f>
        <v>595.83500000000004</v>
      </c>
      <c r="Y79" s="241">
        <f>+Income_Statement_Qtr!AT79</f>
        <v>606.17499999999995</v>
      </c>
      <c r="Z79" s="241">
        <f>+Income_Statement_Qtr!AY79</f>
        <v>647.20000000000005</v>
      </c>
      <c r="AA79" s="241">
        <f>+Income_Statement_Qtr!BD79</f>
        <v>762.3</v>
      </c>
      <c r="AB79" s="241">
        <f>+Income_Statement_Qtr!BI79</f>
        <v>803.8</v>
      </c>
      <c r="AC79" s="549">
        <f t="shared" ref="AC79:AD79" si="83">AC82</f>
        <v>837.31099999999992</v>
      </c>
      <c r="AD79" s="549">
        <f t="shared" si="83"/>
        <v>837.31099999999992</v>
      </c>
      <c r="AE79" s="549">
        <f t="shared" ref="AE79:AF79" si="84">AE82</f>
        <v>837.31099999999992</v>
      </c>
      <c r="AF79" s="549">
        <f t="shared" si="84"/>
        <v>837.31099999999992</v>
      </c>
      <c r="AG79" s="254">
        <f>AA79/Z79-1</f>
        <v>0.17784301606922104</v>
      </c>
    </row>
    <row r="80" spans="1:33">
      <c r="A80" s="1" t="str">
        <f>Income_Statement_Qtr!A80</f>
        <v>YoY</v>
      </c>
      <c r="B80" s="89">
        <f>B79/925.9-1</f>
        <v>-5.8969651150232227E-2</v>
      </c>
      <c r="C80" s="89">
        <f t="shared" ref="C80:O80" si="85">C79/B79-1</f>
        <v>-4.8203833352461811E-2</v>
      </c>
      <c r="D80" s="89">
        <f t="shared" si="85"/>
        <v>-2.5201977571445822E-2</v>
      </c>
      <c r="E80" s="89">
        <f t="shared" si="85"/>
        <v>6.185056902523467E-4</v>
      </c>
      <c r="F80" s="89">
        <f t="shared" si="85"/>
        <v>5.0686116948943649E-3</v>
      </c>
      <c r="G80" s="89">
        <f t="shared" si="85"/>
        <v>-1.2423124231242366E-2</v>
      </c>
      <c r="H80" s="89">
        <f t="shared" si="85"/>
        <v>-1.9055922281728699E-2</v>
      </c>
      <c r="I80" s="89">
        <f t="shared" si="85"/>
        <v>-1.9172168613509455E-2</v>
      </c>
      <c r="J80" s="89">
        <f t="shared" si="85"/>
        <v>-5.6310679611650483E-2</v>
      </c>
      <c r="K80" s="89">
        <f t="shared" si="85"/>
        <v>-2.1399176954732591E-2</v>
      </c>
      <c r="L80" s="89">
        <f t="shared" si="85"/>
        <v>4.3313708999158873E-2</v>
      </c>
      <c r="M80" s="89">
        <f t="shared" si="85"/>
        <v>8.46432889963733E-3</v>
      </c>
      <c r="N80" s="89">
        <f t="shared" si="85"/>
        <v>1.452171596056484E-2</v>
      </c>
      <c r="O80" s="89">
        <f t="shared" si="85"/>
        <v>8.010505581089955E-3</v>
      </c>
      <c r="P80" s="89">
        <f>P79/O79-1</f>
        <v>-4.0255341323605975E-2</v>
      </c>
      <c r="Q80" s="89">
        <f>+Income_Statement_Qtr!F80</f>
        <v>-5.6603773584905759E-2</v>
      </c>
      <c r="R80" s="89">
        <f>+Income_Statement_Qtr!K80</f>
        <v>-7.5107913669064774E-2</v>
      </c>
      <c r="S80" s="89">
        <f>+Income_Statement_Qtr!P80</f>
        <v>-5.1026757934038547E-2</v>
      </c>
      <c r="T80" s="89">
        <f>+Income_Statement_Qtr!U80</f>
        <v>-4.0163934426229453E-2</v>
      </c>
      <c r="U80" s="89">
        <f>+Income_Statement_Qtr!Z80</f>
        <v>-3.4329632792485132E-2</v>
      </c>
      <c r="V80" s="89">
        <f>+Income_Statement_Qtr!AE80</f>
        <v>4.9080297134771467E-3</v>
      </c>
      <c r="W80" s="89">
        <f>+Income_Statement_Qtr!AJ80</f>
        <v>3.581642979715749E-2</v>
      </c>
      <c r="X80" s="89">
        <f>+Income_Statement_Qtr!AO80</f>
        <v>1.2420882715262982E-2</v>
      </c>
      <c r="Y80" s="89">
        <f>+Income_Statement_Qtr!AT80</f>
        <v>1.7353797611754818E-2</v>
      </c>
      <c r="Z80" s="89">
        <f>+Income_Statement_Qtr!AY80</f>
        <v>6.7678475687714013E-2</v>
      </c>
      <c r="AA80" s="89">
        <f>+Income_Statement_Qtr!BD80</f>
        <v>0.17784301606922104</v>
      </c>
      <c r="AB80" s="89">
        <f>+Income_Statement_Qtr!BI80</f>
        <v>5.4440508985963643E-2</v>
      </c>
      <c r="AC80" s="36">
        <f>AC79/AB79-1</f>
        <v>4.1690719084349404E-2</v>
      </c>
      <c r="AD80" s="36">
        <f>AD79/AC79-1</f>
        <v>0</v>
      </c>
      <c r="AE80" s="36">
        <f>AE79/AD79-1</f>
        <v>0</v>
      </c>
      <c r="AF80" s="36">
        <f>AF79/AE79-1</f>
        <v>0</v>
      </c>
    </row>
    <row r="81" spans="1:32">
      <c r="A81" s="2"/>
      <c r="B81" s="155"/>
      <c r="C81" s="155"/>
      <c r="D81" s="155"/>
      <c r="E81" s="155"/>
      <c r="F81" s="155"/>
      <c r="G81" s="155"/>
      <c r="H81" s="155"/>
      <c r="I81" s="155"/>
      <c r="J81" s="155"/>
      <c r="K81" s="155"/>
      <c r="L81" s="155"/>
      <c r="M81" s="155"/>
      <c r="N81" s="155"/>
      <c r="O81" s="155"/>
      <c r="P81" s="155"/>
      <c r="Q81" s="155"/>
      <c r="R81" s="155"/>
      <c r="S81" s="155"/>
      <c r="T81" s="155"/>
      <c r="U81" s="155"/>
      <c r="V81" s="155"/>
      <c r="W81" s="155"/>
      <c r="X81" s="155"/>
      <c r="Y81" s="155"/>
      <c r="Z81" s="155"/>
      <c r="AA81" s="155"/>
      <c r="AB81" s="155"/>
      <c r="AC81" s="44"/>
      <c r="AD81" s="44"/>
      <c r="AE81" s="44"/>
      <c r="AF81" s="44"/>
    </row>
    <row r="82" spans="1:32">
      <c r="A82" s="5" t="str">
        <f>Income_Statement_Qtr!A82</f>
        <v>Shares Outstanding at the End of the Period - Diluted</v>
      </c>
      <c r="B82" s="241">
        <v>875.48493699999995</v>
      </c>
      <c r="C82" s="241">
        <v>837.58043899999996</v>
      </c>
      <c r="D82" s="241">
        <v>840.0352089999999</v>
      </c>
      <c r="E82" s="241">
        <v>841.48710599999993</v>
      </c>
      <c r="F82" s="241">
        <v>832.18392799999992</v>
      </c>
      <c r="G82" s="241">
        <v>800.17018099999996</v>
      </c>
      <c r="H82" s="241">
        <v>788.73898299999996</v>
      </c>
      <c r="I82" s="241">
        <v>768.04398900000001</v>
      </c>
      <c r="J82" s="241">
        <v>726.59921499999996</v>
      </c>
      <c r="K82" s="241">
        <v>755.85445000000004</v>
      </c>
      <c r="L82" s="241">
        <v>735.25909999999999</v>
      </c>
      <c r="M82" s="241">
        <v>744.70477099999994</v>
      </c>
      <c r="N82" s="241">
        <v>755.63053100000002</v>
      </c>
      <c r="O82" s="241">
        <v>747.37869799999999</v>
      </c>
      <c r="P82" s="241">
        <v>706.72755299999994</v>
      </c>
      <c r="Q82" s="241">
        <f>+Income_Statement_Qtr!F82</f>
        <v>666.62380499999995</v>
      </c>
      <c r="R82" s="241">
        <f>+Income_Statement_Qtr!K82</f>
        <v>617.15159100000005</v>
      </c>
      <c r="S82" s="241">
        <f>+Income_Statement_Qtr!P82</f>
        <v>591.03883300000007</v>
      </c>
      <c r="T82" s="241">
        <f>+Income_Statement_Qtr!U82</f>
        <v>567.64118899999994</v>
      </c>
      <c r="U82" s="241">
        <f>+Income_Statement_Qtr!Z82</f>
        <v>562.90875400000004</v>
      </c>
      <c r="V82" s="241">
        <f>+Income_Statement_Qtr!AE82</f>
        <v>582.32509490000007</v>
      </c>
      <c r="W82" s="241">
        <f>+Income_Statement_Qtr!AJ82</f>
        <v>582.99976500000002</v>
      </c>
      <c r="X82" s="241">
        <f>+Income_Statement_Qtr!AO82</f>
        <v>598.23958500000003</v>
      </c>
      <c r="Y82" s="241">
        <f>+Income_Statement_Qtr!AT82</f>
        <v>610.13520500000004</v>
      </c>
      <c r="Z82" s="241">
        <f>+Income_Statement_Qtr!AY82</f>
        <v>750.07441100000005</v>
      </c>
      <c r="AA82" s="241">
        <f>+Income_Statement_Qtr!BD82</f>
        <v>803.8</v>
      </c>
      <c r="AB82" s="241">
        <f>+Income_Statement_Qtr!BI82</f>
        <v>803.8</v>
      </c>
      <c r="AC82" s="58">
        <f>AB82+((Cash_Flow_Annual!AC51+Cash_Flow_Annual!AC48)/Income_Statement_Annual!AC89)+AC85</f>
        <v>837.31099999999992</v>
      </c>
      <c r="AD82" s="58">
        <f>AC82+((Cash_Flow_Annual!AD51+Cash_Flow_Annual!AD48)/Income_Statement_Annual!AD89)+AD85</f>
        <v>837.31099999999992</v>
      </c>
      <c r="AE82" s="58">
        <f>AD82+((Cash_Flow_Annual!AE51+Cash_Flow_Annual!AE48)/Income_Statement_Annual!AE89)+AE85</f>
        <v>837.31099999999992</v>
      </c>
      <c r="AF82" s="58">
        <f>AE82+((Cash_Flow_Annual!AF51+Cash_Flow_Annual!AF48)/Income_Statement_Annual!AF89)+AF85</f>
        <v>837.31099999999992</v>
      </c>
    </row>
    <row r="83" spans="1:32">
      <c r="A83" s="1" t="str">
        <f>Income_Statement_Qtr!A83</f>
        <v>YoY</v>
      </c>
      <c r="B83" s="89">
        <f>B82/(1011.870159-102.356897)-1</f>
        <v>-3.7413775501384583E-2</v>
      </c>
      <c r="C83" s="89">
        <f t="shared" ref="C83:O83" si="86">C82/B82-1</f>
        <v>-4.3295431363886472E-2</v>
      </c>
      <c r="D83" s="89">
        <f t="shared" si="86"/>
        <v>2.9307871646699901E-3</v>
      </c>
      <c r="E83" s="89">
        <f t="shared" si="86"/>
        <v>1.7283763638056282E-3</v>
      </c>
      <c r="F83" s="89">
        <f t="shared" si="86"/>
        <v>-1.1055639395620154E-2</v>
      </c>
      <c r="G83" s="89">
        <f t="shared" si="86"/>
        <v>-3.8469556936696736E-2</v>
      </c>
      <c r="H83" s="89">
        <f t="shared" si="86"/>
        <v>-1.4285958501620288E-2</v>
      </c>
      <c r="I83" s="89">
        <f t="shared" si="86"/>
        <v>-2.6238076785916831E-2</v>
      </c>
      <c r="J83" s="89">
        <f t="shared" si="86"/>
        <v>-5.3961458710146903E-2</v>
      </c>
      <c r="K83" s="89">
        <f t="shared" si="86"/>
        <v>4.0263235076575254E-2</v>
      </c>
      <c r="L83" s="89">
        <f t="shared" si="86"/>
        <v>-2.7247772372048673E-2</v>
      </c>
      <c r="M83" s="89">
        <f t="shared" si="86"/>
        <v>1.284672437240153E-2</v>
      </c>
      <c r="N83" s="89">
        <f t="shared" si="86"/>
        <v>1.4671263600646522E-2</v>
      </c>
      <c r="O83" s="89">
        <f t="shared" si="86"/>
        <v>-1.0920460015134026E-2</v>
      </c>
      <c r="P83" s="89">
        <f>P82/O82-1</f>
        <v>-5.4391629181810064E-2</v>
      </c>
      <c r="Q83" s="89">
        <f>+Income_Statement_Qtr!F83</f>
        <v>-5.6745697588502009E-2</v>
      </c>
      <c r="R83" s="89">
        <f>+Income_Statement_Qtr!K83</f>
        <v>-7.4213092345239429E-2</v>
      </c>
      <c r="S83" s="89">
        <f>+Income_Statement_Qtr!P83</f>
        <v>-4.2311740552573585E-2</v>
      </c>
      <c r="T83" s="89">
        <f>+Income_Statement_Qtr!U83</f>
        <v>-3.9587320990802199E-2</v>
      </c>
      <c r="U83" s="89">
        <f>+Income_Statement_Qtr!Z83</f>
        <v>-8.337018334305335E-3</v>
      </c>
      <c r="V83" s="89">
        <f>+Income_Statement_Qtr!AE83</f>
        <v>3.4492874310496191E-2</v>
      </c>
      <c r="W83" s="89">
        <f>+Income_Statement_Qtr!AJ83</f>
        <v>1.1585798137649927E-3</v>
      </c>
      <c r="X83" s="89">
        <f>+Income_Statement_Qtr!AO83</f>
        <v>2.6140353590022425E-2</v>
      </c>
      <c r="Y83" s="89">
        <f>+Income_Statement_Qtr!AT83</f>
        <v>1.9884374585476428E-2</v>
      </c>
      <c r="Z83" s="89">
        <f>+Income_Statement_Qtr!AY83</f>
        <v>0.22935769785649396</v>
      </c>
      <c r="AA83" s="89">
        <f>+Income_Statement_Qtr!BD83</f>
        <v>7.1627012216525232E-2</v>
      </c>
      <c r="AB83" s="89">
        <f>+Income_Statement_Qtr!BI83</f>
        <v>0</v>
      </c>
      <c r="AC83" s="36">
        <f>AC82/AB82-1</f>
        <v>4.1690719084349404E-2</v>
      </c>
      <c r="AD83" s="36">
        <f>AD82/AC82-1</f>
        <v>0</v>
      </c>
      <c r="AE83" s="36">
        <f>AE82/AD82-1</f>
        <v>0</v>
      </c>
      <c r="AF83" s="36">
        <f>AF82/AE82-1</f>
        <v>0</v>
      </c>
    </row>
    <row r="84" spans="1:32">
      <c r="A84" s="1"/>
      <c r="B84" s="89"/>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c r="AC84" s="36"/>
      <c r="AD84" s="36"/>
      <c r="AE84" s="36"/>
      <c r="AF84" s="36"/>
    </row>
    <row r="85" spans="1:32">
      <c r="A85" s="5" t="s">
        <v>571</v>
      </c>
      <c r="B85" s="54"/>
      <c r="C85" s="54">
        <f t="shared" ref="C85:AB85" si="87">(C82+C88-B82)</f>
        <v>2.7955020000000559</v>
      </c>
      <c r="D85" s="54">
        <f t="shared" si="87"/>
        <v>2.4547699999999395</v>
      </c>
      <c r="E85" s="54">
        <f t="shared" si="87"/>
        <v>1.4518970000000309</v>
      </c>
      <c r="F85" s="54">
        <f t="shared" si="87"/>
        <v>5.4056779999999662</v>
      </c>
      <c r="G85" s="54">
        <f t="shared" si="87"/>
        <v>13.203553000000056</v>
      </c>
      <c r="H85" s="54">
        <f t="shared" si="87"/>
        <v>9.7530040000000326</v>
      </c>
      <c r="I85" s="54">
        <f t="shared" si="87"/>
        <v>8.3006050000000187</v>
      </c>
      <c r="J85" s="54">
        <f t="shared" si="87"/>
        <v>0.62911099999996623</v>
      </c>
      <c r="K85" s="54">
        <f t="shared" si="87"/>
        <v>30.428387000000043</v>
      </c>
      <c r="L85" s="54">
        <f t="shared" si="87"/>
        <v>-20.595350000000053</v>
      </c>
      <c r="M85" s="54">
        <f t="shared" si="87"/>
        <v>9.4456709999999475</v>
      </c>
      <c r="N85" s="54">
        <f t="shared" si="87"/>
        <v>10.925760000000082</v>
      </c>
      <c r="O85" s="54">
        <f t="shared" si="87"/>
        <v>17.148166999999944</v>
      </c>
      <c r="P85" s="54">
        <f t="shared" si="87"/>
        <v>5.9488549999999805</v>
      </c>
      <c r="Q85" s="54">
        <f t="shared" si="87"/>
        <v>6.6269800000000032</v>
      </c>
      <c r="R85" s="54">
        <f t="shared" si="87"/>
        <v>5.6326570000001084</v>
      </c>
      <c r="S85" s="54">
        <f t="shared" si="87"/>
        <v>20.023408000000018</v>
      </c>
      <c r="T85" s="54">
        <f t="shared" si="87"/>
        <v>2.6606599999998934</v>
      </c>
      <c r="U85" s="54">
        <f t="shared" si="87"/>
        <v>2.1762100000000828</v>
      </c>
      <c r="V85" s="54">
        <f t="shared" si="87"/>
        <v>19.416340900000023</v>
      </c>
      <c r="W85" s="54">
        <f t="shared" si="87"/>
        <v>0.67467009999995753</v>
      </c>
      <c r="X85" s="54">
        <f t="shared" si="87"/>
        <v>15.527982000000065</v>
      </c>
      <c r="Y85" s="54">
        <f t="shared" si="87"/>
        <v>12.173346000000038</v>
      </c>
      <c r="Z85" s="54">
        <f t="shared" si="87"/>
        <v>140.07505900000001</v>
      </c>
      <c r="AA85" s="54">
        <f t="shared" si="87"/>
        <v>53.835398999999938</v>
      </c>
      <c r="AB85" s="54">
        <f t="shared" si="87"/>
        <v>0</v>
      </c>
      <c r="AC85" s="187">
        <f>5.75*5.828</f>
        <v>33.511000000000003</v>
      </c>
      <c r="AD85" s="187">
        <v>0</v>
      </c>
      <c r="AE85" s="187">
        <v>0</v>
      </c>
      <c r="AF85" s="187">
        <v>0</v>
      </c>
    </row>
    <row r="86" spans="1:32">
      <c r="A86" s="1" t="s">
        <v>4</v>
      </c>
      <c r="B86" s="89"/>
      <c r="C86" s="89"/>
      <c r="D86" s="89">
        <f t="shared" ref="D86:AF86" si="88">D85/C85-1</f>
        <v>-0.12188580083294864</v>
      </c>
      <c r="E86" s="89">
        <f t="shared" si="88"/>
        <v>-0.40854051499730459</v>
      </c>
      <c r="F86" s="89">
        <f t="shared" si="88"/>
        <v>2.7231828428599627</v>
      </c>
      <c r="G86" s="89">
        <f t="shared" si="88"/>
        <v>1.4425341280039503</v>
      </c>
      <c r="H86" s="89">
        <f t="shared" si="88"/>
        <v>-0.26133488463294763</v>
      </c>
      <c r="I86" s="89">
        <f t="shared" si="88"/>
        <v>-0.14891811794602039</v>
      </c>
      <c r="J86" s="89">
        <f t="shared" si="88"/>
        <v>-0.92420901849925818</v>
      </c>
      <c r="K86" s="89">
        <f t="shared" si="88"/>
        <v>47.367278588359888</v>
      </c>
      <c r="L86" s="89">
        <f t="shared" si="88"/>
        <v>-1.6768465906523413</v>
      </c>
      <c r="M86" s="89">
        <f t="shared" si="88"/>
        <v>-1.4586312444313849</v>
      </c>
      <c r="N86" s="89">
        <f t="shared" si="88"/>
        <v>0.15669495581628268</v>
      </c>
      <c r="O86" s="89">
        <f t="shared" si="88"/>
        <v>0.56951708622556363</v>
      </c>
      <c r="P86" s="89">
        <f t="shared" si="88"/>
        <v>-0.6530909105328867</v>
      </c>
      <c r="Q86" s="89">
        <f t="shared" si="88"/>
        <v>0.11399252461188336</v>
      </c>
      <c r="R86" s="89">
        <f t="shared" si="88"/>
        <v>-0.1500416479301121</v>
      </c>
      <c r="S86" s="89">
        <f t="shared" si="88"/>
        <v>2.5548779199584906</v>
      </c>
      <c r="T86" s="89">
        <f t="shared" si="88"/>
        <v>-0.86712251980282817</v>
      </c>
      <c r="U86" s="89">
        <f t="shared" si="88"/>
        <v>-0.18207888268318018</v>
      </c>
      <c r="V86" s="89">
        <f t="shared" si="88"/>
        <v>7.9220897339867395</v>
      </c>
      <c r="W86" s="89">
        <f t="shared" si="88"/>
        <v>-0.96525245907688217</v>
      </c>
      <c r="X86" s="89">
        <f t="shared" si="88"/>
        <v>22.015666471659323</v>
      </c>
      <c r="Y86" s="89">
        <f t="shared" si="88"/>
        <v>-0.21603811750941071</v>
      </c>
      <c r="Z86" s="89">
        <f t="shared" si="88"/>
        <v>10.506701526433208</v>
      </c>
      <c r="AA86" s="89">
        <f t="shared" si="88"/>
        <v>-0.61566749009900512</v>
      </c>
      <c r="AB86" s="89">
        <f t="shared" si="88"/>
        <v>-1</v>
      </c>
      <c r="AC86" s="223" t="e">
        <f t="shared" si="88"/>
        <v>#DIV/0!</v>
      </c>
      <c r="AD86" s="223">
        <f t="shared" si="88"/>
        <v>-1</v>
      </c>
      <c r="AE86" s="223" t="e">
        <f t="shared" si="88"/>
        <v>#DIV/0!</v>
      </c>
      <c r="AF86" s="223" t="e">
        <f t="shared" si="88"/>
        <v>#DIV/0!</v>
      </c>
    </row>
    <row r="87" spans="1:32">
      <c r="A87" s="2"/>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36"/>
      <c r="AD87" s="36"/>
      <c r="AE87" s="36"/>
      <c r="AF87" s="36"/>
    </row>
    <row r="88" spans="1:32">
      <c r="A88" s="14" t="str">
        <f>Income_Statement_Qtr!A88</f>
        <v>Shares Repurchased/(Issued)</v>
      </c>
      <c r="B88" s="241">
        <v>41.8</v>
      </c>
      <c r="C88" s="241">
        <v>40.700000000000003</v>
      </c>
      <c r="D88" s="241">
        <v>0</v>
      </c>
      <c r="E88" s="241">
        <v>0</v>
      </c>
      <c r="F88" s="241">
        <v>14.708856000000001</v>
      </c>
      <c r="G88" s="241">
        <v>45.217300000000002</v>
      </c>
      <c r="H88" s="241">
        <v>21.184201999999999</v>
      </c>
      <c r="I88" s="241">
        <v>28.995598999999999</v>
      </c>
      <c r="J88" s="241">
        <v>42.073884999999997</v>
      </c>
      <c r="K88" s="241">
        <v>1.173152</v>
      </c>
      <c r="L88" s="241">
        <v>0</v>
      </c>
      <c r="M88" s="241">
        <v>0</v>
      </c>
      <c r="N88" s="241">
        <v>0</v>
      </c>
      <c r="O88" s="241">
        <v>25.4</v>
      </c>
      <c r="P88" s="241">
        <v>46.6</v>
      </c>
      <c r="Q88" s="241">
        <f>Income_Statement_Qtr!F88</f>
        <v>46.730727999999999</v>
      </c>
      <c r="R88" s="241">
        <f>Income_Statement_Qtr!K88</f>
        <v>55.104871000000003</v>
      </c>
      <c r="S88" s="241">
        <f>Income_Statement_Qtr!P88</f>
        <v>46.136166000000003</v>
      </c>
      <c r="T88" s="241">
        <f>Income_Statement_Qtr!U88</f>
        <v>26.058303999999996</v>
      </c>
      <c r="U88" s="241">
        <f>Income_Statement_Qtr!Z88</f>
        <v>6.9086449999999999</v>
      </c>
      <c r="V88" s="241">
        <f>Income_Statement_Qtr!AE88</f>
        <v>0</v>
      </c>
      <c r="W88" s="241">
        <f>Income_Statement_Qtr!AJ88</f>
        <v>0</v>
      </c>
      <c r="X88" s="241">
        <f>Income_Statement_Qtr!AO88</f>
        <v>0.28816199999999997</v>
      </c>
      <c r="Y88" s="241">
        <f>Income_Statement_Qtr!AT88</f>
        <v>0.27772600000000003</v>
      </c>
      <c r="Z88" s="241">
        <f>Income_Statement_Qtr!AY88</f>
        <v>0.135853</v>
      </c>
      <c r="AA88" s="241">
        <f>Income_Statement_Qtr!BD88</f>
        <v>0.10981</v>
      </c>
      <c r="AB88" s="241">
        <f>Income_Statement_Qtr!BI88</f>
        <v>0</v>
      </c>
      <c r="AC88" s="54">
        <f>-Cash_Flow_Annual!AC51/AC89</f>
        <v>0</v>
      </c>
      <c r="AD88" s="54">
        <f>-Cash_Flow_Annual!AD51/AD89</f>
        <v>0</v>
      </c>
      <c r="AE88" s="54">
        <f>-Cash_Flow_Annual!AE51/AE89</f>
        <v>0</v>
      </c>
      <c r="AF88" s="54">
        <f>-Cash_Flow_Annual!AF51/AF89</f>
        <v>0</v>
      </c>
    </row>
    <row r="89" spans="1:32">
      <c r="A89" s="5" t="str">
        <f>Income_Statement_Qtr!A89</f>
        <v>Average Stock Price</v>
      </c>
      <c r="B89" s="262">
        <v>56.387559808612444</v>
      </c>
      <c r="C89" s="262">
        <v>59.385749385749385</v>
      </c>
      <c r="D89" s="262" t="s">
        <v>337</v>
      </c>
      <c r="E89" s="262" t="s">
        <v>337</v>
      </c>
      <c r="F89" s="262">
        <v>51.125661982141914</v>
      </c>
      <c r="G89" s="262">
        <v>63.6</v>
      </c>
      <c r="H89" s="262">
        <v>80.180000000000007</v>
      </c>
      <c r="I89" s="262">
        <v>95.68</v>
      </c>
      <c r="J89" s="262">
        <v>69.790000000000006</v>
      </c>
      <c r="K89" s="262">
        <v>42.94</v>
      </c>
      <c r="L89" s="262" t="s">
        <v>337</v>
      </c>
      <c r="M89" s="262" t="s">
        <v>337</v>
      </c>
      <c r="N89" s="262" t="s">
        <v>337</v>
      </c>
      <c r="O89" s="262">
        <v>110.27559055118111</v>
      </c>
      <c r="P89" s="262">
        <v>128.77682403433477</v>
      </c>
      <c r="Q89" s="262">
        <f>Income_Statement_Qtr!F89</f>
        <v>143.51249999999999</v>
      </c>
      <c r="R89" s="262">
        <f>Income_Statement_Qtr!K89</f>
        <v>130.505</v>
      </c>
      <c r="S89" s="262">
        <f>Income_Statement_Qtr!P89</f>
        <v>210.07499999999999</v>
      </c>
      <c r="T89" s="262">
        <f>Income_Statement_Qtr!U89</f>
        <v>351.51</v>
      </c>
      <c r="U89" s="262">
        <f>Income_Statement_Qtr!Z89</f>
        <v>391.30434782608694</v>
      </c>
      <c r="V89" s="262">
        <f>Income_Statement_Qtr!AE89</f>
        <v>391.30434782608694</v>
      </c>
      <c r="W89" s="262">
        <f>Income_Statement_Qtr!AJ89</f>
        <v>391.30434782608694</v>
      </c>
      <c r="X89" s="262">
        <f>Income_Statement_Qtr!AO89</f>
        <v>175.54250000000002</v>
      </c>
      <c r="Y89" s="262">
        <f>Income_Statement_Qtr!AT89</f>
        <v>205.68515625000001</v>
      </c>
      <c r="Z89" s="262">
        <f>Income_Statement_Qtr!AY89</f>
        <v>182.28749999999999</v>
      </c>
      <c r="AA89" s="262">
        <f>Income_Statement_Qtr!BD89</f>
        <v>208.33749999999998</v>
      </c>
      <c r="AB89" s="262">
        <f>Income_Statement_Qtr!BI89</f>
        <v>229.25975843679998</v>
      </c>
      <c r="AC89" s="52">
        <f>AB89*(1+AC90)</f>
        <v>252.18573428048001</v>
      </c>
      <c r="AD89" s="52">
        <f>AC89*(1+AD90)</f>
        <v>277.40430770852805</v>
      </c>
      <c r="AE89" s="52">
        <f>AD89*(1+AE90)</f>
        <v>305.14473847938086</v>
      </c>
      <c r="AF89" s="52">
        <f>AE89*(1+AF90)</f>
        <v>335.65921232731898</v>
      </c>
    </row>
    <row r="90" spans="1:32">
      <c r="A90" s="1" t="s">
        <v>570</v>
      </c>
      <c r="B90" s="262"/>
      <c r="C90" s="294">
        <f t="shared" ref="C90:N90" si="89">IFERROR(C89/B89-1,"NM")</f>
        <v>5.3171117659874367E-2</v>
      </c>
      <c r="D90" s="294" t="str">
        <f t="shared" si="89"/>
        <v>NM</v>
      </c>
      <c r="E90" s="294" t="str">
        <f t="shared" si="89"/>
        <v>NM</v>
      </c>
      <c r="F90" s="294" t="str">
        <f t="shared" si="89"/>
        <v>NM</v>
      </c>
      <c r="G90" s="294">
        <f t="shared" si="89"/>
        <v>0.24399367234042568</v>
      </c>
      <c r="H90" s="294">
        <f t="shared" si="89"/>
        <v>0.26069182389937118</v>
      </c>
      <c r="I90" s="294">
        <f t="shared" si="89"/>
        <v>0.19331504115739584</v>
      </c>
      <c r="J90" s="294">
        <f t="shared" si="89"/>
        <v>-0.27058946488294311</v>
      </c>
      <c r="K90" s="294">
        <f t="shared" si="89"/>
        <v>-0.38472560538759148</v>
      </c>
      <c r="L90" s="294" t="str">
        <f t="shared" si="89"/>
        <v>NM</v>
      </c>
      <c r="M90" s="294" t="str">
        <f t="shared" si="89"/>
        <v>NM</v>
      </c>
      <c r="N90" s="294" t="str">
        <f t="shared" si="89"/>
        <v>NM</v>
      </c>
      <c r="O90" s="294" t="str">
        <f>IFERROR(O89/N89-1,"NM")</f>
        <v>NM</v>
      </c>
      <c r="P90" s="294">
        <f t="shared" ref="P90:AB90" si="90">IFERROR(P89/O89-1,"NM")</f>
        <v>0.16777269920460647</v>
      </c>
      <c r="Q90" s="294">
        <f t="shared" si="90"/>
        <v>0.11442801199800012</v>
      </c>
      <c r="R90" s="294">
        <f t="shared" si="90"/>
        <v>-9.0636704119850142E-2</v>
      </c>
      <c r="S90" s="294">
        <f t="shared" si="90"/>
        <v>0.60970844028964399</v>
      </c>
      <c r="T90" s="294">
        <f t="shared" si="90"/>
        <v>0.67325955016065686</v>
      </c>
      <c r="U90" s="294">
        <f t="shared" si="90"/>
        <v>0.11320971757869458</v>
      </c>
      <c r="V90" s="294">
        <f t="shared" si="90"/>
        <v>0</v>
      </c>
      <c r="W90" s="294">
        <f t="shared" si="90"/>
        <v>0</v>
      </c>
      <c r="X90" s="294">
        <f t="shared" si="90"/>
        <v>-0.55139138888888883</v>
      </c>
      <c r="Y90" s="294">
        <f t="shared" si="90"/>
        <v>0.17171144452198184</v>
      </c>
      <c r="Z90" s="294">
        <f t="shared" si="90"/>
        <v>-0.11375471461616482</v>
      </c>
      <c r="AA90" s="294">
        <f t="shared" si="90"/>
        <v>0.14290612356853871</v>
      </c>
      <c r="AB90" s="294">
        <f t="shared" si="90"/>
        <v>0.10042483200000007</v>
      </c>
      <c r="AC90" s="142">
        <v>0.1</v>
      </c>
      <c r="AD90" s="142">
        <v>0.1</v>
      </c>
      <c r="AE90" s="142">
        <v>0.1</v>
      </c>
      <c r="AF90" s="142">
        <v>0.1</v>
      </c>
    </row>
    <row r="91" spans="1:32">
      <c r="A91" s="5"/>
      <c r="B91" s="262"/>
      <c r="C91" s="262"/>
      <c r="D91" s="262"/>
      <c r="E91" s="262"/>
      <c r="F91" s="262"/>
      <c r="G91" s="262"/>
      <c r="H91" s="262"/>
      <c r="I91" s="262"/>
      <c r="J91" s="262"/>
      <c r="K91" s="262"/>
      <c r="L91" s="262"/>
      <c r="M91" s="262"/>
      <c r="N91" s="262"/>
      <c r="O91" s="262"/>
      <c r="P91" s="262"/>
      <c r="Q91" s="262"/>
      <c r="R91" s="262"/>
      <c r="S91" s="262"/>
      <c r="T91" s="262"/>
      <c r="U91" s="262"/>
      <c r="V91" s="262"/>
      <c r="W91" s="262"/>
      <c r="X91" s="262"/>
      <c r="Y91" s="262"/>
      <c r="Z91" s="262"/>
      <c r="AA91" s="262"/>
      <c r="AB91" s="262"/>
      <c r="AC91" s="52"/>
      <c r="AD91" s="52"/>
      <c r="AE91" s="52"/>
      <c r="AF91" s="52"/>
    </row>
    <row r="92" spans="1:32">
      <c r="A92" s="5" t="str">
        <f>Income_Statement_Qtr!A92</f>
        <v>Dividend Per Share</v>
      </c>
      <c r="B92" s="262">
        <f>Cash_Flow_Annual!B84</f>
        <v>0.56000000000000005</v>
      </c>
      <c r="C92" s="262">
        <f>Cash_Flow_Annual!C84</f>
        <v>0.68</v>
      </c>
      <c r="D92" s="262">
        <f>Cash_Flow_Annual!D84</f>
        <v>0.68</v>
      </c>
      <c r="E92" s="262">
        <f>Cash_Flow_Annual!E84</f>
        <v>0.68</v>
      </c>
      <c r="F92" s="262">
        <f>Cash_Flow_Annual!F84</f>
        <v>0.85</v>
      </c>
      <c r="G92" s="262">
        <f>Cash_Flow_Annual!G84</f>
        <v>1.05</v>
      </c>
      <c r="H92" s="262">
        <f>Cash_Flow_Annual!H84</f>
        <v>1.25</v>
      </c>
      <c r="I92" s="262">
        <f>Cash_Flow_Annual!I84</f>
        <v>1.45</v>
      </c>
      <c r="J92" s="262">
        <f>Cash_Flow_Annual!J84</f>
        <v>1.62</v>
      </c>
      <c r="K92" s="262">
        <f>Cash_Flow_Annual!K84</f>
        <v>1.68</v>
      </c>
      <c r="L92" s="262">
        <f>Cash_Flow_Annual!L84</f>
        <v>1.68</v>
      </c>
      <c r="M92" s="262">
        <f>Cash_Flow_Annual!M84</f>
        <v>1.7</v>
      </c>
      <c r="N92" s="262">
        <f>Cash_Flow_Annual!N84</f>
        <v>1.8049999999999999</v>
      </c>
      <c r="O92" s="262">
        <f>Cash_Flow_Annual!O84</f>
        <v>2.1850000000000001</v>
      </c>
      <c r="P92" s="262">
        <f>Cash_Flow_Annual!P84</f>
        <v>3.1</v>
      </c>
      <c r="Q92" s="262">
        <f>Income_Statement_Qtr!F92</f>
        <v>3.8200000000000003</v>
      </c>
      <c r="R92" s="262">
        <f>Income_Statement_Qtr!K92</f>
        <v>4.6900000000000004</v>
      </c>
      <c r="S92" s="262">
        <f>Income_Statement_Qtr!P92</f>
        <v>5.97</v>
      </c>
      <c r="T92" s="262">
        <f>Income_Statement_Qtr!U92</f>
        <v>7.1850000000000005</v>
      </c>
      <c r="U92" s="262">
        <f>Income_Statement_Qtr!Z92</f>
        <v>8.2200000000000006</v>
      </c>
      <c r="V92" s="262">
        <f>Income_Statement_Qtr!AE92</f>
        <v>0</v>
      </c>
      <c r="W92" s="262">
        <f>Income_Statement_Qtr!AJ92</f>
        <v>0</v>
      </c>
      <c r="X92" s="262">
        <f>Income_Statement_Qtr!AO92</f>
        <v>0</v>
      </c>
      <c r="Y92" s="262">
        <f>Income_Statement_Qtr!AT92</f>
        <v>0</v>
      </c>
      <c r="Z92" s="262">
        <f>Income_Statement_Qtr!AY92</f>
        <v>0</v>
      </c>
      <c r="AA92" s="262">
        <f>Income_Statement_Qtr!BD92</f>
        <v>0</v>
      </c>
      <c r="AB92" s="262">
        <f>Income_Statement_Qtr!BI92</f>
        <v>0</v>
      </c>
      <c r="AC92" s="269">
        <f>Cash_Flow_Annual!AC84</f>
        <v>0</v>
      </c>
      <c r="AD92" s="269">
        <f>Cash_Flow_Annual!AD84</f>
        <v>0.25</v>
      </c>
      <c r="AE92" s="269">
        <f>Cash_Flow_Annual!AE84</f>
        <v>0.25</v>
      </c>
      <c r="AF92" s="269">
        <f>Cash_Flow_Annual!AF84</f>
        <v>0.25</v>
      </c>
    </row>
    <row r="93" spans="1:32">
      <c r="A93" s="1" t="str">
        <f>Income_Statement_Qtr!A93</f>
        <v>YoY</v>
      </c>
      <c r="B93" s="126">
        <f>Cash_Flow_Annual!B85</f>
        <v>0</v>
      </c>
      <c r="C93" s="126">
        <f>Cash_Flow_Annual!C85</f>
        <v>0.21428571428571419</v>
      </c>
      <c r="D93" s="126">
        <f>Cash_Flow_Annual!D85</f>
        <v>0</v>
      </c>
      <c r="E93" s="126">
        <f>Cash_Flow_Annual!E85</f>
        <v>0</v>
      </c>
      <c r="F93" s="126">
        <f>Cash_Flow_Annual!F85</f>
        <v>0.24999999999999978</v>
      </c>
      <c r="G93" s="126">
        <f>Cash_Flow_Annual!G85</f>
        <v>0.23529411764705888</v>
      </c>
      <c r="H93" s="126">
        <f>Cash_Flow_Annual!H85</f>
        <v>0.19047619047619047</v>
      </c>
      <c r="I93" s="126">
        <f>Cash_Flow_Annual!I85</f>
        <v>0.15999999999999992</v>
      </c>
      <c r="J93" s="126">
        <f>Cash_Flow_Annual!J85</f>
        <v>0.11724137931034484</v>
      </c>
      <c r="K93" s="126">
        <f>Cash_Flow_Annual!K85</f>
        <v>3.7037037037036979E-2</v>
      </c>
      <c r="L93" s="126">
        <f>Cash_Flow_Annual!L85</f>
        <v>0</v>
      </c>
      <c r="M93" s="126">
        <f>Cash_Flow_Annual!M85</f>
        <v>1.1904761904761862E-2</v>
      </c>
      <c r="N93" s="126">
        <f>Cash_Flow_Annual!N85</f>
        <v>6.1764705882352944E-2</v>
      </c>
      <c r="O93" s="126">
        <f>Cash_Flow_Annual!O85</f>
        <v>0.21052631578947367</v>
      </c>
      <c r="P93" s="126">
        <f>Cash_Flow_Annual!P85</f>
        <v>0.41876430205949666</v>
      </c>
      <c r="Q93" s="126">
        <f>Income_Statement_Qtr!F93</f>
        <v>0.23225806451612918</v>
      </c>
      <c r="R93" s="126">
        <f>Income_Statement_Qtr!K93</f>
        <v>0.22774869109947637</v>
      </c>
      <c r="S93" s="126">
        <f>Income_Statement_Qtr!P93</f>
        <v>0.27292110874200404</v>
      </c>
      <c r="T93" s="126">
        <f>Income_Statement_Qtr!U93</f>
        <v>0.20351758793969865</v>
      </c>
      <c r="U93" s="126">
        <f>Income_Statement_Qtr!Z93</f>
        <v>0.14405010438413357</v>
      </c>
      <c r="V93" s="126">
        <f>Income_Statement_Qtr!AE93</f>
        <v>-1</v>
      </c>
      <c r="W93" s="126" t="str">
        <f>Income_Statement_Qtr!AJ93</f>
        <v>NM</v>
      </c>
      <c r="X93" s="126" t="str">
        <f>Income_Statement_Qtr!AO93</f>
        <v>NM</v>
      </c>
      <c r="Y93" s="126" t="str">
        <f>Income_Statement_Qtr!AT93</f>
        <v>NM</v>
      </c>
      <c r="Z93" s="126" t="str">
        <f>Income_Statement_Qtr!AY93</f>
        <v>NM</v>
      </c>
      <c r="AA93" s="126">
        <f>Income_Statement_Qtr!BD93</f>
        <v>0</v>
      </c>
      <c r="AB93" s="126">
        <f>Income_Statement_Qtr!BI93</f>
        <v>0</v>
      </c>
      <c r="AC93" s="182" t="str">
        <f>Cash_Flow_Annual!AC85</f>
        <v>NM</v>
      </c>
      <c r="AD93" s="182" t="str">
        <f>Cash_Flow_Annual!AD85</f>
        <v>NM</v>
      </c>
      <c r="AE93" s="182">
        <f>Cash_Flow_Annual!AE85</f>
        <v>0</v>
      </c>
      <c r="AF93" s="182">
        <f>Cash_Flow_Annual!AF85</f>
        <v>0</v>
      </c>
    </row>
    <row r="94" spans="1:32">
      <c r="A94" s="2"/>
      <c r="B94" s="155"/>
      <c r="C94" s="155"/>
      <c r="D94" s="155"/>
      <c r="E94" s="155"/>
      <c r="F94" s="155"/>
      <c r="G94" s="155"/>
      <c r="H94" s="155"/>
      <c r="I94" s="155"/>
      <c r="J94" s="155"/>
      <c r="K94" s="155"/>
      <c r="L94" s="155"/>
      <c r="M94" s="155"/>
      <c r="N94" s="155"/>
      <c r="O94" s="155"/>
      <c r="P94" s="155"/>
      <c r="Q94" s="155"/>
      <c r="R94" s="155"/>
      <c r="S94" s="155"/>
      <c r="T94" s="155"/>
      <c r="U94" s="155"/>
      <c r="V94" s="155"/>
      <c r="W94" s="155"/>
      <c r="X94" s="155"/>
      <c r="Y94" s="155"/>
      <c r="Z94" s="155"/>
      <c r="AA94" s="155"/>
      <c r="AB94" s="155"/>
      <c r="AC94" s="44"/>
      <c r="AD94" s="44"/>
      <c r="AE94" s="44"/>
      <c r="AF94" s="44"/>
    </row>
    <row r="95" spans="1:32">
      <c r="A95" s="113" t="str">
        <f>Income_Statement_Qtr!A95</f>
        <v>Financial Metrics</v>
      </c>
      <c r="B95" s="161"/>
      <c r="C95" s="161"/>
      <c r="D95" s="161"/>
      <c r="E95" s="161"/>
      <c r="F95" s="161"/>
      <c r="G95" s="161"/>
      <c r="H95" s="161"/>
      <c r="I95" s="161"/>
      <c r="J95" s="161"/>
      <c r="K95" s="161"/>
      <c r="L95" s="161"/>
      <c r="M95" s="161"/>
      <c r="N95" s="161"/>
      <c r="O95" s="161"/>
      <c r="P95" s="161"/>
      <c r="Q95" s="161"/>
      <c r="R95" s="161"/>
      <c r="S95" s="161"/>
      <c r="T95" s="161"/>
      <c r="U95" s="161"/>
      <c r="V95" s="161"/>
      <c r="W95" s="161"/>
      <c r="X95" s="161"/>
      <c r="Y95" s="161"/>
      <c r="Z95" s="161"/>
      <c r="AA95" s="161"/>
      <c r="AB95" s="161"/>
      <c r="AC95" s="114"/>
      <c r="AD95" s="114"/>
      <c r="AE95" s="114"/>
      <c r="AF95" s="114"/>
    </row>
    <row r="96" spans="1:32">
      <c r="A96" s="1" t="str">
        <f>Income_Statement_Qtr!A96</f>
        <v>Depreciation &amp; Amortization</v>
      </c>
      <c r="B96" s="123">
        <f>Cash_Flow_Annual!B5</f>
        <v>1479</v>
      </c>
      <c r="C96" s="123">
        <f>Cash_Flow_Annual!C5</f>
        <v>1743</v>
      </c>
      <c r="D96" s="123">
        <f>Cash_Flow_Annual!D5</f>
        <v>1497</v>
      </c>
      <c r="E96" s="123">
        <f>Cash_Flow_Annual!E5</f>
        <v>1400</v>
      </c>
      <c r="F96" s="123">
        <f>Cash_Flow_Annual!F5</f>
        <v>1509</v>
      </c>
      <c r="G96" s="123">
        <f>Cash_Flow_Annual!G5</f>
        <v>1503</v>
      </c>
      <c r="H96" s="123">
        <f>Cash_Flow_Annual!H5</f>
        <v>1545</v>
      </c>
      <c r="I96" s="123">
        <f>Cash_Flow_Annual!I5</f>
        <v>1486</v>
      </c>
      <c r="J96" s="123">
        <f>Cash_Flow_Annual!J5</f>
        <v>1491</v>
      </c>
      <c r="K96" s="123">
        <f>Cash_Flow_Annual!K5</f>
        <v>1666</v>
      </c>
      <c r="L96" s="123">
        <f>Cash_Flow_Annual!L5</f>
        <v>1727</v>
      </c>
      <c r="M96" s="123">
        <f>Cash_Flow_Annual!M5</f>
        <v>1675</v>
      </c>
      <c r="N96" s="123">
        <f>Cash_Flow_Annual!N5</f>
        <v>1811</v>
      </c>
      <c r="O96" s="123">
        <f>Cash_Flow_Annual!O5</f>
        <v>1844</v>
      </c>
      <c r="P96" s="123">
        <f>Cash_Flow_Annual!P5</f>
        <v>1906</v>
      </c>
      <c r="Q96" s="123">
        <f>Income_Statement_Qtr!$F$96</f>
        <v>1833</v>
      </c>
      <c r="R96" s="123">
        <f>Income_Statement_Qtr!$K$96</f>
        <v>1910</v>
      </c>
      <c r="S96" s="123">
        <f>Income_Statement_Qtr!$P$96</f>
        <v>2047</v>
      </c>
      <c r="T96" s="123">
        <f>Income_Statement_Qtr!$U$96</f>
        <v>2114</v>
      </c>
      <c r="U96" s="123">
        <f>Income_Statement_Qtr!$Z$96</f>
        <v>2271</v>
      </c>
      <c r="V96" s="123">
        <f>Cash_Flow_Annual!V5</f>
        <v>2246</v>
      </c>
      <c r="W96" s="123">
        <f>Cash_Flow_Annual!W5</f>
        <v>2144</v>
      </c>
      <c r="X96" s="123">
        <f>Cash_Flow_Annual!X5</f>
        <v>1979</v>
      </c>
      <c r="Y96" s="123">
        <f>Cash_Flow_Annual!Y5</f>
        <v>1861</v>
      </c>
      <c r="Z96" s="123">
        <f>Cash_Flow_Annual!Z5</f>
        <v>1836</v>
      </c>
      <c r="AA96" s="123">
        <f>Cash_Flow_Annual!AA5</f>
        <v>1953</v>
      </c>
      <c r="AB96" s="123">
        <f>Cash_Flow_Annual!AB5</f>
        <v>2073.7350000000001</v>
      </c>
      <c r="AC96" s="38">
        <f>Cash_Flow_Annual!AC5</f>
        <v>2827.3433314026465</v>
      </c>
      <c r="AD96" s="38">
        <f>Cash_Flow_Annual!AD5</f>
        <v>2896.4570485048507</v>
      </c>
      <c r="AE96" s="38">
        <f>Cash_Flow_Annual!AE5</f>
        <v>2977.453601868021</v>
      </c>
      <c r="AF96" s="38">
        <f>Cash_Flow_Annual!AF5</f>
        <v>3064.4801036758035</v>
      </c>
    </row>
    <row r="97" spans="1:32">
      <c r="A97" s="9" t="str">
        <f>Income_Statement_Qtr!A97</f>
        <v>EBITDA</v>
      </c>
      <c r="B97" s="150">
        <f t="shared" ref="B97:W97" si="91">B34+B96</f>
        <v>4537</v>
      </c>
      <c r="C97" s="150">
        <f t="shared" si="91"/>
        <v>5639</v>
      </c>
      <c r="D97" s="150">
        <f t="shared" si="91"/>
        <v>4947</v>
      </c>
      <c r="E97" s="150">
        <f t="shared" si="91"/>
        <v>2711</v>
      </c>
      <c r="F97" s="150">
        <f t="shared" si="91"/>
        <v>4071</v>
      </c>
      <c r="G97" s="150">
        <f t="shared" si="91"/>
        <v>4315</v>
      </c>
      <c r="H97" s="150">
        <f t="shared" si="91"/>
        <v>5465</v>
      </c>
      <c r="I97" s="150">
        <f t="shared" si="91"/>
        <v>7316</v>
      </c>
      <c r="J97" s="150">
        <f t="shared" si="91"/>
        <v>8312.1384615384613</v>
      </c>
      <c r="K97" s="150">
        <f t="shared" si="91"/>
        <v>7807</v>
      </c>
      <c r="L97" s="150">
        <f t="shared" si="91"/>
        <v>6698</v>
      </c>
      <c r="M97" s="150">
        <f t="shared" si="91"/>
        <v>7519</v>
      </c>
      <c r="N97" s="150">
        <f t="shared" si="91"/>
        <v>8101</v>
      </c>
      <c r="O97" s="150">
        <f t="shared" si="91"/>
        <v>8812</v>
      </c>
      <c r="P97" s="150">
        <f t="shared" si="91"/>
        <v>9379</v>
      </c>
      <c r="Q97" s="150">
        <f t="shared" si="91"/>
        <v>9276</v>
      </c>
      <c r="R97" s="150">
        <f t="shared" si="91"/>
        <v>7744</v>
      </c>
      <c r="S97" s="150">
        <f t="shared" si="91"/>
        <v>12391</v>
      </c>
      <c r="T97" s="150">
        <f t="shared" si="91"/>
        <v>14101</v>
      </c>
      <c r="U97" s="150">
        <f t="shared" si="91"/>
        <v>296</v>
      </c>
      <c r="V97" s="150">
        <f t="shared" si="91"/>
        <v>-10521</v>
      </c>
      <c r="W97" s="150">
        <f t="shared" si="91"/>
        <v>-758</v>
      </c>
      <c r="X97" s="150">
        <f t="shared" ref="X97:AE97" si="92">X34+X96</f>
        <v>-1568</v>
      </c>
      <c r="Y97" s="150">
        <f t="shared" si="92"/>
        <v>1088</v>
      </c>
      <c r="Z97" s="150">
        <f t="shared" si="92"/>
        <v>-8871</v>
      </c>
      <c r="AA97" s="150">
        <f t="shared" si="92"/>
        <v>6234</v>
      </c>
      <c r="AB97" s="150">
        <f t="shared" ref="AB97" si="93">AB34+AB96</f>
        <v>4185.728755254615</v>
      </c>
      <c r="AC97" s="25">
        <f t="shared" si="92"/>
        <v>11509.055229370435</v>
      </c>
      <c r="AD97" s="25">
        <f t="shared" si="92"/>
        <v>13761.383105301844</v>
      </c>
      <c r="AE97" s="25">
        <f t="shared" si="92"/>
        <v>14336.887938987949</v>
      </c>
      <c r="AF97" s="25">
        <f t="shared" ref="AF97" si="94">AF34+AF96</f>
        <v>14881.366594566342</v>
      </c>
    </row>
    <row r="98" spans="1:32">
      <c r="A98" s="1" t="str">
        <f>Income_Statement_Qtr!A98</f>
        <v>EBITDA Margin</v>
      </c>
      <c r="B98" s="162">
        <f t="shared" ref="B98:W98" si="95">B97/B10</f>
        <v>8.8404356890941324E-2</v>
      </c>
      <c r="C98" s="162">
        <f t="shared" si="95"/>
        <v>9.6893364033128287E-2</v>
      </c>
      <c r="D98" s="162">
        <f t="shared" si="95"/>
        <v>9.1507741255248701E-2</v>
      </c>
      <c r="E98" s="162">
        <f t="shared" si="95"/>
        <v>5.394380770455269E-2</v>
      </c>
      <c r="F98" s="162">
        <f t="shared" si="95"/>
        <v>7.7606420496787842E-2</v>
      </c>
      <c r="G98" s="162">
        <f t="shared" si="95"/>
        <v>8.0472203054773317E-2</v>
      </c>
      <c r="H98" s="162">
        <f t="shared" si="95"/>
        <v>8.8818462538599055E-2</v>
      </c>
      <c r="I98" s="162">
        <f t="shared" si="95"/>
        <v>0.11020229864280658</v>
      </c>
      <c r="J98" s="162">
        <f t="shared" si="95"/>
        <v>0.1364681485747338</v>
      </c>
      <c r="K98" s="162">
        <f t="shared" si="95"/>
        <v>0.11433634539623029</v>
      </c>
      <c r="L98" s="162">
        <f t="shared" si="95"/>
        <v>0.10415824339874973</v>
      </c>
      <c r="M98" s="162">
        <f t="shared" si="95"/>
        <v>0.10939113988506584</v>
      </c>
      <c r="N98" s="162">
        <f t="shared" si="95"/>
        <v>9.9157874121765521E-2</v>
      </c>
      <c r="O98" s="162">
        <f t="shared" si="95"/>
        <v>0.10172817842836199</v>
      </c>
      <c r="P98" s="162">
        <f t="shared" si="95"/>
        <v>0.10333619796831273</v>
      </c>
      <c r="Q98" s="162">
        <f t="shared" si="95"/>
        <v>9.6510393907235162E-2</v>
      </c>
      <c r="R98" s="162">
        <f t="shared" si="95"/>
        <v>8.1885567457254338E-2</v>
      </c>
      <c r="S98" s="162">
        <f t="shared" si="95"/>
        <v>0.13181213765225255</v>
      </c>
      <c r="T98" s="162">
        <f t="shared" si="95"/>
        <v>0.13943852779178656</v>
      </c>
      <c r="U98" s="162">
        <f t="shared" si="95"/>
        <v>3.8662991940856071E-3</v>
      </c>
      <c r="V98" s="162">
        <f t="shared" si="95"/>
        <v>-0.18090374497059733</v>
      </c>
      <c r="W98" s="162">
        <f t="shared" si="95"/>
        <v>-1.2169668946472723E-2</v>
      </c>
      <c r="X98" s="162">
        <f t="shared" ref="X98:AE98" si="96">X97/X10</f>
        <v>-2.354071582993034E-2</v>
      </c>
      <c r="Y98" s="162">
        <f t="shared" si="96"/>
        <v>1.3985654420649408E-2</v>
      </c>
      <c r="Z98" s="162">
        <f t="shared" si="96"/>
        <v>-0.13336440308492567</v>
      </c>
      <c r="AA98" s="162">
        <f t="shared" si="96"/>
        <v>6.9682438550015088E-2</v>
      </c>
      <c r="AB98" s="162">
        <f t="shared" ref="AB98" si="97">AB97/AB10</f>
        <v>4.1976930986819982E-2</v>
      </c>
      <c r="AC98" s="112">
        <f t="shared" si="96"/>
        <v>0.10619319555336441</v>
      </c>
      <c r="AD98" s="112">
        <f t="shared" si="96"/>
        <v>0.12166126462073687</v>
      </c>
      <c r="AE98" s="112">
        <f t="shared" si="96"/>
        <v>0.12249009481811947</v>
      </c>
      <c r="AF98" s="112">
        <f t="shared" ref="AF98" si="98">AF97/AF10</f>
        <v>0.12365567641418214</v>
      </c>
    </row>
    <row r="99" spans="1:32">
      <c r="A99" s="2"/>
      <c r="B99" s="89"/>
      <c r="C99" s="89"/>
      <c r="D99" s="89"/>
      <c r="E99" s="89"/>
      <c r="F99" s="89"/>
      <c r="G99" s="89"/>
      <c r="H99" s="89"/>
      <c r="I99" s="89"/>
      <c r="J99" s="89"/>
      <c r="K99" s="89"/>
      <c r="L99" s="89"/>
      <c r="M99" s="89"/>
      <c r="N99" s="89"/>
      <c r="O99" s="89"/>
      <c r="P99" s="89"/>
      <c r="Q99" s="89"/>
      <c r="R99" s="89"/>
      <c r="S99" s="89"/>
      <c r="T99" s="89"/>
      <c r="U99" s="89"/>
      <c r="V99" s="36"/>
      <c r="W99" s="36"/>
      <c r="X99" s="36"/>
      <c r="Y99" s="36"/>
      <c r="Z99" s="36"/>
      <c r="AA99" s="36"/>
      <c r="AB99" s="36"/>
      <c r="AC99" s="36"/>
      <c r="AD99" s="36"/>
      <c r="AE99" s="36"/>
      <c r="AF99" s="36"/>
    </row>
    <row r="100" spans="1:32">
      <c r="A100" s="1" t="str">
        <f>Income_Statement_Qtr!A100</f>
        <v>Total Cost of Sales</v>
      </c>
      <c r="B100" s="154">
        <v>-43712</v>
      </c>
      <c r="C100" s="154">
        <v>-48778</v>
      </c>
      <c r="D100" s="154">
        <v>-45578</v>
      </c>
      <c r="E100" s="154">
        <v>-43792</v>
      </c>
      <c r="F100" s="154">
        <f>-37759-6916</f>
        <v>-44675</v>
      </c>
      <c r="G100" s="154">
        <f>-36858-7767</f>
        <v>-44625</v>
      </c>
      <c r="H100" s="154">
        <f>-42490-7594</f>
        <v>-50084</v>
      </c>
      <c r="I100" s="154">
        <f>-45375-7732</f>
        <v>-53107</v>
      </c>
      <c r="J100" s="154">
        <f>-41662-8467</f>
        <v>-50129</v>
      </c>
      <c r="K100" s="154">
        <f>-47639-8726</f>
        <v>-56365</v>
      </c>
      <c r="L100" s="154">
        <f>-42194-9489</f>
        <v>-51683</v>
      </c>
      <c r="M100" s="154">
        <f>-46642-9097</f>
        <v>-55739</v>
      </c>
      <c r="N100" s="154">
        <f>-60309-8247</f>
        <v>-68556</v>
      </c>
      <c r="O100" s="154">
        <f>-65640-7553</f>
        <v>-73193</v>
      </c>
      <c r="P100" s="154">
        <f>-68551-8132</f>
        <v>-76683</v>
      </c>
      <c r="Q100" s="123">
        <f>Income_Statement_Qtr!F100</f>
        <v>-82024</v>
      </c>
      <c r="R100" s="123">
        <f>Income_Statement_Qtr!K100</f>
        <v>-80731</v>
      </c>
      <c r="S100" s="123">
        <f>Income_Statement_Qtr!P100</f>
        <v>-76542</v>
      </c>
      <c r="T100" s="123">
        <f>Income_Statement_Qtr!U100</f>
        <v>-81421</v>
      </c>
      <c r="U100" s="123">
        <f>Income_Statement_Qtr!Z100</f>
        <v>-72031</v>
      </c>
      <c r="V100" s="38">
        <f>Income_Statement_Qtr!AE100</f>
        <v>-55913</v>
      </c>
      <c r="W100" s="38">
        <f>Income_Statement_Qtr!AJ100</f>
        <v>-59237</v>
      </c>
      <c r="X100" s="38">
        <f>Income_Statement_Qtr!AO100</f>
        <v>-63078</v>
      </c>
      <c r="Y100" s="38">
        <f>Income_Statement_Qtr!AT100</f>
        <v>-71993</v>
      </c>
      <c r="Z100" s="38">
        <f>Income_Statement_Qtr!AY100</f>
        <v>-68508</v>
      </c>
      <c r="AA100" s="38">
        <f>Income_Statement_Qtr!BD100</f>
        <v>-85174</v>
      </c>
      <c r="AB100" s="38">
        <f>Income_Statement_Qtr!BI100</f>
        <v>-82264.856956057833</v>
      </c>
      <c r="AC100" s="72">
        <f>AC105-AC10</f>
        <v>-89412.231308729926</v>
      </c>
      <c r="AD100" s="72">
        <f>AD105-AD10</f>
        <v>-93317.631517853762</v>
      </c>
      <c r="AE100" s="72">
        <f>AE105-AE10</f>
        <v>-96562.359325689744</v>
      </c>
      <c r="AF100" s="72">
        <f>AF105-AF10</f>
        <v>-99284.786566491675</v>
      </c>
    </row>
    <row r="101" spans="1:32">
      <c r="A101" s="1" t="str">
        <f>Income_Statement_Qtr!A101</f>
        <v>Boeing Capital Interest Expense</v>
      </c>
      <c r="B101" s="154" t="s">
        <v>310</v>
      </c>
      <c r="C101" s="154">
        <v>-324</v>
      </c>
      <c r="D101" s="154">
        <v>-410</v>
      </c>
      <c r="E101" s="154">
        <v>-358</v>
      </c>
      <c r="F101" s="154">
        <v>-350</v>
      </c>
      <c r="G101" s="154">
        <v>-359</v>
      </c>
      <c r="H101" s="154">
        <v>-353</v>
      </c>
      <c r="I101" s="154">
        <v>-295</v>
      </c>
      <c r="J101" s="154">
        <v>-223</v>
      </c>
      <c r="K101" s="154">
        <v>-175</v>
      </c>
      <c r="L101" s="154">
        <v>-160</v>
      </c>
      <c r="M101" s="154">
        <v>-128</v>
      </c>
      <c r="N101" s="154">
        <v>-109</v>
      </c>
      <c r="O101" s="154">
        <v>-75</v>
      </c>
      <c r="P101" s="154">
        <v>-69</v>
      </c>
      <c r="Q101" s="123">
        <f>Income_Statement_Qtr!F101</f>
        <v>-64</v>
      </c>
      <c r="R101" s="123">
        <f>Income_Statement_Qtr!K101</f>
        <v>-59</v>
      </c>
      <c r="S101" s="123">
        <f>Income_Statement_Qtr!P101</f>
        <v>-70</v>
      </c>
      <c r="T101" s="123">
        <f>Income_Statement_Qtr!U101</f>
        <v>-69</v>
      </c>
      <c r="U101" s="123">
        <f>Income_Statement_Qtr!Z101</f>
        <v>-62</v>
      </c>
      <c r="V101" s="38">
        <f>Income_Statement_Qtr!AE101</f>
        <v>-43</v>
      </c>
      <c r="W101" s="38">
        <f>Income_Statement_Qtr!AJ101</f>
        <v>-32</v>
      </c>
      <c r="X101" s="38">
        <f>Income_Statement_Qtr!AO101</f>
        <v>-28</v>
      </c>
      <c r="Y101" s="38">
        <f>Income_Statement_Qtr!AT101</f>
        <v>0</v>
      </c>
      <c r="Z101" s="38">
        <f>Income_Statement_Qtr!AY101</f>
        <v>0</v>
      </c>
      <c r="AA101" s="38">
        <f>Income_Statement_Qtr!BD101</f>
        <v>0</v>
      </c>
      <c r="AB101" s="38">
        <f>Income_Statement_Qtr!BI101</f>
        <v>0</v>
      </c>
      <c r="AC101" s="43">
        <v>0</v>
      </c>
      <c r="AD101" s="43">
        <v>0</v>
      </c>
      <c r="AE101" s="43">
        <v>0</v>
      </c>
      <c r="AF101" s="43">
        <v>0</v>
      </c>
    </row>
    <row r="102" spans="1:32">
      <c r="A102" s="14" t="str">
        <f>Income_Statement_Qtr!A102</f>
        <v>Operating Expenses</v>
      </c>
      <c r="B102" s="163">
        <f t="shared" ref="B102:P102" si="99">SUM(B100:B101)</f>
        <v>-43712</v>
      </c>
      <c r="C102" s="163">
        <f t="shared" si="99"/>
        <v>-49102</v>
      </c>
      <c r="D102" s="163">
        <f t="shared" si="99"/>
        <v>-45988</v>
      </c>
      <c r="E102" s="163">
        <f t="shared" si="99"/>
        <v>-44150</v>
      </c>
      <c r="F102" s="163">
        <f t="shared" si="99"/>
        <v>-45025</v>
      </c>
      <c r="G102" s="163">
        <f t="shared" si="99"/>
        <v>-44984</v>
      </c>
      <c r="H102" s="163">
        <f t="shared" si="99"/>
        <v>-50437</v>
      </c>
      <c r="I102" s="163">
        <f t="shared" si="99"/>
        <v>-53402</v>
      </c>
      <c r="J102" s="163">
        <f t="shared" si="99"/>
        <v>-50352</v>
      </c>
      <c r="K102" s="163">
        <f t="shared" si="99"/>
        <v>-56540</v>
      </c>
      <c r="L102" s="163">
        <f t="shared" si="99"/>
        <v>-51843</v>
      </c>
      <c r="M102" s="163">
        <f t="shared" si="99"/>
        <v>-55867</v>
      </c>
      <c r="N102" s="163">
        <f t="shared" si="99"/>
        <v>-68665</v>
      </c>
      <c r="O102" s="163">
        <f t="shared" si="99"/>
        <v>-73268</v>
      </c>
      <c r="P102" s="163">
        <f t="shared" si="99"/>
        <v>-76752</v>
      </c>
      <c r="Q102" s="163">
        <f t="shared" ref="Q102:W102" si="100">SUM(Q100:Q101)</f>
        <v>-82088</v>
      </c>
      <c r="R102" s="163">
        <f t="shared" si="100"/>
        <v>-80790</v>
      </c>
      <c r="S102" s="163">
        <f t="shared" si="100"/>
        <v>-76612</v>
      </c>
      <c r="T102" s="163">
        <f t="shared" si="100"/>
        <v>-81490</v>
      </c>
      <c r="U102" s="163">
        <f t="shared" si="100"/>
        <v>-72093</v>
      </c>
      <c r="V102" s="96">
        <f t="shared" si="100"/>
        <v>-55956</v>
      </c>
      <c r="W102" s="96">
        <f t="shared" si="100"/>
        <v>-59269</v>
      </c>
      <c r="X102" s="96">
        <f t="shared" ref="X102:AE102" si="101">SUM(X100:X101)</f>
        <v>-63106</v>
      </c>
      <c r="Y102" s="96">
        <f t="shared" si="101"/>
        <v>-71993</v>
      </c>
      <c r="Z102" s="96">
        <f t="shared" si="101"/>
        <v>-68508</v>
      </c>
      <c r="AA102" s="96">
        <f t="shared" si="101"/>
        <v>-85174</v>
      </c>
      <c r="AB102" s="96">
        <f t="shared" ref="AB102" si="102">SUM(AB100:AB101)</f>
        <v>-82264.856956057833</v>
      </c>
      <c r="AC102" s="96">
        <f t="shared" si="101"/>
        <v>-89412.231308729926</v>
      </c>
      <c r="AD102" s="96">
        <f t="shared" si="101"/>
        <v>-93317.631517853762</v>
      </c>
      <c r="AE102" s="96">
        <f t="shared" si="101"/>
        <v>-96562.359325689744</v>
      </c>
      <c r="AF102" s="96">
        <f t="shared" ref="AF102" si="103">SUM(AF100:AF101)</f>
        <v>-99284.786566491675</v>
      </c>
    </row>
    <row r="103" spans="1:32">
      <c r="A103" s="1" t="str">
        <f>Income_Statement_Qtr!A103</f>
        <v>YoY</v>
      </c>
      <c r="B103" s="89">
        <f>B102/-51320-1</f>
        <v>-0.14824629773967268</v>
      </c>
      <c r="C103" s="89">
        <f t="shared" ref="C103:O103" si="104">C102/B102-1</f>
        <v>0.12330710102489029</v>
      </c>
      <c r="D103" s="89">
        <f t="shared" si="104"/>
        <v>-6.3419005335831558E-2</v>
      </c>
      <c r="E103" s="89">
        <f t="shared" si="104"/>
        <v>-3.9966947899451988E-2</v>
      </c>
      <c r="F103" s="89">
        <f t="shared" si="104"/>
        <v>1.9818799546998944E-2</v>
      </c>
      <c r="G103" s="89">
        <f t="shared" si="104"/>
        <v>-9.1060521932262439E-4</v>
      </c>
      <c r="H103" s="89">
        <f t="shared" si="104"/>
        <v>0.12122087853459007</v>
      </c>
      <c r="I103" s="89">
        <f t="shared" si="104"/>
        <v>5.8786208537383366E-2</v>
      </c>
      <c r="J103" s="89">
        <f t="shared" si="104"/>
        <v>-5.711396576907235E-2</v>
      </c>
      <c r="K103" s="89">
        <f t="shared" si="104"/>
        <v>0.12289482046393396</v>
      </c>
      <c r="L103" s="89">
        <f t="shared" si="104"/>
        <v>-8.3073929961089532E-2</v>
      </c>
      <c r="M103" s="89">
        <f t="shared" si="104"/>
        <v>7.7618964951873926E-2</v>
      </c>
      <c r="N103" s="89">
        <f t="shared" si="104"/>
        <v>0.22907977876026986</v>
      </c>
      <c r="O103" s="89">
        <f t="shared" si="104"/>
        <v>6.7035607660380192E-2</v>
      </c>
      <c r="P103" s="89">
        <f>P102/O102-1</f>
        <v>4.7551454932576398E-2</v>
      </c>
      <c r="Q103" s="126">
        <f>Income_Statement_Qtr!F103</f>
        <v>6.9522618303106132E-2</v>
      </c>
      <c r="R103" s="126">
        <f>Income_Statement_Qtr!K103</f>
        <v>-1.5812298996199181E-2</v>
      </c>
      <c r="S103" s="126">
        <f>Income_Statement_Qtr!P103</f>
        <v>-5.1714321079341485E-2</v>
      </c>
      <c r="T103" s="126">
        <f>Income_Statement_Qtr!U103</f>
        <v>6.3671487495431611E-2</v>
      </c>
      <c r="U103" s="126">
        <f>Income_Statement_Qtr!Z103</f>
        <v>-0.1153147625475518</v>
      </c>
      <c r="V103" s="182">
        <f>Income_Statement_Qtr!AE103</f>
        <v>-0.22383587865673504</v>
      </c>
      <c r="W103" s="182">
        <f>Income_Statement_Qtr!AJ103</f>
        <v>5.9207234255486352E-2</v>
      </c>
      <c r="X103" s="182">
        <f>Income_Statement_Qtr!AO103</f>
        <v>6.4738733570669282E-2</v>
      </c>
      <c r="Y103" s="182">
        <f>Income_Statement_Qtr!AT103</f>
        <v>0.14082654581180876</v>
      </c>
      <c r="Z103" s="182">
        <f>Income_Statement_Qtr!AY103</f>
        <v>-4.8407484060950412E-2</v>
      </c>
      <c r="AA103" s="182">
        <f>Income_Statement_Qtr!BD103</f>
        <v>0.2432708588777952</v>
      </c>
      <c r="AB103" s="182">
        <f>Income_Statement_Qtr!BI103</f>
        <v>-3.4155294384931589E-2</v>
      </c>
      <c r="AC103" s="36">
        <f>AC102/AB102-1</f>
        <v>8.6882474693779521E-2</v>
      </c>
      <c r="AD103" s="36">
        <f>AD102/AC102-1</f>
        <v>4.3678590187945954E-2</v>
      </c>
      <c r="AE103" s="36">
        <f>AE102/AD102-1</f>
        <v>3.4770790418263031E-2</v>
      </c>
      <c r="AF103" s="36">
        <f>AF102/AE102-1</f>
        <v>2.8193462336805641E-2</v>
      </c>
    </row>
    <row r="104" spans="1:32">
      <c r="A104" s="2"/>
      <c r="B104" s="89"/>
      <c r="C104" s="89"/>
      <c r="D104" s="89"/>
      <c r="E104" s="89"/>
      <c r="F104" s="89"/>
      <c r="G104" s="89"/>
      <c r="H104" s="89"/>
      <c r="I104" s="89"/>
      <c r="J104" s="89"/>
      <c r="K104" s="89"/>
      <c r="L104" s="89"/>
      <c r="M104" s="89"/>
      <c r="N104" s="89"/>
      <c r="O104" s="89"/>
      <c r="P104" s="89"/>
      <c r="Q104" s="89"/>
      <c r="R104" s="89"/>
      <c r="S104" s="89"/>
      <c r="T104" s="89"/>
      <c r="U104" s="89"/>
      <c r="V104" s="36"/>
      <c r="W104" s="36"/>
      <c r="X104" s="36"/>
      <c r="Y104" s="36"/>
      <c r="Z104" s="36"/>
      <c r="AA104" s="36"/>
      <c r="AB104" s="36"/>
      <c r="AC104" s="36"/>
      <c r="AD104" s="36"/>
      <c r="AE104" s="36"/>
      <c r="AF104" s="36"/>
    </row>
    <row r="105" spans="1:32">
      <c r="A105" s="5" t="str">
        <f>Income_Statement_Qtr!A105</f>
        <v>Gross Profit</v>
      </c>
      <c r="B105" s="163">
        <f t="shared" ref="B105:W105" si="105">B10+B100</f>
        <v>7609</v>
      </c>
      <c r="C105" s="163">
        <f t="shared" si="105"/>
        <v>9420</v>
      </c>
      <c r="D105" s="163">
        <f t="shared" si="105"/>
        <v>8483</v>
      </c>
      <c r="E105" s="163">
        <f t="shared" si="105"/>
        <v>6464</v>
      </c>
      <c r="F105" s="163">
        <f t="shared" si="105"/>
        <v>7782</v>
      </c>
      <c r="G105" s="163">
        <f t="shared" si="105"/>
        <v>8996</v>
      </c>
      <c r="H105" s="163">
        <f t="shared" si="105"/>
        <v>11446</v>
      </c>
      <c r="I105" s="163">
        <f t="shared" si="105"/>
        <v>13280</v>
      </c>
      <c r="J105" s="163">
        <f t="shared" si="105"/>
        <v>10780</v>
      </c>
      <c r="K105" s="163">
        <f t="shared" si="105"/>
        <v>11916</v>
      </c>
      <c r="L105" s="163">
        <f t="shared" si="105"/>
        <v>12623</v>
      </c>
      <c r="M105" s="163">
        <f t="shared" si="105"/>
        <v>12996</v>
      </c>
      <c r="N105" s="163">
        <f t="shared" si="105"/>
        <v>13142</v>
      </c>
      <c r="O105" s="163">
        <f t="shared" si="105"/>
        <v>13430</v>
      </c>
      <c r="P105" s="163">
        <f t="shared" si="105"/>
        <v>14079</v>
      </c>
      <c r="Q105" s="163">
        <f t="shared" si="105"/>
        <v>14090</v>
      </c>
      <c r="R105" s="163">
        <f t="shared" si="105"/>
        <v>13840</v>
      </c>
      <c r="S105" s="163">
        <f t="shared" si="105"/>
        <v>17463</v>
      </c>
      <c r="T105" s="163">
        <f t="shared" si="105"/>
        <v>19706</v>
      </c>
      <c r="U105" s="163">
        <f t="shared" si="105"/>
        <v>4528</v>
      </c>
      <c r="V105" s="96">
        <f t="shared" si="105"/>
        <v>2245</v>
      </c>
      <c r="W105" s="96">
        <f t="shared" si="105"/>
        <v>3049</v>
      </c>
      <c r="X105" s="96">
        <f>X10+X100</f>
        <v>3530</v>
      </c>
      <c r="Y105" s="96">
        <f>Y10+Y100</f>
        <v>5801</v>
      </c>
      <c r="Z105" s="96">
        <f>Z10+Z100</f>
        <v>-1991</v>
      </c>
      <c r="AA105" s="96">
        <f>AA10+AA100</f>
        <v>4289</v>
      </c>
      <c r="AB105" s="96">
        <f>AB10+AB100</f>
        <v>17450.121172497122</v>
      </c>
      <c r="AC105" s="96">
        <f>AC106*AC10</f>
        <v>18966.230883669981</v>
      </c>
      <c r="AD105" s="96">
        <f>AD106*AD10</f>
        <v>19794.649109847764</v>
      </c>
      <c r="AE105" s="96">
        <f>AE106*AE10</f>
        <v>20482.924705449335</v>
      </c>
      <c r="AF105" s="96">
        <f>AF106*AF10</f>
        <v>21060.409271680051</v>
      </c>
    </row>
    <row r="106" spans="1:32">
      <c r="A106" s="1" t="str">
        <f>Income_Statement_Qtr!A106</f>
        <v>Gross Margin</v>
      </c>
      <c r="B106" s="89">
        <f t="shared" ref="B106:P106" si="106">B105/B$10</f>
        <v>0.14826289433175502</v>
      </c>
      <c r="C106" s="89">
        <f t="shared" si="106"/>
        <v>0.16186123234475411</v>
      </c>
      <c r="D106" s="89">
        <f t="shared" si="106"/>
        <v>0.15691533637927527</v>
      </c>
      <c r="E106" s="89">
        <f t="shared" si="106"/>
        <v>0.12862145813435211</v>
      </c>
      <c r="F106" s="89">
        <f t="shared" si="106"/>
        <v>0.14835007720609261</v>
      </c>
      <c r="G106" s="89">
        <f t="shared" si="106"/>
        <v>0.16777009007664909</v>
      </c>
      <c r="H106" s="89">
        <f t="shared" si="106"/>
        <v>0.18602307817324881</v>
      </c>
      <c r="I106" s="89">
        <f t="shared" si="106"/>
        <v>0.20003916429421423</v>
      </c>
      <c r="J106" s="89">
        <f t="shared" si="106"/>
        <v>0.17698533878408773</v>
      </c>
      <c r="K106" s="89">
        <f t="shared" si="106"/>
        <v>0.1745141400975381</v>
      </c>
      <c r="L106" s="89">
        <f t="shared" si="106"/>
        <v>0.19629583553634186</v>
      </c>
      <c r="M106" s="89">
        <f t="shared" si="106"/>
        <v>0.18907397977740598</v>
      </c>
      <c r="N106" s="89">
        <f t="shared" si="106"/>
        <v>0.16086073098484663</v>
      </c>
      <c r="O106" s="89">
        <f t="shared" si="106"/>
        <v>0.15503965459519989</v>
      </c>
      <c r="P106" s="89">
        <f t="shared" si="106"/>
        <v>0.15511998413432934</v>
      </c>
      <c r="Q106" s="89">
        <f t="shared" ref="Q106:V106" si="107">Q105/Q$10</f>
        <v>0.14659674969307282</v>
      </c>
      <c r="R106" s="89">
        <f t="shared" si="107"/>
        <v>0.14634507407133265</v>
      </c>
      <c r="S106" s="89">
        <f t="shared" si="107"/>
        <v>0.18576671453646082</v>
      </c>
      <c r="T106" s="89">
        <f t="shared" si="107"/>
        <v>0.19486388402701554</v>
      </c>
      <c r="U106" s="89">
        <f t="shared" si="107"/>
        <v>5.9143928212228476E-2</v>
      </c>
      <c r="V106" s="36">
        <f t="shared" si="107"/>
        <v>3.8601740087348256E-2</v>
      </c>
      <c r="W106" s="133">
        <f t="shared" ref="W106:AB106" si="108">W105/W$10</f>
        <v>4.8951610313714158E-2</v>
      </c>
      <c r="X106" s="133">
        <f t="shared" si="108"/>
        <v>5.2996637040595727E-2</v>
      </c>
      <c r="Y106" s="133">
        <f t="shared" si="108"/>
        <v>7.4568732807157367E-2</v>
      </c>
      <c r="Z106" s="133">
        <f t="shared" si="108"/>
        <v>-2.9932197784025137E-2</v>
      </c>
      <c r="AA106" s="133">
        <f t="shared" si="108"/>
        <v>4.7941607144853182E-2</v>
      </c>
      <c r="AB106" s="133">
        <f t="shared" si="108"/>
        <v>0.17500000000000004</v>
      </c>
      <c r="AC106" s="212">
        <v>0.17499999999999999</v>
      </c>
      <c r="AD106" s="212">
        <v>0.17499999999999999</v>
      </c>
      <c r="AE106" s="212">
        <v>0.17499999999999999</v>
      </c>
      <c r="AF106" s="212">
        <v>0.17499999999999999</v>
      </c>
    </row>
    <row r="107" spans="1:32">
      <c r="A107" s="2"/>
      <c r="B107" s="89"/>
      <c r="C107" s="89"/>
      <c r="D107" s="89"/>
      <c r="E107" s="89"/>
      <c r="F107" s="89"/>
      <c r="G107" s="89"/>
      <c r="H107" s="89"/>
      <c r="I107" s="89"/>
      <c r="J107" s="89"/>
      <c r="K107" s="89"/>
      <c r="L107" s="89"/>
      <c r="M107" s="89"/>
      <c r="N107" s="89"/>
      <c r="O107" s="89"/>
      <c r="P107" s="89"/>
      <c r="Q107" s="89"/>
      <c r="R107" s="89"/>
      <c r="S107" s="89"/>
      <c r="T107" s="89"/>
      <c r="U107" s="89"/>
      <c r="V107" s="36"/>
      <c r="W107" s="36"/>
      <c r="X107" s="36"/>
      <c r="Y107" s="36"/>
      <c r="Z107" s="36"/>
      <c r="AA107" s="36"/>
      <c r="AB107" s="36"/>
      <c r="AC107" s="36"/>
      <c r="AD107" s="36"/>
      <c r="AE107" s="36"/>
      <c r="AF107" s="36"/>
    </row>
    <row r="108" spans="1:32">
      <c r="A108" s="14" t="str">
        <f>Income_Statement_Qtr!A108</f>
        <v>Research and Development Expense, net</v>
      </c>
      <c r="B108" s="89"/>
      <c r="C108" s="89"/>
      <c r="D108" s="89"/>
      <c r="E108" s="89"/>
      <c r="F108" s="89"/>
      <c r="G108" s="89"/>
      <c r="H108" s="89"/>
      <c r="I108" s="89"/>
      <c r="J108" s="89"/>
      <c r="K108" s="89"/>
      <c r="L108" s="89"/>
      <c r="M108" s="89"/>
      <c r="N108" s="89"/>
      <c r="O108" s="89"/>
      <c r="P108" s="89"/>
      <c r="Q108" s="89"/>
      <c r="R108" s="89"/>
      <c r="S108" s="89"/>
      <c r="T108" s="89"/>
      <c r="U108" s="89"/>
      <c r="V108" s="36"/>
      <c r="W108" s="36"/>
      <c r="X108" s="36"/>
      <c r="Y108" s="36"/>
      <c r="Z108" s="36"/>
      <c r="AA108" s="36"/>
      <c r="AB108" s="36"/>
      <c r="AC108" s="36"/>
      <c r="AD108" s="36"/>
      <c r="AE108" s="36"/>
      <c r="AF108" s="36"/>
    </row>
    <row r="109" spans="1:32">
      <c r="A109" s="1" t="str">
        <f>Income_Statement_Qtr!A109</f>
        <v>Commercial Airplanes</v>
      </c>
      <c r="B109" s="123">
        <f>BCA_Annual!B6</f>
        <v>0</v>
      </c>
      <c r="C109" s="123">
        <f>BCA_Annual!C6</f>
        <v>0</v>
      </c>
      <c r="D109" s="123">
        <f>BCA_Annual!D6</f>
        <v>0</v>
      </c>
      <c r="E109" s="123">
        <f>BCA_Annual!E6</f>
        <v>0</v>
      </c>
      <c r="F109" s="123">
        <f>BCA_Annual!F6</f>
        <v>0</v>
      </c>
      <c r="G109" s="123">
        <f>BCA_Annual!G6</f>
        <v>0</v>
      </c>
      <c r="H109" s="123">
        <f>BCA_Annual!H6</f>
        <v>0</v>
      </c>
      <c r="I109" s="123">
        <f>BCA_Annual!I6</f>
        <v>0</v>
      </c>
      <c r="J109" s="123">
        <f>BCA_Annual!J6</f>
        <v>0</v>
      </c>
      <c r="K109" s="123">
        <f>BCA_Annual!K6</f>
        <v>0</v>
      </c>
      <c r="L109" s="123">
        <f>BCA_Annual!L6</f>
        <v>0</v>
      </c>
      <c r="M109" s="123">
        <f>BCA_Annual!M6</f>
        <v>0</v>
      </c>
      <c r="N109" s="123">
        <f>BCA_Annual!N6</f>
        <v>0</v>
      </c>
      <c r="O109" s="123">
        <f>BCA_Annual!O6</f>
        <v>0</v>
      </c>
      <c r="P109" s="123">
        <f>BCA_Annual!P6</f>
        <v>0</v>
      </c>
      <c r="Q109" s="123">
        <f>Income_Statement_Qtr!F109</f>
        <v>0</v>
      </c>
      <c r="R109" s="123">
        <f>Income_Statement_Qtr!K109</f>
        <v>3706</v>
      </c>
      <c r="S109" s="123">
        <f>Income_Statement_Qtr!P109</f>
        <v>2247</v>
      </c>
      <c r="T109" s="123">
        <f>Income_Statement_Qtr!U109</f>
        <v>2188</v>
      </c>
      <c r="U109" s="123">
        <f>Income_Statement_Qtr!Z109</f>
        <v>1956</v>
      </c>
      <c r="V109" s="38">
        <f>Income_Statement_Qtr!AE109</f>
        <v>1385</v>
      </c>
      <c r="W109" s="38">
        <f>Income_Statement_Qtr!AJ109</f>
        <v>1140</v>
      </c>
      <c r="X109" s="38">
        <f>Income_Statement_Qtr!AO109</f>
        <v>1510</v>
      </c>
      <c r="Y109" s="38">
        <f>Income_Statement_Qtr!AT109</f>
        <v>2036</v>
      </c>
      <c r="Z109" s="38">
        <f>Income_Statement_Qtr!AY109</f>
        <v>2386</v>
      </c>
      <c r="AA109" s="38">
        <f>Income_Statement_Qtr!BD109</f>
        <v>2202</v>
      </c>
      <c r="AB109" s="38">
        <f>Income_Statement_Qtr!BI109</f>
        <v>2422.2000000000003</v>
      </c>
      <c r="AC109" s="38">
        <f>BCA_Annual!AC6</f>
        <v>2664.4200000000005</v>
      </c>
      <c r="AD109" s="38">
        <f>BCA_Annual!AD6</f>
        <v>2930.862000000001</v>
      </c>
      <c r="AE109" s="38">
        <f>BCA_Annual!AE6</f>
        <v>3223.9482000000012</v>
      </c>
      <c r="AF109" s="38">
        <f>BCA_Annual!AF6</f>
        <v>3546.3430200000016</v>
      </c>
    </row>
    <row r="110" spans="1:32">
      <c r="A110" s="1" t="str">
        <f>Income_Statement_Qtr!A110</f>
        <v>Defense, Space &amp; Security</v>
      </c>
      <c r="B110" s="123">
        <f>BDS_Annual!B6</f>
        <v>0</v>
      </c>
      <c r="C110" s="123">
        <f>BDS_Annual!C6</f>
        <v>0</v>
      </c>
      <c r="D110" s="123">
        <f>BDS_Annual!D6</f>
        <v>0</v>
      </c>
      <c r="E110" s="123">
        <f>BDS_Annual!E6</f>
        <v>0</v>
      </c>
      <c r="F110" s="123">
        <f>BDS_Annual!F6</f>
        <v>0</v>
      </c>
      <c r="G110" s="123">
        <f>BDS_Annual!G6</f>
        <v>0</v>
      </c>
      <c r="H110" s="123">
        <f>BDS_Annual!H6</f>
        <v>0</v>
      </c>
      <c r="I110" s="123">
        <f>BDS_Annual!I6</f>
        <v>0</v>
      </c>
      <c r="J110" s="123">
        <f>BDS_Annual!J6</f>
        <v>0</v>
      </c>
      <c r="K110" s="123">
        <f>BDS_Annual!K6</f>
        <v>0</v>
      </c>
      <c r="L110" s="123">
        <f>BDS_Annual!L6</f>
        <v>0</v>
      </c>
      <c r="M110" s="123">
        <f>BDS_Annual!M6</f>
        <v>0</v>
      </c>
      <c r="N110" s="123">
        <f>BDS_Annual!N6</f>
        <v>0</v>
      </c>
      <c r="O110" s="123">
        <f>BDS_Annual!O6</f>
        <v>0</v>
      </c>
      <c r="P110" s="123">
        <f>BDS_Annual!P6</f>
        <v>0</v>
      </c>
      <c r="Q110" s="123">
        <f>Income_Statement_Qtr!F110</f>
        <v>0</v>
      </c>
      <c r="R110" s="123">
        <f>Income_Statement_Qtr!K110</f>
        <v>815</v>
      </c>
      <c r="S110" s="123">
        <f>Income_Statement_Qtr!P110</f>
        <v>834</v>
      </c>
      <c r="T110" s="123">
        <f>Income_Statement_Qtr!U110</f>
        <v>788</v>
      </c>
      <c r="U110" s="123">
        <f>Income_Statement_Qtr!Z110</f>
        <v>758</v>
      </c>
      <c r="V110" s="38">
        <f>Income_Statement_Qtr!AE110</f>
        <v>713</v>
      </c>
      <c r="W110" s="38">
        <f>Income_Statement_Qtr!AJ110</f>
        <v>818</v>
      </c>
      <c r="X110" s="38">
        <f>Income_Statement_Qtr!AO110</f>
        <v>945</v>
      </c>
      <c r="Y110" s="38">
        <f>Income_Statement_Qtr!AT110</f>
        <v>919</v>
      </c>
      <c r="Z110" s="38">
        <f>Income_Statement_Qtr!AY110</f>
        <v>917</v>
      </c>
      <c r="AA110" s="38">
        <f>Income_Statement_Qtr!BD110</f>
        <v>877</v>
      </c>
      <c r="AB110" s="38">
        <f>Income_Statement_Qtr!BI110</f>
        <v>903.31</v>
      </c>
      <c r="AC110" s="38">
        <f>BDS_Annual!AC6</f>
        <v>930.40929999999992</v>
      </c>
      <c r="AD110" s="38">
        <f>BDS_Annual!AD6</f>
        <v>958.32157899999993</v>
      </c>
      <c r="AE110" s="38">
        <f>BDS_Annual!AE6</f>
        <v>987.07122636999998</v>
      </c>
      <c r="AF110" s="38">
        <f>BDS_Annual!AF6</f>
        <v>1016.6833631611</v>
      </c>
    </row>
    <row r="111" spans="1:32">
      <c r="A111" s="1" t="str">
        <f>Income_Statement_Qtr!A111</f>
        <v>Global Services</v>
      </c>
      <c r="B111" s="123">
        <f>BGS_Annual!B6</f>
        <v>0</v>
      </c>
      <c r="C111" s="123">
        <f>BGS_Annual!C6</f>
        <v>0</v>
      </c>
      <c r="D111" s="123">
        <f>BGS_Annual!D6</f>
        <v>0</v>
      </c>
      <c r="E111" s="123">
        <f>BGS_Annual!E6</f>
        <v>0</v>
      </c>
      <c r="F111" s="123">
        <f>BGS_Annual!F6</f>
        <v>0</v>
      </c>
      <c r="G111" s="123">
        <f>BGS_Annual!G6</f>
        <v>0</v>
      </c>
      <c r="H111" s="123">
        <f>BGS_Annual!H6</f>
        <v>0</v>
      </c>
      <c r="I111" s="123">
        <f>BGS_Annual!I6</f>
        <v>0</v>
      </c>
      <c r="J111" s="123">
        <f>BGS_Annual!J6</f>
        <v>0</v>
      </c>
      <c r="K111" s="123">
        <f>BGS_Annual!K6</f>
        <v>0</v>
      </c>
      <c r="L111" s="123">
        <f>BGS_Annual!L6</f>
        <v>0</v>
      </c>
      <c r="M111" s="123">
        <f>BGS_Annual!M6</f>
        <v>0</v>
      </c>
      <c r="N111" s="123">
        <f>BGS_Annual!N6</f>
        <v>0</v>
      </c>
      <c r="O111" s="123">
        <f>BGS_Annual!O6</f>
        <v>0</v>
      </c>
      <c r="P111" s="123">
        <f>BGS_Annual!P6</f>
        <v>0</v>
      </c>
      <c r="Q111" s="123">
        <f>Income_Statement_Qtr!F111</f>
        <v>0</v>
      </c>
      <c r="R111" s="123">
        <f>Income_Statement_Qtr!K111</f>
        <v>153</v>
      </c>
      <c r="S111" s="123">
        <f>Income_Statement_Qtr!P111</f>
        <v>140</v>
      </c>
      <c r="T111" s="123">
        <f>Income_Statement_Qtr!U111</f>
        <v>161</v>
      </c>
      <c r="U111" s="123">
        <f>Income_Statement_Qtr!Z111</f>
        <v>121</v>
      </c>
      <c r="V111" s="123">
        <f>Income_Statement_Qtr!AE111</f>
        <v>138</v>
      </c>
      <c r="W111" s="123">
        <f>Income_Statement_Qtr!AJ111</f>
        <v>107</v>
      </c>
      <c r="X111" s="123">
        <f>Income_Statement_Qtr!AO111</f>
        <v>119</v>
      </c>
      <c r="Y111" s="123">
        <f>Income_Statement_Qtr!AT111</f>
        <v>107</v>
      </c>
      <c r="Z111" s="123">
        <f>Income_Statement_Qtr!AY111</f>
        <v>132</v>
      </c>
      <c r="AA111" s="123">
        <f>Income_Statement_Qtr!BD111</f>
        <v>125</v>
      </c>
      <c r="AB111" s="123">
        <f>Income_Statement_Qtr!BI111</f>
        <v>127.5</v>
      </c>
      <c r="AC111" s="38">
        <f>BGS_Annual!AC6</f>
        <v>130.05000000000001</v>
      </c>
      <c r="AD111" s="38">
        <f>BGS_Annual!AD6</f>
        <v>132.65100000000001</v>
      </c>
      <c r="AE111" s="38">
        <f>BGS_Annual!AE6</f>
        <v>135.30402000000001</v>
      </c>
      <c r="AF111" s="38">
        <f>BGS_Annual!AF6</f>
        <v>138.0101004</v>
      </c>
    </row>
    <row r="112" spans="1:32" outlineLevel="1">
      <c r="A112" s="1" t="str">
        <f>Income_Statement_Qtr!A112</f>
        <v>Commercial Airplanes (Old)</v>
      </c>
      <c r="B112" s="123">
        <v>574</v>
      </c>
      <c r="C112" s="123">
        <v>858</v>
      </c>
      <c r="D112" s="123">
        <v>768</v>
      </c>
      <c r="E112" s="123">
        <v>676</v>
      </c>
      <c r="F112" s="123">
        <v>941</v>
      </c>
      <c r="G112" s="123">
        <v>1302</v>
      </c>
      <c r="H112" s="123">
        <v>2390</v>
      </c>
      <c r="I112" s="123">
        <v>2962</v>
      </c>
      <c r="J112" s="123">
        <v>2838</v>
      </c>
      <c r="K112" s="123">
        <v>5383</v>
      </c>
      <c r="L112" s="123">
        <v>2975</v>
      </c>
      <c r="M112" s="123">
        <v>2715</v>
      </c>
      <c r="N112" s="123">
        <v>2049</v>
      </c>
      <c r="O112" s="123">
        <v>1807</v>
      </c>
      <c r="P112" s="123">
        <v>1881</v>
      </c>
      <c r="Q112" s="123">
        <f>Income_Statement_Qtr!F112</f>
        <v>2340</v>
      </c>
      <c r="R112" s="123">
        <f>Income_Statement_Qtr!K112</f>
        <v>0</v>
      </c>
      <c r="S112" s="123">
        <f>Income_Statement_Qtr!P112</f>
        <v>0</v>
      </c>
      <c r="T112" s="123">
        <f>Income_Statement_Qtr!U112</f>
        <v>0</v>
      </c>
      <c r="U112" s="123">
        <f>Income_Statement_Qtr!Z112</f>
        <v>0</v>
      </c>
      <c r="V112" s="123">
        <f>Income_Statement_Qtr!AE112</f>
        <v>0</v>
      </c>
      <c r="W112" s="123">
        <f>Income_Statement_Qtr!AJ112</f>
        <v>0</v>
      </c>
      <c r="X112" s="123">
        <f>Income_Statement_Qtr!AO112</f>
        <v>0</v>
      </c>
      <c r="Y112" s="123">
        <f>Income_Statement_Qtr!AT112</f>
        <v>0</v>
      </c>
      <c r="Z112" s="123">
        <f>Income_Statement_Qtr!AY112</f>
        <v>0</v>
      </c>
      <c r="AA112" s="123">
        <f>Income_Statement_Qtr!BD112</f>
        <v>0</v>
      </c>
      <c r="AB112" s="123">
        <f>Income_Statement_Qtr!BI112</f>
        <v>0</v>
      </c>
      <c r="AC112" s="38">
        <v>0</v>
      </c>
      <c r="AD112" s="38">
        <v>0</v>
      </c>
      <c r="AE112" s="38">
        <v>0</v>
      </c>
      <c r="AF112" s="38">
        <v>0</v>
      </c>
    </row>
    <row r="113" spans="1:32" outlineLevel="1">
      <c r="A113" s="1" t="str">
        <f>Income_Statement_Qtr!A113</f>
        <v>Defense, Space &amp; Security (Old)</v>
      </c>
      <c r="B113" s="123">
        <v>783</v>
      </c>
      <c r="C113" s="123">
        <v>784</v>
      </c>
      <c r="D113" s="123">
        <v>742</v>
      </c>
      <c r="E113" s="123">
        <v>846</v>
      </c>
      <c r="F113" s="123">
        <v>834</v>
      </c>
      <c r="G113" s="123">
        <v>855</v>
      </c>
      <c r="H113" s="123">
        <v>791</v>
      </c>
      <c r="I113" s="123">
        <v>848</v>
      </c>
      <c r="J113" s="123">
        <v>933</v>
      </c>
      <c r="K113" s="123">
        <v>1101</v>
      </c>
      <c r="L113" s="123">
        <v>1136</v>
      </c>
      <c r="M113" s="123">
        <v>1138</v>
      </c>
      <c r="N113" s="123">
        <v>1189</v>
      </c>
      <c r="O113" s="123">
        <v>1215</v>
      </c>
      <c r="P113" s="123">
        <v>1158</v>
      </c>
      <c r="Q113" s="123">
        <f>Income_Statement_Qtr!F113</f>
        <v>986</v>
      </c>
      <c r="R113" s="123">
        <f>Income_Statement_Qtr!K113</f>
        <v>0</v>
      </c>
      <c r="S113" s="123">
        <f>Income_Statement_Qtr!P113</f>
        <v>0</v>
      </c>
      <c r="T113" s="123">
        <f>Income_Statement_Qtr!U113</f>
        <v>0</v>
      </c>
      <c r="U113" s="123">
        <f>Income_Statement_Qtr!Z113</f>
        <v>0</v>
      </c>
      <c r="V113" s="123">
        <f>Income_Statement_Qtr!AE113</f>
        <v>0</v>
      </c>
      <c r="W113" s="123">
        <f>Income_Statement_Qtr!AJ113</f>
        <v>0</v>
      </c>
      <c r="X113" s="123">
        <f>Income_Statement_Qtr!AO113</f>
        <v>0</v>
      </c>
      <c r="Y113" s="123">
        <f>Income_Statement_Qtr!AT113</f>
        <v>0</v>
      </c>
      <c r="Z113" s="123">
        <f>Income_Statement_Qtr!AY113</f>
        <v>0</v>
      </c>
      <c r="AA113" s="123">
        <f>Income_Statement_Qtr!BD113</f>
        <v>0</v>
      </c>
      <c r="AB113" s="123">
        <f>Income_Statement_Qtr!BI113</f>
        <v>0</v>
      </c>
      <c r="AC113" s="38">
        <v>0</v>
      </c>
      <c r="AD113" s="38">
        <v>0</v>
      </c>
      <c r="AE113" s="38">
        <v>0</v>
      </c>
      <c r="AF113" s="38">
        <v>0</v>
      </c>
    </row>
    <row r="114" spans="1:32">
      <c r="A114" s="1" t="str">
        <f>Income_Statement_Qtr!A114</f>
        <v>Other</v>
      </c>
      <c r="B114" s="154">
        <v>84</v>
      </c>
      <c r="C114" s="154">
        <f>1936-C112-C113</f>
        <v>294</v>
      </c>
      <c r="D114" s="154">
        <v>129</v>
      </c>
      <c r="E114" s="154">
        <v>129</v>
      </c>
      <c r="F114" s="154">
        <v>104</v>
      </c>
      <c r="G114" s="154">
        <v>48</v>
      </c>
      <c r="H114" s="154">
        <v>76</v>
      </c>
      <c r="I114" s="154">
        <v>40</v>
      </c>
      <c r="J114" s="154">
        <v>-3</v>
      </c>
      <c r="K114" s="154">
        <v>22</v>
      </c>
      <c r="L114" s="154">
        <v>10</v>
      </c>
      <c r="M114" s="154">
        <v>65</v>
      </c>
      <c r="N114" s="154">
        <v>60</v>
      </c>
      <c r="O114" s="154">
        <v>49</v>
      </c>
      <c r="P114" s="154">
        <v>8</v>
      </c>
      <c r="Q114" s="123">
        <f>Income_Statement_Qtr!F114</f>
        <v>5</v>
      </c>
      <c r="R114" s="123">
        <f>Income_Statement_Qtr!K114</f>
        <v>-47</v>
      </c>
      <c r="S114" s="123">
        <f>Income_Statement_Qtr!P114</f>
        <v>-42</v>
      </c>
      <c r="T114" s="123">
        <f>Income_Statement_Qtr!U114</f>
        <v>132</v>
      </c>
      <c r="U114" s="123">
        <f>Income_Statement_Qtr!Z114</f>
        <v>384</v>
      </c>
      <c r="V114" s="123">
        <f>Income_Statement_Qtr!AE114</f>
        <v>240</v>
      </c>
      <c r="W114" s="123">
        <f>Income_Statement_Qtr!AJ114</f>
        <v>184</v>
      </c>
      <c r="X114" s="123">
        <f>Income_Statement_Qtr!AO114</f>
        <v>278</v>
      </c>
      <c r="Y114" s="123">
        <f>Income_Statement_Qtr!AT114</f>
        <v>315</v>
      </c>
      <c r="Z114" s="123">
        <f>Income_Statement_Qtr!AY114</f>
        <v>377</v>
      </c>
      <c r="AA114" s="123">
        <f>Income_Statement_Qtr!BD114</f>
        <v>411</v>
      </c>
      <c r="AB114" s="123">
        <f>Income_Statement_Qtr!BI114</f>
        <v>316.09515500000003</v>
      </c>
      <c r="AC114" s="43">
        <f>AB114*1.03</f>
        <v>325.57800965000007</v>
      </c>
      <c r="AD114" s="43">
        <f>AC114*1.03</f>
        <v>335.34534993950007</v>
      </c>
      <c r="AE114" s="43">
        <f>AD114*1.03</f>
        <v>345.40571043768506</v>
      </c>
      <c r="AF114" s="43">
        <f>AE114*1.03</f>
        <v>355.7678817508156</v>
      </c>
    </row>
    <row r="115" spans="1:32">
      <c r="A115" s="14" t="str">
        <f>Income_Statement_Qtr!A115</f>
        <v>Total R&amp;D Expense</v>
      </c>
      <c r="B115" s="163">
        <f t="shared" ref="B115:P115" si="109">SUM(B109:B114)</f>
        <v>1441</v>
      </c>
      <c r="C115" s="163">
        <f t="shared" si="109"/>
        <v>1936</v>
      </c>
      <c r="D115" s="163">
        <f t="shared" si="109"/>
        <v>1639</v>
      </c>
      <c r="E115" s="163">
        <f t="shared" si="109"/>
        <v>1651</v>
      </c>
      <c r="F115" s="163">
        <f t="shared" si="109"/>
        <v>1879</v>
      </c>
      <c r="G115" s="163">
        <f t="shared" si="109"/>
        <v>2205</v>
      </c>
      <c r="H115" s="163">
        <f t="shared" si="109"/>
        <v>3257</v>
      </c>
      <c r="I115" s="163">
        <f t="shared" si="109"/>
        <v>3850</v>
      </c>
      <c r="J115" s="163">
        <f t="shared" si="109"/>
        <v>3768</v>
      </c>
      <c r="K115" s="163">
        <f t="shared" si="109"/>
        <v>6506</v>
      </c>
      <c r="L115" s="163">
        <f t="shared" si="109"/>
        <v>4121</v>
      </c>
      <c r="M115" s="163">
        <f t="shared" si="109"/>
        <v>3918</v>
      </c>
      <c r="N115" s="163">
        <f t="shared" si="109"/>
        <v>3298</v>
      </c>
      <c r="O115" s="163">
        <f t="shared" si="109"/>
        <v>3071</v>
      </c>
      <c r="P115" s="163">
        <f t="shared" si="109"/>
        <v>3047</v>
      </c>
      <c r="Q115" s="163">
        <f>SUM(Q109:Q114)</f>
        <v>3331</v>
      </c>
      <c r="R115" s="163">
        <f t="shared" ref="R115:W115" si="110">SUM(R109:R114)</f>
        <v>4627</v>
      </c>
      <c r="S115" s="163">
        <f t="shared" si="110"/>
        <v>3179</v>
      </c>
      <c r="T115" s="163">
        <f t="shared" si="110"/>
        <v>3269</v>
      </c>
      <c r="U115" s="163">
        <f t="shared" si="110"/>
        <v>3219</v>
      </c>
      <c r="V115" s="163">
        <f t="shared" si="110"/>
        <v>2476</v>
      </c>
      <c r="W115" s="163">
        <f t="shared" si="110"/>
        <v>2249</v>
      </c>
      <c r="X115" s="163">
        <f t="shared" ref="X115:AE115" si="111">SUM(X109:X114)</f>
        <v>2852</v>
      </c>
      <c r="Y115" s="163">
        <f t="shared" si="111"/>
        <v>3377</v>
      </c>
      <c r="Z115" s="163">
        <f t="shared" si="111"/>
        <v>3812</v>
      </c>
      <c r="AA115" s="163">
        <f t="shared" si="111"/>
        <v>3615</v>
      </c>
      <c r="AB115" s="163">
        <f t="shared" ref="AB115" si="112">SUM(AB109:AB114)</f>
        <v>3769.1051550000002</v>
      </c>
      <c r="AC115" s="96">
        <f t="shared" si="111"/>
        <v>4050.4573096500008</v>
      </c>
      <c r="AD115" s="96">
        <f t="shared" si="111"/>
        <v>4357.1799289395012</v>
      </c>
      <c r="AE115" s="96">
        <f t="shared" si="111"/>
        <v>4691.7291568076862</v>
      </c>
      <c r="AF115" s="96">
        <f t="shared" ref="AF115" si="113">SUM(AF109:AF114)</f>
        <v>5056.8043653119175</v>
      </c>
    </row>
    <row r="116" spans="1:32">
      <c r="A116" s="2"/>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c r="AA116" s="89"/>
      <c r="AB116" s="89"/>
      <c r="AC116" s="36"/>
      <c r="AD116" s="36"/>
      <c r="AE116" s="36"/>
      <c r="AF116" s="36"/>
    </row>
    <row r="117" spans="1:32">
      <c r="A117" s="113" t="str">
        <f>Income_Statement_Qtr!A117</f>
        <v>Non-Recurring Charges</v>
      </c>
      <c r="B117" s="161"/>
      <c r="C117" s="161"/>
      <c r="D117" s="161"/>
      <c r="E117" s="161"/>
      <c r="F117" s="161"/>
      <c r="G117" s="161"/>
      <c r="H117" s="161"/>
      <c r="I117" s="161"/>
      <c r="J117" s="161"/>
      <c r="K117" s="161"/>
      <c r="L117" s="161"/>
      <c r="M117" s="161"/>
      <c r="N117" s="161"/>
      <c r="O117" s="161"/>
      <c r="P117" s="161"/>
      <c r="Q117" s="161"/>
      <c r="R117" s="161"/>
      <c r="S117" s="161"/>
      <c r="T117" s="161"/>
      <c r="U117" s="161"/>
      <c r="V117" s="161"/>
      <c r="W117" s="161"/>
      <c r="X117" s="161"/>
      <c r="Y117" s="161"/>
      <c r="Z117" s="161"/>
      <c r="AA117" s="161"/>
      <c r="AB117" s="161"/>
      <c r="AC117" s="114"/>
      <c r="AD117" s="114"/>
      <c r="AE117" s="114"/>
      <c r="AF117" s="114"/>
    </row>
    <row r="118" spans="1:32" outlineLevel="1">
      <c r="A118" s="5" t="str">
        <f>Income_Statement_Qtr!A118</f>
        <v>Operating Profit (GAAP)</v>
      </c>
      <c r="B118" s="163">
        <f t="shared" ref="B118:P118" si="114">B34</f>
        <v>3058</v>
      </c>
      <c r="C118" s="163">
        <f t="shared" si="114"/>
        <v>3896</v>
      </c>
      <c r="D118" s="163">
        <f t="shared" si="114"/>
        <v>3450</v>
      </c>
      <c r="E118" s="163">
        <f t="shared" si="114"/>
        <v>1311</v>
      </c>
      <c r="F118" s="163">
        <f t="shared" si="114"/>
        <v>2562</v>
      </c>
      <c r="G118" s="163">
        <f t="shared" si="114"/>
        <v>2812</v>
      </c>
      <c r="H118" s="163">
        <f t="shared" si="114"/>
        <v>3920</v>
      </c>
      <c r="I118" s="163">
        <f t="shared" si="114"/>
        <v>5830</v>
      </c>
      <c r="J118" s="163">
        <f t="shared" si="114"/>
        <v>6821.1384615384613</v>
      </c>
      <c r="K118" s="163">
        <f t="shared" si="114"/>
        <v>6141</v>
      </c>
      <c r="L118" s="163">
        <f t="shared" si="114"/>
        <v>4971</v>
      </c>
      <c r="M118" s="163">
        <f t="shared" si="114"/>
        <v>5844</v>
      </c>
      <c r="N118" s="163">
        <f t="shared" si="114"/>
        <v>6290</v>
      </c>
      <c r="O118" s="163">
        <f t="shared" si="114"/>
        <v>6968</v>
      </c>
      <c r="P118" s="163">
        <f t="shared" si="114"/>
        <v>7473</v>
      </c>
      <c r="Q118" s="125">
        <f>Income_Statement_Qtr!F118</f>
        <v>7443</v>
      </c>
      <c r="R118" s="125">
        <f>Income_Statement_Qtr!K118</f>
        <v>5834</v>
      </c>
      <c r="S118" s="125">
        <f>Income_Statement_Qtr!P118</f>
        <v>10344</v>
      </c>
      <c r="T118" s="125">
        <f>Income_Statement_Qtr!U118</f>
        <v>11987</v>
      </c>
      <c r="U118" s="125">
        <f>Income_Statement_Qtr!Z118</f>
        <v>-1975</v>
      </c>
      <c r="V118" s="125">
        <f>Income_Statement_Qtr!AE118</f>
        <v>-12767</v>
      </c>
      <c r="W118" s="125">
        <f>Income_Statement_Qtr!AJ118</f>
        <v>-2902</v>
      </c>
      <c r="X118" s="125">
        <f>Income_Statement_Qtr!AO118</f>
        <v>-3547</v>
      </c>
      <c r="Y118" s="125">
        <f>Income_Statement_Qtr!AT118</f>
        <v>-773</v>
      </c>
      <c r="Z118" s="125">
        <f>Income_Statement_Qtr!AY118</f>
        <v>-10707</v>
      </c>
      <c r="AA118" s="125">
        <f>Income_Statement_Qtr!BD118</f>
        <v>4281</v>
      </c>
      <c r="AB118" s="125">
        <f>Income_Statement_Qtr!BI118</f>
        <v>2111.9937552546153</v>
      </c>
      <c r="AC118" s="96">
        <f>AC34</f>
        <v>8681.7118979677889</v>
      </c>
      <c r="AD118" s="96">
        <f>AD34</f>
        <v>10864.926056796992</v>
      </c>
      <c r="AE118" s="96">
        <f>AE34</f>
        <v>11359.434337119928</v>
      </c>
      <c r="AF118" s="96">
        <f>AF34</f>
        <v>11816.886490890538</v>
      </c>
    </row>
    <row r="119" spans="1:32" outlineLevel="1">
      <c r="A119" s="1" t="str">
        <f>Income_Statement_Qtr!A119</f>
        <v>Pension FAS/CAS Service Cost Adjustment</v>
      </c>
      <c r="B119" s="154">
        <v>0</v>
      </c>
      <c r="C119" s="154">
        <v>0</v>
      </c>
      <c r="D119" s="154">
        <v>0</v>
      </c>
      <c r="E119" s="154">
        <v>0</v>
      </c>
      <c r="F119" s="154">
        <v>0</v>
      </c>
      <c r="G119" s="154">
        <f>-0.04*802.9/(1-37.8%)</f>
        <v>-51.633440514469441</v>
      </c>
      <c r="H119" s="154">
        <v>0</v>
      </c>
      <c r="I119" s="154">
        <v>0</v>
      </c>
      <c r="J119" s="154">
        <v>0</v>
      </c>
      <c r="K119" s="154">
        <v>0</v>
      </c>
      <c r="L119" s="154">
        <v>0</v>
      </c>
      <c r="M119" s="154">
        <v>269</v>
      </c>
      <c r="N119" s="154">
        <v>787</v>
      </c>
      <c r="O119" s="154">
        <v>1374</v>
      </c>
      <c r="P119" s="154">
        <v>1469</v>
      </c>
      <c r="Q119" s="123">
        <f>Income_Statement_Qtr!F119</f>
        <v>421</v>
      </c>
      <c r="R119" s="123">
        <f>Income_Statement_Qtr!K119</f>
        <v>-217</v>
      </c>
      <c r="S119" s="123">
        <f>Income_Statement_Qtr!P119</f>
        <v>-1127</v>
      </c>
      <c r="T119" s="123">
        <f>Income_Statement_Qtr!U119</f>
        <v>-1005</v>
      </c>
      <c r="U119" s="123">
        <f>Income_Statement_Qtr!Z119</f>
        <v>-1071</v>
      </c>
      <c r="V119" s="123">
        <f>Income_Statement_Qtr!AE119</f>
        <v>-1024</v>
      </c>
      <c r="W119" s="123">
        <f>Income_Statement_Qtr!AJ119</f>
        <v>-882</v>
      </c>
      <c r="X119" s="123">
        <f>Income_Statement_Qtr!AO119</f>
        <v>-849</v>
      </c>
      <c r="Y119" s="123">
        <f>Income_Statement_Qtr!AT119</f>
        <v>-799</v>
      </c>
      <c r="Z119" s="123">
        <f>Income_Statement_Qtr!AY119</f>
        <v>-811</v>
      </c>
      <c r="AA119" s="123">
        <f>Income_Statement_Qtr!BD119</f>
        <v>-784</v>
      </c>
      <c r="AB119" s="123">
        <f>Income_Statement_Qtr!BI119</f>
        <v>-850</v>
      </c>
      <c r="AC119" s="43">
        <f t="shared" ref="AC119:AF120" si="115">AB119</f>
        <v>-850</v>
      </c>
      <c r="AD119" s="43">
        <f t="shared" si="115"/>
        <v>-850</v>
      </c>
      <c r="AE119" s="43">
        <f t="shared" si="115"/>
        <v>-850</v>
      </c>
      <c r="AF119" s="43">
        <f t="shared" si="115"/>
        <v>-850</v>
      </c>
    </row>
    <row r="120" spans="1:32" outlineLevel="1">
      <c r="A120" s="1" t="str">
        <f>Income_Statement_Qtr!A120</f>
        <v>Postretirement FAS/CAS Service Cost Adjustment</v>
      </c>
      <c r="B120" s="154">
        <v>0</v>
      </c>
      <c r="C120" s="154">
        <v>0</v>
      </c>
      <c r="D120" s="154">
        <v>0</v>
      </c>
      <c r="E120" s="154">
        <v>0</v>
      </c>
      <c r="F120" s="154">
        <v>0</v>
      </c>
      <c r="G120" s="154">
        <v>0</v>
      </c>
      <c r="H120" s="154">
        <v>0</v>
      </c>
      <c r="I120" s="154">
        <v>0</v>
      </c>
      <c r="J120" s="154">
        <v>0</v>
      </c>
      <c r="K120" s="154">
        <v>0</v>
      </c>
      <c r="L120" s="154">
        <v>0</v>
      </c>
      <c r="M120" s="154">
        <v>248</v>
      </c>
      <c r="N120" s="154">
        <v>112</v>
      </c>
      <c r="O120" s="154">
        <v>-60</v>
      </c>
      <c r="P120" s="154">
        <v>-82</v>
      </c>
      <c r="Q120" s="123">
        <f>Income_Statement_Qtr!F120</f>
        <v>-123</v>
      </c>
      <c r="R120" s="123">
        <f>Income_Statement_Qtr!K120</f>
        <v>-153</v>
      </c>
      <c r="S120" s="123">
        <f>Income_Statement_Qtr!P120</f>
        <v>-311</v>
      </c>
      <c r="T120" s="123">
        <f>Income_Statement_Qtr!U120</f>
        <v>-322</v>
      </c>
      <c r="U120" s="123">
        <f>Income_Statement_Qtr!Z120</f>
        <v>-344</v>
      </c>
      <c r="V120" s="123">
        <f>Income_Statement_Qtr!AE120</f>
        <v>-359</v>
      </c>
      <c r="W120" s="123">
        <f>Income_Statement_Qtr!AJ120</f>
        <v>-291</v>
      </c>
      <c r="X120" s="123">
        <f>Income_Statement_Qtr!AO120</f>
        <v>-294</v>
      </c>
      <c r="Y120" s="123">
        <f>Income_Statement_Qtr!AT120</f>
        <v>-257</v>
      </c>
      <c r="Z120" s="123">
        <f>Income_Statement_Qtr!AY120</f>
        <v>-293</v>
      </c>
      <c r="AA120" s="123">
        <f>Income_Statement_Qtr!BD120</f>
        <v>-261</v>
      </c>
      <c r="AB120" s="123">
        <f>Income_Statement_Qtr!BI120</f>
        <v>-260</v>
      </c>
      <c r="AC120" s="43">
        <f t="shared" si="115"/>
        <v>-260</v>
      </c>
      <c r="AD120" s="43">
        <f t="shared" si="115"/>
        <v>-260</v>
      </c>
      <c r="AE120" s="43">
        <f t="shared" si="115"/>
        <v>-260</v>
      </c>
      <c r="AF120" s="43">
        <f t="shared" si="115"/>
        <v>-260</v>
      </c>
    </row>
    <row r="121" spans="1:32" outlineLevel="1">
      <c r="A121" s="5" t="str">
        <f>Income_Statement_Qtr!A121</f>
        <v>Core Operating Profit (Incl. Others)</v>
      </c>
      <c r="B121" s="163">
        <f t="shared" ref="B121:N121" si="116">B118+B119+B120</f>
        <v>3058</v>
      </c>
      <c r="C121" s="163">
        <f t="shared" si="116"/>
        <v>3896</v>
      </c>
      <c r="D121" s="163">
        <f t="shared" si="116"/>
        <v>3450</v>
      </c>
      <c r="E121" s="163">
        <f t="shared" si="116"/>
        <v>1311</v>
      </c>
      <c r="F121" s="163">
        <f t="shared" si="116"/>
        <v>2562</v>
      </c>
      <c r="G121" s="163">
        <f t="shared" si="116"/>
        <v>2760.3665594855306</v>
      </c>
      <c r="H121" s="163">
        <f t="shared" si="116"/>
        <v>3920</v>
      </c>
      <c r="I121" s="163">
        <f t="shared" si="116"/>
        <v>5830</v>
      </c>
      <c r="J121" s="163">
        <f t="shared" si="116"/>
        <v>6821.1384615384613</v>
      </c>
      <c r="K121" s="163">
        <f t="shared" si="116"/>
        <v>6141</v>
      </c>
      <c r="L121" s="163">
        <f t="shared" si="116"/>
        <v>4971</v>
      </c>
      <c r="M121" s="163">
        <f t="shared" si="116"/>
        <v>6361</v>
      </c>
      <c r="N121" s="163">
        <f t="shared" si="116"/>
        <v>7189</v>
      </c>
      <c r="O121" s="163">
        <f>O118+O119+O120</f>
        <v>8282</v>
      </c>
      <c r="P121" s="163">
        <f>P118+P119+P120</f>
        <v>8860</v>
      </c>
      <c r="Q121" s="125">
        <f>Income_Statement_Qtr!F121</f>
        <v>7741</v>
      </c>
      <c r="R121" s="125">
        <f>Income_Statement_Qtr!K121</f>
        <v>5464</v>
      </c>
      <c r="S121" s="125">
        <f>Income_Statement_Qtr!P121</f>
        <v>8906</v>
      </c>
      <c r="T121" s="125">
        <f>Income_Statement_Qtr!U121</f>
        <v>10660</v>
      </c>
      <c r="U121" s="125">
        <f>Income_Statement_Qtr!Z121</f>
        <v>-3390</v>
      </c>
      <c r="V121" s="125">
        <f>Income_Statement_Qtr!AE121</f>
        <v>-14150</v>
      </c>
      <c r="W121" s="125">
        <f>Income_Statement_Qtr!AJ121</f>
        <v>-4075</v>
      </c>
      <c r="X121" s="125">
        <f>Income_Statement_Qtr!AO121</f>
        <v>-4690</v>
      </c>
      <c r="Y121" s="125">
        <f>Income_Statement_Qtr!AT121</f>
        <v>-1829</v>
      </c>
      <c r="Z121" s="125">
        <f>Income_Statement_Qtr!AY121</f>
        <v>-11811</v>
      </c>
      <c r="AA121" s="125">
        <f>Income_Statement_Qtr!BD121</f>
        <v>3236</v>
      </c>
      <c r="AB121" s="125">
        <f>Income_Statement_Qtr!BI121</f>
        <v>1001.9937552546153</v>
      </c>
      <c r="AC121" s="96">
        <f>AC118+AC119+AC120</f>
        <v>7571.7118979677889</v>
      </c>
      <c r="AD121" s="96">
        <f>AD118+AD119+AD120</f>
        <v>9754.9260567969923</v>
      </c>
      <c r="AE121" s="96">
        <f>AE118+AE119+AE120</f>
        <v>10249.434337119928</v>
      </c>
      <c r="AF121" s="96">
        <f>AF118+AF119+AF120</f>
        <v>10706.886490890538</v>
      </c>
    </row>
    <row r="122" spans="1:32" outlineLevel="1">
      <c r="A122" s="1" t="str">
        <f>Income_Statement_Qtr!A122</f>
        <v>Other</v>
      </c>
      <c r="B122" s="154">
        <v>0</v>
      </c>
      <c r="C122" s="154">
        <v>0</v>
      </c>
      <c r="D122" s="154">
        <v>0</v>
      </c>
      <c r="E122" s="154">
        <v>0</v>
      </c>
      <c r="F122" s="154">
        <v>0</v>
      </c>
      <c r="G122" s="154">
        <v>0</v>
      </c>
      <c r="H122" s="154">
        <v>0</v>
      </c>
      <c r="I122" s="154">
        <v>0</v>
      </c>
      <c r="J122" s="154">
        <v>0</v>
      </c>
      <c r="K122" s="154">
        <v>0</v>
      </c>
      <c r="L122" s="154">
        <v>0</v>
      </c>
      <c r="M122" s="154">
        <v>0</v>
      </c>
      <c r="N122" s="154">
        <v>0</v>
      </c>
      <c r="O122" s="154">
        <v>-406</v>
      </c>
      <c r="P122" s="154">
        <v>0</v>
      </c>
      <c r="Q122" s="123">
        <f>Income_Statement_Qtr!F122</f>
        <v>0</v>
      </c>
      <c r="R122" s="123">
        <f>Income_Statement_Qtr!K122</f>
        <v>0</v>
      </c>
      <c r="S122" s="123">
        <f>Income_Statement_Qtr!P122</f>
        <v>0</v>
      </c>
      <c r="T122" s="123">
        <f>Income_Statement_Qtr!U122</f>
        <v>0</v>
      </c>
      <c r="U122" s="123">
        <f>Income_Statement_Qtr!Z122</f>
        <v>0</v>
      </c>
      <c r="V122" s="123">
        <f>Income_Statement_Qtr!AE122</f>
        <v>0</v>
      </c>
      <c r="W122" s="123">
        <f>Income_Statement_Qtr!AJ122</f>
        <v>0</v>
      </c>
      <c r="X122" s="123">
        <f>Income_Statement_Qtr!AO122</f>
        <v>0</v>
      </c>
      <c r="Y122" s="123">
        <f>Income_Statement_Qtr!AT122</f>
        <v>0</v>
      </c>
      <c r="Z122" s="123">
        <f>Income_Statement_Qtr!AY122</f>
        <v>0</v>
      </c>
      <c r="AA122" s="123">
        <f>Income_Statement_Qtr!BD122</f>
        <v>0</v>
      </c>
      <c r="AB122" s="123">
        <f>Income_Statement_Qtr!BI122</f>
        <v>0</v>
      </c>
      <c r="AC122" s="43">
        <v>0</v>
      </c>
      <c r="AD122" s="43">
        <v>0</v>
      </c>
      <c r="AE122" s="43">
        <v>0</v>
      </c>
      <c r="AF122" s="43">
        <v>0</v>
      </c>
    </row>
    <row r="123" spans="1:32" outlineLevel="1">
      <c r="A123" s="5" t="str">
        <f>Income_Statement_Qtr!A123</f>
        <v>Core Operating Profit (Excl. Pension)</v>
      </c>
      <c r="B123" s="163">
        <f t="shared" ref="B123:N123" si="117">B118+B119+B120</f>
        <v>3058</v>
      </c>
      <c r="C123" s="163">
        <f t="shared" si="117"/>
        <v>3896</v>
      </c>
      <c r="D123" s="163">
        <f t="shared" si="117"/>
        <v>3450</v>
      </c>
      <c r="E123" s="163">
        <f t="shared" si="117"/>
        <v>1311</v>
      </c>
      <c r="F123" s="163">
        <f t="shared" si="117"/>
        <v>2562</v>
      </c>
      <c r="G123" s="163">
        <f t="shared" si="117"/>
        <v>2760.3665594855306</v>
      </c>
      <c r="H123" s="163">
        <f t="shared" si="117"/>
        <v>3920</v>
      </c>
      <c r="I123" s="163">
        <f t="shared" si="117"/>
        <v>5830</v>
      </c>
      <c r="J123" s="163">
        <f t="shared" si="117"/>
        <v>6821.1384615384613</v>
      </c>
      <c r="K123" s="163">
        <f t="shared" si="117"/>
        <v>6141</v>
      </c>
      <c r="L123" s="163">
        <f t="shared" si="117"/>
        <v>4971</v>
      </c>
      <c r="M123" s="163">
        <f t="shared" si="117"/>
        <v>6361</v>
      </c>
      <c r="N123" s="163">
        <f t="shared" si="117"/>
        <v>7189</v>
      </c>
      <c r="O123" s="163">
        <f>O121+O122</f>
        <v>7876</v>
      </c>
      <c r="P123" s="163">
        <f>P118+P119+P120</f>
        <v>8860</v>
      </c>
      <c r="Q123" s="163">
        <f t="shared" ref="Q123:W123" si="118">Q118+Q119+Q120</f>
        <v>7741</v>
      </c>
      <c r="R123" s="163">
        <f t="shared" si="118"/>
        <v>5464</v>
      </c>
      <c r="S123" s="163">
        <f t="shared" si="118"/>
        <v>8906</v>
      </c>
      <c r="T123" s="163">
        <f t="shared" si="118"/>
        <v>10660</v>
      </c>
      <c r="U123" s="163">
        <f t="shared" si="118"/>
        <v>-3390</v>
      </c>
      <c r="V123" s="163">
        <f t="shared" si="118"/>
        <v>-14150</v>
      </c>
      <c r="W123" s="163">
        <f t="shared" si="118"/>
        <v>-4075</v>
      </c>
      <c r="X123" s="163">
        <f>X118+X119+X120</f>
        <v>-4690</v>
      </c>
      <c r="Y123" s="163">
        <f>Y118+Y119+Y120</f>
        <v>-1829</v>
      </c>
      <c r="Z123" s="163">
        <f>Z118+Z119+Z120</f>
        <v>-11811</v>
      </c>
      <c r="AA123" s="163">
        <f>AA118+AA119+AA120</f>
        <v>3236</v>
      </c>
      <c r="AB123" s="163">
        <f>AB118+AB119+AB120</f>
        <v>1001.9937552546153</v>
      </c>
      <c r="AC123" s="96">
        <f>AC121+AC122</f>
        <v>7571.7118979677889</v>
      </c>
      <c r="AD123" s="96">
        <f>AD121+AD122</f>
        <v>9754.9260567969923</v>
      </c>
      <c r="AE123" s="96">
        <f>AE121+AE122</f>
        <v>10249.434337119928</v>
      </c>
      <c r="AF123" s="96">
        <f>AF121+AF122</f>
        <v>10706.886490890538</v>
      </c>
    </row>
    <row r="124" spans="1:32" outlineLevel="1">
      <c r="A124" s="1"/>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c r="AA124" s="89"/>
      <c r="AB124" s="89"/>
      <c r="AC124" s="36"/>
      <c r="AD124" s="36"/>
      <c r="AE124" s="36"/>
      <c r="AF124" s="36"/>
    </row>
    <row r="125" spans="1:32" outlineLevel="1">
      <c r="A125" s="14" t="str">
        <f>Income_Statement_Qtr!A125</f>
        <v>Non-Operating Adjustments</v>
      </c>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c r="AB125" s="89"/>
      <c r="AC125" s="36"/>
      <c r="AD125" s="36"/>
      <c r="AE125" s="36"/>
      <c r="AF125" s="36"/>
    </row>
    <row r="126" spans="1:32" outlineLevel="1">
      <c r="A126" s="1" t="str">
        <f>Income_Statement_Qtr!A126</f>
        <v>Non-Operating Pension Expense</v>
      </c>
      <c r="B126" s="154">
        <v>0</v>
      </c>
      <c r="C126" s="154">
        <v>0</v>
      </c>
      <c r="D126" s="154">
        <v>0</v>
      </c>
      <c r="E126" s="154">
        <v>0</v>
      </c>
      <c r="F126" s="154">
        <v>0</v>
      </c>
      <c r="G126" s="154">
        <v>0</v>
      </c>
      <c r="H126" s="154">
        <v>0</v>
      </c>
      <c r="I126" s="154">
        <v>0</v>
      </c>
      <c r="J126" s="154">
        <v>0</v>
      </c>
      <c r="K126" s="154">
        <v>0</v>
      </c>
      <c r="L126" s="154">
        <v>0</v>
      </c>
      <c r="M126" s="154">
        <v>0</v>
      </c>
      <c r="N126" s="154">
        <v>0</v>
      </c>
      <c r="O126" s="154">
        <v>0</v>
      </c>
      <c r="P126" s="154">
        <v>0</v>
      </c>
      <c r="Q126" s="123">
        <f>Income_Statement_Qtr!F126</f>
        <v>0</v>
      </c>
      <c r="R126" s="123">
        <f>Income_Statement_Qtr!K126</f>
        <v>0</v>
      </c>
      <c r="S126" s="123">
        <f>Income_Statement_Qtr!P126</f>
        <v>-117</v>
      </c>
      <c r="T126" s="123">
        <f>Income_Statement_Qtr!U126</f>
        <v>-143</v>
      </c>
      <c r="U126" s="123">
        <f>Income_Statement_Qtr!Z126</f>
        <v>-374</v>
      </c>
      <c r="V126" s="123">
        <f>Income_Statement_Qtr!AE126</f>
        <v>-340</v>
      </c>
      <c r="W126" s="123">
        <f>Income_Statement_Qtr!AJ126</f>
        <v>-528</v>
      </c>
      <c r="X126" s="123">
        <f>Income_Statement_Qtr!AO126</f>
        <v>-881</v>
      </c>
      <c r="Y126" s="123">
        <f>Income_Statement_Qtr!AT126</f>
        <v>-529</v>
      </c>
      <c r="Z126" s="123">
        <f>Income_Statement_Qtr!AY126</f>
        <v>-476</v>
      </c>
      <c r="AA126" s="123">
        <f>Income_Statement_Qtr!BD126</f>
        <v>-176</v>
      </c>
      <c r="AB126" s="123">
        <f>Income_Statement_Qtr!BI126</f>
        <v>-200</v>
      </c>
      <c r="AC126" s="43">
        <f t="shared" ref="AC126:AF127" si="119">AB126</f>
        <v>-200</v>
      </c>
      <c r="AD126" s="43">
        <f t="shared" si="119"/>
        <v>-200</v>
      </c>
      <c r="AE126" s="43">
        <f t="shared" si="119"/>
        <v>-200</v>
      </c>
      <c r="AF126" s="43">
        <f t="shared" si="119"/>
        <v>-200</v>
      </c>
    </row>
    <row r="127" spans="1:32" outlineLevel="1">
      <c r="A127" s="1" t="str">
        <f>Income_Statement_Qtr!A127</f>
        <v>Non-Operating Postretirement Expense</v>
      </c>
      <c r="B127" s="154">
        <v>0</v>
      </c>
      <c r="C127" s="154">
        <v>0</v>
      </c>
      <c r="D127" s="154">
        <v>0</v>
      </c>
      <c r="E127" s="154">
        <v>0</v>
      </c>
      <c r="F127" s="154">
        <v>0</v>
      </c>
      <c r="G127" s="154">
        <v>0</v>
      </c>
      <c r="H127" s="154">
        <v>0</v>
      </c>
      <c r="I127" s="154">
        <v>0</v>
      </c>
      <c r="J127" s="154">
        <v>0</v>
      </c>
      <c r="K127" s="154">
        <v>0</v>
      </c>
      <c r="L127" s="154">
        <v>0</v>
      </c>
      <c r="M127" s="154">
        <v>0</v>
      </c>
      <c r="N127" s="154">
        <v>0</v>
      </c>
      <c r="O127" s="154">
        <v>0</v>
      </c>
      <c r="P127" s="154">
        <v>0</v>
      </c>
      <c r="Q127" s="123">
        <f>Income_Statement_Qtr!F127</f>
        <v>0</v>
      </c>
      <c r="R127" s="123">
        <f>Income_Statement_Qtr!K127</f>
        <v>0</v>
      </c>
      <c r="S127" s="123">
        <f>Income_Statement_Qtr!P127</f>
        <v>123</v>
      </c>
      <c r="T127" s="123">
        <f>Income_Statement_Qtr!U127</f>
        <v>101</v>
      </c>
      <c r="U127" s="123">
        <f>Income_Statement_Qtr!Z127</f>
        <v>107</v>
      </c>
      <c r="V127" s="123">
        <f>Income_Statement_Qtr!AE127</f>
        <v>16</v>
      </c>
      <c r="W127" s="123">
        <f>Income_Statement_Qtr!AJ127</f>
        <v>-1</v>
      </c>
      <c r="X127" s="123">
        <f>Income_Statement_Qtr!AO127</f>
        <v>-58</v>
      </c>
      <c r="Y127" s="123">
        <f>Income_Statement_Qtr!AT127</f>
        <v>-58</v>
      </c>
      <c r="Z127" s="123">
        <f>Income_Statement_Qtr!AY127</f>
        <v>-73</v>
      </c>
      <c r="AA127" s="123">
        <f>Income_Statement_Qtr!BD127</f>
        <v>-19</v>
      </c>
      <c r="AB127" s="123">
        <f>Income_Statement_Qtr!BI127</f>
        <v>-40</v>
      </c>
      <c r="AC127" s="43">
        <f t="shared" si="119"/>
        <v>-40</v>
      </c>
      <c r="AD127" s="43">
        <f t="shared" si="119"/>
        <v>-40</v>
      </c>
      <c r="AE127" s="43">
        <f t="shared" si="119"/>
        <v>-40</v>
      </c>
      <c r="AF127" s="43">
        <f t="shared" si="119"/>
        <v>-40</v>
      </c>
    </row>
    <row r="128" spans="1:32" outlineLevel="1">
      <c r="A128" s="1" t="str">
        <f>Income_Statement_Qtr!A128</f>
        <v>Provision for Deferred Income Taxes on Adjustments</v>
      </c>
      <c r="B128" s="154">
        <v>0</v>
      </c>
      <c r="C128" s="154">
        <v>0</v>
      </c>
      <c r="D128" s="154">
        <v>0</v>
      </c>
      <c r="E128" s="154">
        <v>0</v>
      </c>
      <c r="F128" s="154">
        <v>0</v>
      </c>
      <c r="G128" s="154">
        <f>(0.04*802.9/(1-37.8%))-0.04*802.9</f>
        <v>19.517440514469442</v>
      </c>
      <c r="H128" s="154">
        <v>0</v>
      </c>
      <c r="I128" s="154">
        <v>0</v>
      </c>
      <c r="J128" s="154">
        <v>0</v>
      </c>
      <c r="K128" s="154">
        <v>0</v>
      </c>
      <c r="L128" s="154">
        <v>0</v>
      </c>
      <c r="M128" s="64">
        <f>-517+0.45*750.6</f>
        <v>-179.22999999999996</v>
      </c>
      <c r="N128" s="64">
        <f>-899+0.77*761.5</f>
        <v>-312.64499999999998</v>
      </c>
      <c r="O128" s="64">
        <f>-1314+1.11*767.6</f>
        <v>-461.96399999999994</v>
      </c>
      <c r="P128" s="64">
        <f>-1387+1.22*736.7</f>
        <v>-488.226</v>
      </c>
      <c r="Q128" s="123">
        <f>Income_Statement_Qtr!F128</f>
        <v>-104.25</v>
      </c>
      <c r="R128" s="123">
        <f>Income_Statement_Qtr!K128</f>
        <v>128.56</v>
      </c>
      <c r="S128" s="123">
        <f>Income_Statement_Qtr!P128</f>
        <v>501</v>
      </c>
      <c r="T128" s="123">
        <f>Income_Statement_Qtr!U128</f>
        <v>287</v>
      </c>
      <c r="U128" s="123">
        <f>Income_Statement_Qtr!Z128</f>
        <v>353</v>
      </c>
      <c r="V128" s="123">
        <f>Income_Statement_Qtr!AE128</f>
        <v>359</v>
      </c>
      <c r="W128" s="123">
        <f>Income_Statement_Qtr!AJ128</f>
        <v>357</v>
      </c>
      <c r="X128" s="123">
        <f>Income_Statement_Qtr!AO128</f>
        <v>437</v>
      </c>
      <c r="Y128" s="123">
        <f>Income_Statement_Qtr!AT128</f>
        <v>344</v>
      </c>
      <c r="Z128" s="123">
        <f>Income_Statement_Qtr!AY128</f>
        <v>347</v>
      </c>
      <c r="AA128" s="123">
        <f>Income_Statement_Qtr!BD128</f>
        <v>260.2</v>
      </c>
      <c r="AB128" s="123">
        <f>Income_Statement_Qtr!BI128</f>
        <v>283.5</v>
      </c>
      <c r="AC128" s="64">
        <f>-(AC119+AC120+AC126+AC127)*21%</f>
        <v>283.5</v>
      </c>
      <c r="AD128" s="64">
        <f>-(AD119+AD120+AD126+AD127)*21%</f>
        <v>283.5</v>
      </c>
      <c r="AE128" s="64">
        <f>-(AE119+AE120+AE126+AE127)*21%</f>
        <v>283.5</v>
      </c>
      <c r="AF128" s="64">
        <f>-(AF119+AF120+AF126+AF127)*21%</f>
        <v>283.5</v>
      </c>
    </row>
    <row r="129" spans="1:32" outlineLevel="1">
      <c r="A129" s="1" t="s">
        <v>1</v>
      </c>
      <c r="B129" s="154">
        <v>0</v>
      </c>
      <c r="C129" s="154">
        <v>0</v>
      </c>
      <c r="D129" s="154">
        <v>0</v>
      </c>
      <c r="E129" s="154">
        <v>0</v>
      </c>
      <c r="F129" s="154">
        <v>0</v>
      </c>
      <c r="G129" s="154">
        <v>0</v>
      </c>
      <c r="H129" s="154">
        <v>0</v>
      </c>
      <c r="I129" s="154">
        <v>0</v>
      </c>
      <c r="J129" s="154">
        <v>0</v>
      </c>
      <c r="K129" s="154">
        <v>0</v>
      </c>
      <c r="L129" s="154">
        <v>0</v>
      </c>
      <c r="M129" s="173">
        <v>0</v>
      </c>
      <c r="N129" s="173">
        <v>0</v>
      </c>
      <c r="O129" s="173">
        <f>-0.34*767.6</f>
        <v>-260.98400000000004</v>
      </c>
      <c r="P129" s="173">
        <v>0</v>
      </c>
      <c r="Q129" s="123">
        <f>Income_Statement_Qtr!F129</f>
        <v>0</v>
      </c>
      <c r="R129" s="123">
        <f>Income_Statement_Qtr!K129</f>
        <v>0</v>
      </c>
      <c r="S129" s="123">
        <f>Income_Statement_Qtr!P129</f>
        <v>0</v>
      </c>
      <c r="T129" s="123">
        <f>Income_Statement_Qtr!U129</f>
        <v>0</v>
      </c>
      <c r="U129" s="123">
        <f>Income_Statement_Qtr!Z129</f>
        <v>0</v>
      </c>
      <c r="V129" s="123">
        <f>Income_Statement_Qtr!AE129</f>
        <v>0</v>
      </c>
      <c r="W129" s="123">
        <f>Income_Statement_Qtr!AJ129</f>
        <v>0</v>
      </c>
      <c r="X129" s="123">
        <f>Income_Statement_Qtr!AO129</f>
        <v>0</v>
      </c>
      <c r="Y129" s="123">
        <f>Income_Statement_Qtr!AT129</f>
        <v>0</v>
      </c>
      <c r="Z129" s="123">
        <f>Income_Statement_Qtr!AY129</f>
        <v>0</v>
      </c>
      <c r="AA129" s="123">
        <f ca="1">Income_Statement_Qtr!BD129</f>
        <v>0</v>
      </c>
      <c r="AB129" s="123">
        <f>Income_Statement_Qtr!BI129</f>
        <v>0</v>
      </c>
      <c r="AC129" s="64">
        <v>0</v>
      </c>
      <c r="AD129" s="64">
        <v>0</v>
      </c>
      <c r="AE129" s="64">
        <v>0</v>
      </c>
      <c r="AF129" s="64">
        <v>0</v>
      </c>
    </row>
    <row r="130" spans="1:32" outlineLevel="1">
      <c r="A130" s="14" t="str">
        <f>Income_Statement_Qtr!A130</f>
        <v>Total Adjustment</v>
      </c>
      <c r="B130" s="163">
        <f t="shared" ref="B130:N130" si="120">B119+B120+B126+B127+B128+B129</f>
        <v>0</v>
      </c>
      <c r="C130" s="163">
        <f t="shared" si="120"/>
        <v>0</v>
      </c>
      <c r="D130" s="163">
        <f t="shared" si="120"/>
        <v>0</v>
      </c>
      <c r="E130" s="163">
        <f t="shared" si="120"/>
        <v>0</v>
      </c>
      <c r="F130" s="163">
        <f t="shared" si="120"/>
        <v>0</v>
      </c>
      <c r="G130" s="163">
        <f t="shared" si="120"/>
        <v>-32.116</v>
      </c>
      <c r="H130" s="163">
        <f t="shared" si="120"/>
        <v>0</v>
      </c>
      <c r="I130" s="163">
        <f t="shared" si="120"/>
        <v>0</v>
      </c>
      <c r="J130" s="163">
        <f t="shared" si="120"/>
        <v>0</v>
      </c>
      <c r="K130" s="163">
        <f t="shared" si="120"/>
        <v>0</v>
      </c>
      <c r="L130" s="163">
        <f t="shared" si="120"/>
        <v>0</v>
      </c>
      <c r="M130" s="163">
        <f t="shared" si="120"/>
        <v>337.77000000000004</v>
      </c>
      <c r="N130" s="163">
        <f t="shared" si="120"/>
        <v>586.35500000000002</v>
      </c>
      <c r="O130" s="163">
        <f>O119+O120+O126+O127+O128+O129</f>
        <v>591.05200000000002</v>
      </c>
      <c r="P130" s="163">
        <f t="shared" ref="P130:W130" si="121">P119+P120+P126+P127+P128+P129</f>
        <v>898.774</v>
      </c>
      <c r="Q130" s="163">
        <f t="shared" si="121"/>
        <v>193.75</v>
      </c>
      <c r="R130" s="163">
        <f t="shared" si="121"/>
        <v>-241.44</v>
      </c>
      <c r="S130" s="163">
        <f t="shared" si="121"/>
        <v>-931</v>
      </c>
      <c r="T130" s="163">
        <f t="shared" si="121"/>
        <v>-1082</v>
      </c>
      <c r="U130" s="163">
        <f t="shared" si="121"/>
        <v>-1329</v>
      </c>
      <c r="V130" s="163">
        <f t="shared" si="121"/>
        <v>-1348</v>
      </c>
      <c r="W130" s="163">
        <f t="shared" si="121"/>
        <v>-1345</v>
      </c>
      <c r="X130" s="163">
        <f t="shared" ref="X130:AC130" si="122">X119+X120+X126+X127+X128+X129</f>
        <v>-1645</v>
      </c>
      <c r="Y130" s="163">
        <f t="shared" si="122"/>
        <v>-1299</v>
      </c>
      <c r="Z130" s="163">
        <f t="shared" ref="Z130:AA130" si="123">Z119+Z120+Z126+Z127+Z128+Z129</f>
        <v>-1306</v>
      </c>
      <c r="AA130" s="163">
        <f t="shared" ca="1" si="123"/>
        <v>-979.8</v>
      </c>
      <c r="AB130" s="163">
        <f t="shared" ref="AB130" si="124">AB119+AB120+AB126+AB127+AB128+AB129</f>
        <v>-1066.5</v>
      </c>
      <c r="AC130" s="96">
        <f t="shared" si="122"/>
        <v>-1066.5</v>
      </c>
      <c r="AD130" s="96">
        <f t="shared" ref="AD130:AE130" si="125">AD119+AD120+AD126+AD127+AD128+AD129</f>
        <v>-1066.5</v>
      </c>
      <c r="AE130" s="96">
        <f t="shared" si="125"/>
        <v>-1066.5</v>
      </c>
      <c r="AF130" s="96">
        <f t="shared" ref="AF130" si="126">AF119+AF120+AF126+AF127+AF128+AF129</f>
        <v>-1066.5</v>
      </c>
    </row>
    <row r="131" spans="1:32">
      <c r="A131" s="2"/>
      <c r="B131" s="89"/>
      <c r="C131" s="89"/>
      <c r="D131" s="89"/>
      <c r="E131" s="89"/>
      <c r="F131" s="89"/>
      <c r="G131" s="89"/>
      <c r="H131" s="89"/>
      <c r="I131" s="89"/>
      <c r="J131" s="89"/>
      <c r="K131" s="89"/>
      <c r="L131" s="89"/>
      <c r="M131" s="249"/>
      <c r="N131" s="89"/>
      <c r="O131" s="89"/>
      <c r="P131" s="89"/>
      <c r="Q131" s="89"/>
      <c r="R131" s="89"/>
      <c r="S131" s="89"/>
      <c r="T131" s="89"/>
      <c r="U131" s="89"/>
      <c r="V131" s="89"/>
      <c r="W131" s="89"/>
      <c r="X131" s="89"/>
      <c r="Y131" s="89"/>
      <c r="Z131" s="89"/>
      <c r="AA131" s="89"/>
      <c r="AB131" s="89"/>
      <c r="AC131" s="36"/>
      <c r="AD131" s="36"/>
      <c r="AE131" s="36"/>
      <c r="AF131" s="36"/>
    </row>
    <row r="132" spans="1:32">
      <c r="A132" s="14" t="str">
        <f>Income_Statement_Qtr!A132</f>
        <v>Total FAS Expense and CAS Costs</v>
      </c>
      <c r="B132" s="152"/>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c r="AA132" s="152"/>
      <c r="AB132" s="152"/>
      <c r="AC132" s="40"/>
      <c r="AD132" s="40"/>
      <c r="AE132" s="40"/>
      <c r="AF132" s="40"/>
    </row>
    <row r="133" spans="1:32">
      <c r="A133" s="1" t="str">
        <f>Income_Statement_Qtr!A133</f>
        <v>FAS Pension Expense</v>
      </c>
      <c r="B133" s="154" t="s">
        <v>310</v>
      </c>
      <c r="C133" s="154" t="s">
        <v>310</v>
      </c>
      <c r="D133" s="154" t="s">
        <v>310</v>
      </c>
      <c r="E133" s="210">
        <f t="shared" ref="E133:P133" si="127">E22+E38</f>
        <v>463</v>
      </c>
      <c r="F133" s="210">
        <f t="shared" si="127"/>
        <v>27</v>
      </c>
      <c r="G133" s="210">
        <f t="shared" si="127"/>
        <v>-846</v>
      </c>
      <c r="H133" s="210">
        <f t="shared" si="127"/>
        <v>-369</v>
      </c>
      <c r="I133" s="210">
        <f t="shared" si="127"/>
        <v>-561</v>
      </c>
      <c r="J133" s="210">
        <f t="shared" si="127"/>
        <v>-208</v>
      </c>
      <c r="K133" s="210">
        <f t="shared" si="127"/>
        <v>110</v>
      </c>
      <c r="L133" s="210">
        <f t="shared" si="127"/>
        <v>54</v>
      </c>
      <c r="M133" s="210">
        <f t="shared" si="127"/>
        <v>-269</v>
      </c>
      <c r="N133" s="210">
        <f t="shared" si="127"/>
        <v>-787</v>
      </c>
      <c r="O133" s="210">
        <f t="shared" si="127"/>
        <v>-1374</v>
      </c>
      <c r="P133" s="210">
        <f t="shared" si="127"/>
        <v>-1469</v>
      </c>
      <c r="Q133" s="123">
        <f>Income_Statement_Qtr!F133</f>
        <v>-421</v>
      </c>
      <c r="R133" s="123">
        <f>Income_Statement_Qtr!K133</f>
        <v>217</v>
      </c>
      <c r="S133" s="123">
        <f>Income_Statement_Qtr!P133</f>
        <v>1127</v>
      </c>
      <c r="T133" s="123">
        <f>Income_Statement_Qtr!U133</f>
        <v>1005</v>
      </c>
      <c r="U133" s="123">
        <f>Income_Statement_Qtr!Z133</f>
        <v>1071</v>
      </c>
      <c r="V133" s="123">
        <f>Income_Statement_Qtr!AE133</f>
        <v>1024</v>
      </c>
      <c r="W133" s="123">
        <f>Income_Statement_Qtr!AJ133</f>
        <v>882</v>
      </c>
      <c r="X133" s="123">
        <f>Income_Statement_Qtr!AO133</f>
        <v>849</v>
      </c>
      <c r="Y133" s="123">
        <f>Income_Statement_Qtr!AT133</f>
        <v>799</v>
      </c>
      <c r="Z133" s="123">
        <f>Income_Statement_Qtr!AY133</f>
        <v>811</v>
      </c>
      <c r="AA133" s="123">
        <f>Income_Statement_Qtr!BD133</f>
        <v>784</v>
      </c>
      <c r="AB133" s="123">
        <f>Income_Statement_Qtr!BI133</f>
        <v>850</v>
      </c>
      <c r="AC133" s="23">
        <f>AC22+AC38</f>
        <v>850</v>
      </c>
      <c r="AD133" s="23">
        <f>AD22+AD38</f>
        <v>850</v>
      </c>
      <c r="AE133" s="23">
        <f>AE22+AE38</f>
        <v>850</v>
      </c>
      <c r="AF133" s="23">
        <f>AF22+AF38</f>
        <v>850</v>
      </c>
    </row>
    <row r="134" spans="1:32">
      <c r="A134" s="1" t="str">
        <f>Income_Statement_Qtr!A134</f>
        <v>CAS Pension Cost</v>
      </c>
      <c r="B134" s="210" t="str">
        <f t="shared" ref="B134:P134" si="128">B23</f>
        <v>ND</v>
      </c>
      <c r="C134" s="210" t="str">
        <f t="shared" si="128"/>
        <v>ND</v>
      </c>
      <c r="D134" s="210" t="str">
        <f t="shared" si="128"/>
        <v>ND</v>
      </c>
      <c r="E134" s="210">
        <f t="shared" si="128"/>
        <v>-257</v>
      </c>
      <c r="F134" s="210">
        <f t="shared" si="128"/>
        <v>-285</v>
      </c>
      <c r="G134" s="210">
        <f t="shared" si="128"/>
        <v>-5</v>
      </c>
      <c r="H134" s="210">
        <f t="shared" si="128"/>
        <v>-103</v>
      </c>
      <c r="I134" s="210">
        <f t="shared" si="128"/>
        <v>-125</v>
      </c>
      <c r="J134" s="210">
        <f t="shared" si="128"/>
        <v>-79</v>
      </c>
      <c r="K134" s="210">
        <f t="shared" si="128"/>
        <v>-93</v>
      </c>
      <c r="L134" s="210">
        <f t="shared" si="128"/>
        <v>-59</v>
      </c>
      <c r="M134" s="210">
        <f t="shared" si="128"/>
        <v>-248</v>
      </c>
      <c r="N134" s="210">
        <f t="shared" si="128"/>
        <v>-112</v>
      </c>
      <c r="O134" s="210">
        <f t="shared" si="128"/>
        <v>60</v>
      </c>
      <c r="P134" s="210">
        <f t="shared" si="128"/>
        <v>82</v>
      </c>
      <c r="Q134" s="123">
        <f>Income_Statement_Qtr!F134</f>
        <v>123</v>
      </c>
      <c r="R134" s="123">
        <f>Income_Statement_Qtr!K134</f>
        <v>153</v>
      </c>
      <c r="S134" s="123">
        <f>Income_Statement_Qtr!P134</f>
        <v>311</v>
      </c>
      <c r="T134" s="123">
        <f>Income_Statement_Qtr!U134</f>
        <v>322</v>
      </c>
      <c r="U134" s="123">
        <f>Income_Statement_Qtr!Z134</f>
        <v>344</v>
      </c>
      <c r="V134" s="123">
        <f>Income_Statement_Qtr!AE134</f>
        <v>359</v>
      </c>
      <c r="W134" s="123">
        <f>Income_Statement_Qtr!AJ134</f>
        <v>291</v>
      </c>
      <c r="X134" s="123">
        <f>Income_Statement_Qtr!AO134</f>
        <v>294</v>
      </c>
      <c r="Y134" s="123">
        <f>Income_Statement_Qtr!AT134</f>
        <v>257</v>
      </c>
      <c r="Z134" s="123">
        <f>Income_Statement_Qtr!AY134</f>
        <v>293</v>
      </c>
      <c r="AA134" s="123">
        <f>Income_Statement_Qtr!BD134</f>
        <v>261</v>
      </c>
      <c r="AB134" s="123">
        <f>Income_Statement_Qtr!BI134</f>
        <v>260</v>
      </c>
      <c r="AC134" s="23">
        <f>AB134</f>
        <v>260</v>
      </c>
      <c r="AD134" s="23">
        <f>AC134</f>
        <v>260</v>
      </c>
      <c r="AE134" s="23">
        <f>AD134</f>
        <v>260</v>
      </c>
      <c r="AF134" s="23">
        <f>AE134</f>
        <v>260</v>
      </c>
    </row>
    <row r="135" spans="1:32">
      <c r="A135" s="14" t="str">
        <f>Income_Statement_Qtr!A135</f>
        <v>Total Net FAS/CAS Pension Adjustment</v>
      </c>
      <c r="B135" s="163">
        <f t="shared" ref="B135:O135" si="129">+SUM(B133:B134)</f>
        <v>0</v>
      </c>
      <c r="C135" s="163">
        <f t="shared" si="129"/>
        <v>0</v>
      </c>
      <c r="D135" s="163">
        <f t="shared" si="129"/>
        <v>0</v>
      </c>
      <c r="E135" s="163">
        <f t="shared" si="129"/>
        <v>206</v>
      </c>
      <c r="F135" s="163">
        <f t="shared" si="129"/>
        <v>-258</v>
      </c>
      <c r="G135" s="163">
        <f t="shared" si="129"/>
        <v>-851</v>
      </c>
      <c r="H135" s="163">
        <f t="shared" si="129"/>
        <v>-472</v>
      </c>
      <c r="I135" s="163">
        <f t="shared" si="129"/>
        <v>-686</v>
      </c>
      <c r="J135" s="163">
        <f t="shared" si="129"/>
        <v>-287</v>
      </c>
      <c r="K135" s="163">
        <f t="shared" si="129"/>
        <v>17</v>
      </c>
      <c r="L135" s="163">
        <f t="shared" si="129"/>
        <v>-5</v>
      </c>
      <c r="M135" s="163">
        <f t="shared" si="129"/>
        <v>-517</v>
      </c>
      <c r="N135" s="163">
        <f t="shared" si="129"/>
        <v>-899</v>
      </c>
      <c r="O135" s="163">
        <f t="shared" si="129"/>
        <v>-1314</v>
      </c>
      <c r="P135" s="163">
        <f t="shared" ref="P135:U135" si="130">+SUM(P133:P134)</f>
        <v>-1387</v>
      </c>
      <c r="Q135" s="163">
        <f t="shared" si="130"/>
        <v>-298</v>
      </c>
      <c r="R135" s="163">
        <f t="shared" si="130"/>
        <v>370</v>
      </c>
      <c r="S135" s="163">
        <f t="shared" si="130"/>
        <v>1438</v>
      </c>
      <c r="T135" s="163">
        <f t="shared" si="130"/>
        <v>1327</v>
      </c>
      <c r="U135" s="163">
        <f t="shared" si="130"/>
        <v>1415</v>
      </c>
      <c r="V135" s="163">
        <f t="shared" ref="V135:W135" si="131">+SUM(V133:V134)</f>
        <v>1383</v>
      </c>
      <c r="W135" s="163">
        <f t="shared" si="131"/>
        <v>1173</v>
      </c>
      <c r="X135" s="163">
        <f t="shared" ref="X135:AE135" si="132">+SUM(X133:X134)</f>
        <v>1143</v>
      </c>
      <c r="Y135" s="163">
        <f t="shared" si="132"/>
        <v>1056</v>
      </c>
      <c r="Z135" s="163">
        <f t="shared" si="132"/>
        <v>1104</v>
      </c>
      <c r="AA135" s="163">
        <f t="shared" si="132"/>
        <v>1045</v>
      </c>
      <c r="AB135" s="163">
        <f t="shared" ref="AB135" si="133">+SUM(AB133:AB134)</f>
        <v>1110</v>
      </c>
      <c r="AC135" s="96">
        <f t="shared" si="132"/>
        <v>1110</v>
      </c>
      <c r="AD135" s="96">
        <f t="shared" si="132"/>
        <v>1110</v>
      </c>
      <c r="AE135" s="96">
        <f t="shared" si="132"/>
        <v>1110</v>
      </c>
      <c r="AF135" s="96">
        <f t="shared" ref="AF135" si="134">+SUM(AF133:AF134)</f>
        <v>1110</v>
      </c>
    </row>
    <row r="136" spans="1:32">
      <c r="A136" s="13" t="str">
        <f>Income_Statement_Qtr!A136</f>
        <v>Check</v>
      </c>
      <c r="B136" s="151" t="b">
        <f t="shared" ref="B136:W136" si="135">(B24+B38)=B135</f>
        <v>1</v>
      </c>
      <c r="C136" s="151" t="b">
        <f t="shared" si="135"/>
        <v>1</v>
      </c>
      <c r="D136" s="151" t="b">
        <f t="shared" si="135"/>
        <v>1</v>
      </c>
      <c r="E136" s="151" t="b">
        <f t="shared" si="135"/>
        <v>1</v>
      </c>
      <c r="F136" s="151" t="b">
        <f t="shared" si="135"/>
        <v>1</v>
      </c>
      <c r="G136" s="151" t="b">
        <f t="shared" si="135"/>
        <v>1</v>
      </c>
      <c r="H136" s="151" t="b">
        <f t="shared" si="135"/>
        <v>1</v>
      </c>
      <c r="I136" s="151" t="b">
        <f t="shared" si="135"/>
        <v>1</v>
      </c>
      <c r="J136" s="151" t="b">
        <f t="shared" si="135"/>
        <v>1</v>
      </c>
      <c r="K136" s="151" t="b">
        <f t="shared" si="135"/>
        <v>1</v>
      </c>
      <c r="L136" s="151" t="b">
        <f t="shared" si="135"/>
        <v>1</v>
      </c>
      <c r="M136" s="151" t="b">
        <f t="shared" si="135"/>
        <v>1</v>
      </c>
      <c r="N136" s="151" t="b">
        <f t="shared" si="135"/>
        <v>1</v>
      </c>
      <c r="O136" s="151" t="b">
        <f t="shared" si="135"/>
        <v>1</v>
      </c>
      <c r="P136" s="151" t="b">
        <f t="shared" si="135"/>
        <v>1</v>
      </c>
      <c r="Q136" s="151" t="b">
        <f t="shared" si="135"/>
        <v>1</v>
      </c>
      <c r="R136" s="151" t="b">
        <f t="shared" si="135"/>
        <v>1</v>
      </c>
      <c r="S136" s="151" t="b">
        <f t="shared" si="135"/>
        <v>1</v>
      </c>
      <c r="T136" s="151" t="b">
        <f t="shared" si="135"/>
        <v>1</v>
      </c>
      <c r="U136" s="151" t="b">
        <f t="shared" si="135"/>
        <v>1</v>
      </c>
      <c r="V136" s="151" t="b">
        <f t="shared" si="135"/>
        <v>1</v>
      </c>
      <c r="W136" s="151" t="b">
        <f t="shared" si="135"/>
        <v>1</v>
      </c>
      <c r="X136" s="151" t="b">
        <f t="shared" ref="X136:AE136" si="136">(X24+X38)=X135</f>
        <v>1</v>
      </c>
      <c r="Y136" s="151" t="b">
        <f t="shared" si="136"/>
        <v>1</v>
      </c>
      <c r="Z136" s="151" t="b">
        <f t="shared" si="136"/>
        <v>1</v>
      </c>
      <c r="AA136" s="151" t="b">
        <f t="shared" si="136"/>
        <v>1</v>
      </c>
      <c r="AB136" s="151" t="b">
        <f t="shared" ref="AB136" si="137">(AB24+AB38)=AB135</f>
        <v>1</v>
      </c>
      <c r="AC136" s="27" t="b">
        <f t="shared" si="136"/>
        <v>1</v>
      </c>
      <c r="AD136" s="27" t="b">
        <f t="shared" si="136"/>
        <v>1</v>
      </c>
      <c r="AE136" s="27" t="b">
        <f t="shared" si="136"/>
        <v>1</v>
      </c>
      <c r="AF136" s="27" t="b">
        <f t="shared" ref="AF136" si="138">(AF24+AF38)=AF135</f>
        <v>1</v>
      </c>
    </row>
    <row r="137" spans="1:32">
      <c r="A137" s="13"/>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c r="AA137" s="27"/>
      <c r="AB137" s="27"/>
      <c r="AC137" s="27"/>
      <c r="AD137" s="27"/>
      <c r="AE137" s="27"/>
      <c r="AF137" s="27"/>
    </row>
    <row r="138" spans="1:32">
      <c r="A138" s="113" t="str">
        <f>Income_Statement_Qtr!A140</f>
        <v>Accounting Quantity</v>
      </c>
      <c r="B138" s="161"/>
      <c r="C138" s="161"/>
      <c r="D138" s="161"/>
      <c r="E138" s="161"/>
      <c r="F138" s="161"/>
      <c r="G138" s="161"/>
      <c r="H138" s="161"/>
      <c r="I138" s="161"/>
      <c r="J138" s="161"/>
      <c r="K138" s="161"/>
      <c r="L138" s="161"/>
      <c r="M138" s="161"/>
      <c r="N138" s="161"/>
      <c r="O138" s="161"/>
      <c r="P138" s="161"/>
      <c r="Q138" s="161"/>
      <c r="R138" s="161"/>
      <c r="S138" s="161"/>
      <c r="T138" s="161"/>
      <c r="U138" s="161"/>
      <c r="V138" s="161"/>
      <c r="W138" s="161"/>
      <c r="X138" s="161"/>
      <c r="Y138" s="161"/>
      <c r="Z138" s="161"/>
      <c r="AA138" s="114"/>
      <c r="AB138" s="114"/>
      <c r="AC138" s="114"/>
      <c r="AD138" s="114"/>
      <c r="AE138" s="114"/>
      <c r="AF138" s="114"/>
    </row>
    <row r="139" spans="1:32">
      <c r="A139" s="14" t="str">
        <f>Income_Statement_Qtr!A141</f>
        <v>Program accounting quantities</v>
      </c>
      <c r="B139" s="89"/>
      <c r="C139" s="154"/>
      <c r="D139" s="154"/>
      <c r="E139" s="154"/>
      <c r="F139" s="154"/>
      <c r="G139" s="154"/>
      <c r="H139" s="154"/>
      <c r="I139" s="154"/>
      <c r="J139" s="154"/>
      <c r="K139" s="154"/>
      <c r="L139" s="154"/>
      <c r="M139" s="64"/>
      <c r="N139" s="64"/>
      <c r="O139" s="64"/>
      <c r="P139" s="64"/>
      <c r="Q139" s="123"/>
      <c r="R139" s="123"/>
      <c r="S139" s="123"/>
      <c r="T139" s="123"/>
      <c r="U139" s="123"/>
      <c r="V139" s="123"/>
      <c r="W139" s="123"/>
      <c r="X139" s="89"/>
      <c r="Y139" s="89"/>
      <c r="Z139" s="89"/>
      <c r="AA139" s="36"/>
      <c r="AB139" s="36"/>
      <c r="AC139" s="36"/>
      <c r="AD139" s="36"/>
      <c r="AE139" s="36"/>
      <c r="AF139" s="36"/>
    </row>
    <row r="140" spans="1:32">
      <c r="A140" s="1">
        <f>Income_Statement_Qtr!A142</f>
        <v>737</v>
      </c>
      <c r="B140" s="174" t="s">
        <v>310</v>
      </c>
      <c r="C140" s="154">
        <v>1800</v>
      </c>
      <c r="D140" s="154">
        <v>2000</v>
      </c>
      <c r="E140" s="154">
        <v>2200</v>
      </c>
      <c r="F140" s="154">
        <v>2400</v>
      </c>
      <c r="G140" s="154">
        <v>2800</v>
      </c>
      <c r="H140" s="154">
        <v>3200</v>
      </c>
      <c r="I140" s="154">
        <v>3800</v>
      </c>
      <c r="J140" s="154">
        <v>4200</v>
      </c>
      <c r="K140" s="154">
        <v>4600</v>
      </c>
      <c r="L140" s="154">
        <v>5000</v>
      </c>
      <c r="M140" s="154">
        <v>6200</v>
      </c>
      <c r="N140" s="154">
        <v>6600</v>
      </c>
      <c r="O140" s="154">
        <v>7000</v>
      </c>
      <c r="P140" s="154">
        <v>7800</v>
      </c>
      <c r="Q140" s="123">
        <f>Income_Statement_Qtr!F142</f>
        <v>8400</v>
      </c>
      <c r="R140" s="123">
        <f>Income_Statement_Qtr!K142</f>
        <v>9000</v>
      </c>
      <c r="S140" s="123">
        <f>Income_Statement_Qtr!P142</f>
        <v>9800</v>
      </c>
      <c r="T140" s="123">
        <f>Income_Statement_Qtr!U142</f>
        <v>10400</v>
      </c>
      <c r="U140" s="123">
        <f>Income_Statement_Qtr!Z142</f>
        <v>10400</v>
      </c>
      <c r="V140" s="123"/>
      <c r="W140" s="123"/>
      <c r="X140" s="89"/>
      <c r="Y140" s="89"/>
      <c r="Z140" s="89"/>
      <c r="AA140" s="36"/>
      <c r="AB140" s="36"/>
      <c r="AC140" s="36"/>
      <c r="AD140" s="36"/>
      <c r="AE140" s="36"/>
      <c r="AF140" s="36"/>
    </row>
    <row r="141" spans="1:32">
      <c r="A141" s="1">
        <f>Income_Statement_Qtr!A143</f>
        <v>747</v>
      </c>
      <c r="B141" s="174" t="s">
        <v>310</v>
      </c>
      <c r="C141" s="154">
        <v>1401</v>
      </c>
      <c r="D141" s="154">
        <v>1401</v>
      </c>
      <c r="E141" s="154">
        <v>1388</v>
      </c>
      <c r="F141" s="154">
        <v>1400</v>
      </c>
      <c r="G141" s="154">
        <v>1424</v>
      </c>
      <c r="H141" s="154">
        <v>1449</v>
      </c>
      <c r="I141" s="154">
        <v>1474</v>
      </c>
      <c r="J141" s="154">
        <v>1499</v>
      </c>
      <c r="K141" s="154">
        <v>1499</v>
      </c>
      <c r="L141" s="154">
        <v>1524</v>
      </c>
      <c r="M141" s="154">
        <v>1549</v>
      </c>
      <c r="N141" s="154">
        <v>1574</v>
      </c>
      <c r="O141" s="154">
        <v>1574</v>
      </c>
      <c r="P141" s="154">
        <v>1574</v>
      </c>
      <c r="Q141" s="123">
        <f>Income_Statement_Qtr!F143</f>
        <v>1574</v>
      </c>
      <c r="R141" s="123">
        <f>Income_Statement_Qtr!K143</f>
        <v>1555</v>
      </c>
      <c r="S141" s="123">
        <f>Income_Statement_Qtr!P143</f>
        <v>1570</v>
      </c>
      <c r="T141" s="123">
        <f>Income_Statement_Qtr!U143</f>
        <v>1574</v>
      </c>
      <c r="U141" s="123">
        <f>Income_Statement_Qtr!Z143</f>
        <v>1574</v>
      </c>
      <c r="V141" s="123"/>
      <c r="W141" s="123"/>
      <c r="X141" s="89"/>
      <c r="Y141" s="89"/>
      <c r="Z141" s="89"/>
      <c r="AA141" s="36"/>
      <c r="AB141" s="36"/>
      <c r="AC141" s="36"/>
      <c r="AD141" s="36"/>
      <c r="AE141" s="36"/>
      <c r="AF141" s="36"/>
    </row>
    <row r="142" spans="1:32">
      <c r="A142" s="1">
        <f>Income_Statement_Qtr!A144</f>
        <v>767</v>
      </c>
      <c r="B142" s="174" t="s">
        <v>310</v>
      </c>
      <c r="C142" s="154">
        <v>1000</v>
      </c>
      <c r="D142" s="154">
        <v>1000</v>
      </c>
      <c r="E142" s="154">
        <v>975</v>
      </c>
      <c r="F142" s="154">
        <v>959</v>
      </c>
      <c r="G142" s="154">
        <v>971</v>
      </c>
      <c r="H142" s="154">
        <v>985</v>
      </c>
      <c r="I142" s="154">
        <v>998</v>
      </c>
      <c r="J142" s="154">
        <v>1023</v>
      </c>
      <c r="K142" s="154">
        <v>1035</v>
      </c>
      <c r="L142" s="154">
        <v>1048</v>
      </c>
      <c r="M142" s="154">
        <v>1084</v>
      </c>
      <c r="N142" s="154">
        <v>1103</v>
      </c>
      <c r="O142" s="154">
        <v>1113</v>
      </c>
      <c r="P142" s="154">
        <v>1113</v>
      </c>
      <c r="Q142" s="123">
        <f>Income_Statement_Qtr!F144</f>
        <v>1147</v>
      </c>
      <c r="R142" s="123">
        <f>Income_Statement_Qtr!K144</f>
        <v>1159</v>
      </c>
      <c r="S142" s="123">
        <f>Income_Statement_Qtr!P144</f>
        <v>1171</v>
      </c>
      <c r="T142" s="123">
        <f>Income_Statement_Qtr!U144</f>
        <v>1195</v>
      </c>
      <c r="U142" s="123">
        <f>Income_Statement_Qtr!Z144</f>
        <v>1195</v>
      </c>
      <c r="V142" s="123"/>
      <c r="W142" s="123"/>
      <c r="X142" s="89"/>
      <c r="Y142" s="89"/>
      <c r="Z142" s="89"/>
      <c r="AA142" s="36"/>
      <c r="AB142" s="36"/>
      <c r="AC142" s="36"/>
      <c r="AD142" s="36"/>
      <c r="AE142" s="36"/>
      <c r="AF142" s="36"/>
    </row>
    <row r="143" spans="1:32">
      <c r="A143" s="1">
        <f>Income_Statement_Qtr!A145</f>
        <v>777</v>
      </c>
      <c r="B143" s="174" t="s">
        <v>310</v>
      </c>
      <c r="C143" s="154">
        <v>600</v>
      </c>
      <c r="D143" s="154">
        <v>600</v>
      </c>
      <c r="E143" s="154">
        <v>650</v>
      </c>
      <c r="F143" s="154">
        <v>700</v>
      </c>
      <c r="G143" s="154">
        <v>800</v>
      </c>
      <c r="H143" s="154">
        <v>900</v>
      </c>
      <c r="I143" s="154">
        <v>950</v>
      </c>
      <c r="J143" s="154">
        <v>1050</v>
      </c>
      <c r="K143" s="154">
        <v>1100</v>
      </c>
      <c r="L143" s="154">
        <v>1150</v>
      </c>
      <c r="M143" s="154">
        <v>1350</v>
      </c>
      <c r="N143" s="154">
        <v>1450</v>
      </c>
      <c r="O143" s="154">
        <v>1550</v>
      </c>
      <c r="P143" s="154">
        <v>1600</v>
      </c>
      <c r="Q143" s="123">
        <f>Income_Statement_Qtr!F145</f>
        <v>1650</v>
      </c>
      <c r="R143" s="123">
        <f>Income_Statement_Qtr!K145</f>
        <v>1625</v>
      </c>
      <c r="S143" s="123">
        <f>Income_Statement_Qtr!P145</f>
        <v>1625</v>
      </c>
      <c r="T143" s="123">
        <f>Income_Statement_Qtr!U145</f>
        <v>1680</v>
      </c>
      <c r="U143" s="123">
        <f>Income_Statement_Qtr!Z145</f>
        <v>1690</v>
      </c>
      <c r="V143" s="123"/>
      <c r="W143" s="123"/>
      <c r="X143" s="89"/>
      <c r="Y143" s="89"/>
      <c r="Z143" s="89"/>
      <c r="AA143" s="36"/>
      <c r="AB143" s="36"/>
      <c r="AC143" s="36"/>
      <c r="AD143" s="36"/>
      <c r="AE143" s="36"/>
      <c r="AF143" s="36"/>
    </row>
    <row r="144" spans="1:32">
      <c r="A144" s="1" t="str">
        <f>Income_Statement_Qtr!A146</f>
        <v>777X</v>
      </c>
      <c r="B144" s="174" t="s">
        <v>310</v>
      </c>
      <c r="C144" s="154">
        <v>0</v>
      </c>
      <c r="D144" s="154">
        <v>0</v>
      </c>
      <c r="E144" s="154">
        <v>0</v>
      </c>
      <c r="F144" s="154">
        <v>0</v>
      </c>
      <c r="G144" s="154">
        <v>0</v>
      </c>
      <c r="H144" s="154">
        <v>0</v>
      </c>
      <c r="I144" s="154">
        <v>0</v>
      </c>
      <c r="J144" s="154">
        <v>0</v>
      </c>
      <c r="K144" s="154">
        <v>0</v>
      </c>
      <c r="L144" s="154">
        <v>0</v>
      </c>
      <c r="M144" s="154">
        <v>0</v>
      </c>
      <c r="N144" s="154">
        <v>0</v>
      </c>
      <c r="O144" s="154"/>
      <c r="P144" s="154"/>
      <c r="Q144" s="123">
        <f>Income_Statement_Qtr!F146</f>
        <v>0</v>
      </c>
      <c r="R144" s="123">
        <f>Income_Statement_Qtr!K146</f>
        <v>0</v>
      </c>
      <c r="S144" s="123">
        <f>Income_Statement_Qtr!P146</f>
        <v>0</v>
      </c>
      <c r="T144" s="123">
        <f>Income_Statement_Qtr!U146</f>
        <v>0</v>
      </c>
      <c r="U144" s="123">
        <f>Income_Statement_Qtr!Z146</f>
        <v>0</v>
      </c>
      <c r="V144" s="123"/>
      <c r="W144" s="123"/>
      <c r="X144" s="89"/>
      <c r="Y144" s="89"/>
      <c r="Z144" s="89"/>
      <c r="AA144" s="36"/>
      <c r="AB144" s="36"/>
      <c r="AC144" s="36"/>
      <c r="AD144" s="36"/>
      <c r="AE144" s="36"/>
      <c r="AF144" s="36"/>
    </row>
    <row r="145" spans="1:32">
      <c r="A145" s="1">
        <f>Income_Statement_Qtr!A147</f>
        <v>787</v>
      </c>
      <c r="B145" s="174" t="s">
        <v>310</v>
      </c>
      <c r="C145" s="154">
        <v>0</v>
      </c>
      <c r="D145" s="154">
        <v>0</v>
      </c>
      <c r="E145" s="154">
        <v>0</v>
      </c>
      <c r="F145" s="154">
        <v>0</v>
      </c>
      <c r="G145" s="154">
        <v>0</v>
      </c>
      <c r="H145" s="154">
        <v>0</v>
      </c>
      <c r="I145" s="154">
        <v>0</v>
      </c>
      <c r="J145" s="154">
        <v>0</v>
      </c>
      <c r="K145" s="154">
        <v>0</v>
      </c>
      <c r="L145" s="154">
        <v>0</v>
      </c>
      <c r="M145" s="154">
        <v>1100</v>
      </c>
      <c r="N145" s="154">
        <v>1100</v>
      </c>
      <c r="O145" s="154">
        <v>1300</v>
      </c>
      <c r="P145" s="154">
        <v>1300</v>
      </c>
      <c r="Q145" s="123">
        <f>Income_Statement_Qtr!F147</f>
        <v>1300</v>
      </c>
      <c r="R145" s="123">
        <f>Income_Statement_Qtr!K147</f>
        <v>1300</v>
      </c>
      <c r="S145" s="123">
        <f>Income_Statement_Qtr!P147</f>
        <v>1400</v>
      </c>
      <c r="T145" s="123">
        <f>Income_Statement_Qtr!U147</f>
        <v>1600</v>
      </c>
      <c r="U145" s="123">
        <f>Income_Statement_Qtr!Z147</f>
        <v>1600</v>
      </c>
      <c r="V145" s="123"/>
      <c r="W145" s="123"/>
      <c r="X145" s="89"/>
      <c r="Y145" s="89"/>
      <c r="Z145" s="89"/>
      <c r="AA145" s="36"/>
      <c r="AB145" s="36"/>
      <c r="AC145" s="36"/>
      <c r="AD145" s="36"/>
      <c r="AE145" s="36"/>
      <c r="AF145" s="36"/>
    </row>
    <row r="146" spans="1:32">
      <c r="A146" s="1">
        <f>Income_Statement_Qtr!A148</f>
        <v>717</v>
      </c>
      <c r="B146" s="174" t="s">
        <v>310</v>
      </c>
      <c r="C146" s="154">
        <v>135</v>
      </c>
      <c r="D146" s="154">
        <v>140</v>
      </c>
      <c r="E146" s="154">
        <v>148</v>
      </c>
      <c r="F146" s="154">
        <v>156</v>
      </c>
      <c r="G146" s="154">
        <v>156</v>
      </c>
      <c r="H146" s="154">
        <v>156</v>
      </c>
      <c r="I146" s="154">
        <v>0</v>
      </c>
      <c r="J146" s="154">
        <v>0</v>
      </c>
      <c r="K146" s="154">
        <v>0</v>
      </c>
      <c r="L146" s="154">
        <v>0</v>
      </c>
      <c r="M146" s="154">
        <v>0</v>
      </c>
      <c r="N146" s="154">
        <v>0</v>
      </c>
      <c r="O146" s="154">
        <v>0</v>
      </c>
      <c r="P146" s="154">
        <v>0</v>
      </c>
      <c r="Q146" s="123">
        <f>Income_Statement_Qtr!F148</f>
        <v>0</v>
      </c>
      <c r="R146" s="123">
        <f>Income_Statement_Qtr!K148</f>
        <v>0</v>
      </c>
      <c r="S146" s="123">
        <f>Income_Statement_Qtr!P148</f>
        <v>0</v>
      </c>
      <c r="T146" s="123">
        <f>Income_Statement_Qtr!U148</f>
        <v>0</v>
      </c>
      <c r="U146" s="123">
        <f>Income_Statement_Qtr!Z148</f>
        <v>0</v>
      </c>
      <c r="V146" s="123"/>
      <c r="W146" s="123"/>
      <c r="X146" s="89"/>
      <c r="Y146" s="89"/>
      <c r="Z146" s="89"/>
      <c r="AA146" s="36"/>
      <c r="AB146" s="36"/>
      <c r="AC146" s="36"/>
      <c r="AD146" s="36"/>
      <c r="AE146" s="36"/>
      <c r="AF146" s="36"/>
    </row>
    <row r="147" spans="1:32">
      <c r="A147" s="1">
        <f>Income_Statement_Qtr!A149</f>
        <v>757</v>
      </c>
      <c r="B147" s="174" t="s">
        <v>310</v>
      </c>
      <c r="C147" s="154">
        <v>1100</v>
      </c>
      <c r="D147" s="154">
        <v>1000</v>
      </c>
      <c r="E147" s="154">
        <v>1050</v>
      </c>
      <c r="F147" s="154">
        <v>1050</v>
      </c>
      <c r="G147" s="154">
        <v>1050</v>
      </c>
      <c r="H147" s="154">
        <v>1050</v>
      </c>
      <c r="I147" s="154">
        <v>0</v>
      </c>
      <c r="J147" s="154">
        <v>0</v>
      </c>
      <c r="K147" s="154">
        <v>0</v>
      </c>
      <c r="L147" s="154">
        <v>0</v>
      </c>
      <c r="M147" s="154">
        <v>0</v>
      </c>
      <c r="N147" s="154">
        <v>0</v>
      </c>
      <c r="O147" s="154">
        <v>0</v>
      </c>
      <c r="P147" s="154">
        <v>0</v>
      </c>
      <c r="Q147" s="123">
        <f>Income_Statement_Qtr!F149</f>
        <v>0</v>
      </c>
      <c r="R147" s="123">
        <f>Income_Statement_Qtr!K149</f>
        <v>0</v>
      </c>
      <c r="S147" s="123">
        <f>Income_Statement_Qtr!P149</f>
        <v>0</v>
      </c>
      <c r="T147" s="123">
        <f>Income_Statement_Qtr!U149</f>
        <v>0</v>
      </c>
      <c r="U147" s="123">
        <f>Income_Statement_Qtr!Z149</f>
        <v>0</v>
      </c>
      <c r="V147" s="123"/>
      <c r="W147" s="123"/>
      <c r="X147" s="89"/>
      <c r="Y147" s="89"/>
      <c r="Z147" s="89"/>
      <c r="AA147" s="36"/>
      <c r="AB147" s="36"/>
      <c r="AC147" s="36"/>
      <c r="AD147" s="36"/>
      <c r="AE147" s="36"/>
      <c r="AF147" s="36"/>
    </row>
    <row r="148" spans="1:32">
      <c r="A148" s="1"/>
      <c r="B148" s="89"/>
      <c r="C148" s="154"/>
      <c r="D148" s="154"/>
      <c r="E148" s="154"/>
      <c r="F148" s="154"/>
      <c r="G148" s="154"/>
      <c r="H148" s="154"/>
      <c r="I148" s="154"/>
      <c r="J148" s="154"/>
      <c r="K148" s="154"/>
      <c r="L148" s="154"/>
      <c r="M148" s="154"/>
      <c r="N148" s="154"/>
      <c r="O148" s="154"/>
      <c r="P148" s="154"/>
      <c r="Q148" s="123"/>
      <c r="R148" s="123"/>
      <c r="S148" s="123"/>
      <c r="T148" s="123"/>
      <c r="U148" s="123"/>
      <c r="V148" s="123"/>
      <c r="W148" s="123"/>
      <c r="X148" s="89"/>
      <c r="Y148" s="89"/>
      <c r="Z148" s="89"/>
      <c r="AA148" s="36"/>
      <c r="AB148" s="36"/>
      <c r="AC148" s="36"/>
      <c r="AD148" s="36"/>
      <c r="AE148" s="36"/>
      <c r="AF148" s="36"/>
    </row>
    <row r="149" spans="1:32">
      <c r="A149" s="14" t="str">
        <f>Income_Statement_Qtr!A151</f>
        <v>Undelivered units under firm orders</v>
      </c>
      <c r="B149" s="89"/>
      <c r="C149" s="154"/>
      <c r="D149" s="154"/>
      <c r="E149" s="154"/>
      <c r="F149" s="154"/>
      <c r="G149" s="154"/>
      <c r="H149" s="154"/>
      <c r="I149" s="154"/>
      <c r="J149" s="154"/>
      <c r="K149" s="154"/>
      <c r="L149" s="154"/>
      <c r="M149" s="154"/>
      <c r="N149" s="154"/>
      <c r="O149" s="154"/>
      <c r="P149" s="154"/>
      <c r="Q149" s="123"/>
      <c r="R149" s="123"/>
      <c r="S149" s="123"/>
      <c r="T149" s="123"/>
      <c r="U149" s="123"/>
      <c r="V149" s="123"/>
      <c r="W149" s="123"/>
      <c r="X149" s="89"/>
      <c r="Y149" s="89"/>
      <c r="Z149" s="89"/>
      <c r="AA149" s="36"/>
      <c r="AB149" s="36"/>
      <c r="AC149" s="36"/>
      <c r="AD149" s="36"/>
      <c r="AE149" s="36"/>
      <c r="AF149" s="36"/>
    </row>
    <row r="150" spans="1:32">
      <c r="A150" s="1">
        <f>Income_Statement_Qtr!A152</f>
        <v>737</v>
      </c>
      <c r="B150" s="174" t="s">
        <v>310</v>
      </c>
      <c r="C150" s="154">
        <v>857</v>
      </c>
      <c r="D150" s="154">
        <v>765</v>
      </c>
      <c r="E150" s="154">
        <v>800</v>
      </c>
      <c r="F150" s="154">
        <v>771</v>
      </c>
      <c r="G150" s="154">
        <v>1123</v>
      </c>
      <c r="H150" s="154">
        <v>1560</v>
      </c>
      <c r="I150" s="154">
        <v>2076</v>
      </c>
      <c r="J150" s="154">
        <v>2270</v>
      </c>
      <c r="K150" s="154">
        <v>2076</v>
      </c>
      <c r="L150" s="154">
        <v>2186</v>
      </c>
      <c r="M150" s="154">
        <v>2365</v>
      </c>
      <c r="N150" s="154">
        <v>3074</v>
      </c>
      <c r="O150" s="154">
        <v>3680</v>
      </c>
      <c r="P150" s="154">
        <v>4299</v>
      </c>
      <c r="Q150" s="123">
        <f>Income_Statement_Qtr!F152</f>
        <v>4392</v>
      </c>
      <c r="R150" s="123">
        <f>Income_Statement_Qtr!K152</f>
        <v>4452</v>
      </c>
      <c r="S150" s="123">
        <f>Income_Statement_Qtr!P152</f>
        <v>4613</v>
      </c>
      <c r="T150" s="123">
        <f>Income_Statement_Qtr!U152</f>
        <v>4708</v>
      </c>
      <c r="U150" s="123">
        <f>Income_Statement_Qtr!Z152</f>
        <v>4398</v>
      </c>
      <c r="V150" s="123"/>
      <c r="W150" s="123"/>
      <c r="X150" s="89"/>
      <c r="Y150" s="89"/>
      <c r="Z150" s="89"/>
      <c r="AA150" s="36"/>
      <c r="AB150" s="36"/>
      <c r="AC150" s="36"/>
      <c r="AD150" s="36"/>
      <c r="AE150" s="36"/>
      <c r="AF150" s="36"/>
    </row>
    <row r="151" spans="1:32">
      <c r="A151" s="1">
        <f>Income_Statement_Qtr!A153</f>
        <v>747</v>
      </c>
      <c r="B151" s="174" t="s">
        <v>310</v>
      </c>
      <c r="C151" s="154">
        <v>59</v>
      </c>
      <c r="D151" s="154">
        <v>52</v>
      </c>
      <c r="E151" s="154">
        <v>32</v>
      </c>
      <c r="F151" s="154">
        <v>27</v>
      </c>
      <c r="G151" s="154">
        <v>58</v>
      </c>
      <c r="H151" s="154">
        <v>116</v>
      </c>
      <c r="I151" s="154">
        <v>125</v>
      </c>
      <c r="J151" s="154">
        <v>114</v>
      </c>
      <c r="K151" s="154">
        <v>108</v>
      </c>
      <c r="L151" s="154">
        <v>107</v>
      </c>
      <c r="M151" s="154">
        <v>97</v>
      </c>
      <c r="N151" s="154">
        <v>67</v>
      </c>
      <c r="O151" s="154">
        <v>55</v>
      </c>
      <c r="P151" s="154">
        <v>36</v>
      </c>
      <c r="Q151" s="123">
        <f>Income_Statement_Qtr!F153</f>
        <v>20</v>
      </c>
      <c r="R151" s="123">
        <f>Income_Statement_Qtr!K153</f>
        <v>28</v>
      </c>
      <c r="S151" s="123">
        <f>Income_Statement_Qtr!P153</f>
        <v>12</v>
      </c>
      <c r="T151" s="123">
        <f>Income_Statement_Qtr!U153</f>
        <v>24</v>
      </c>
      <c r="U151" s="123">
        <f>Income_Statement_Qtr!Z153</f>
        <v>17</v>
      </c>
      <c r="V151" s="123"/>
      <c r="W151" s="123"/>
      <c r="X151" s="89"/>
      <c r="Y151" s="89"/>
      <c r="Z151" s="89"/>
      <c r="AA151" s="36"/>
      <c r="AB151" s="36"/>
      <c r="AC151" s="36"/>
      <c r="AD151" s="36"/>
      <c r="AE151" s="36"/>
      <c r="AF151" s="36"/>
    </row>
    <row r="152" spans="1:32">
      <c r="A152" s="1">
        <f>Income_Statement_Qtr!A154</f>
        <v>767</v>
      </c>
      <c r="B152" s="174" t="s">
        <v>310</v>
      </c>
      <c r="C152" s="154">
        <v>77</v>
      </c>
      <c r="D152" s="154">
        <v>39</v>
      </c>
      <c r="E152" s="154">
        <v>25</v>
      </c>
      <c r="F152" s="154">
        <v>25</v>
      </c>
      <c r="G152" s="154">
        <v>30</v>
      </c>
      <c r="H152" s="154">
        <v>28</v>
      </c>
      <c r="I152" s="154">
        <v>52</v>
      </c>
      <c r="J152" s="154">
        <v>70</v>
      </c>
      <c r="K152" s="154">
        <v>59</v>
      </c>
      <c r="L152" s="154">
        <v>50</v>
      </c>
      <c r="M152" s="154">
        <v>72</v>
      </c>
      <c r="N152" s="154">
        <v>68</v>
      </c>
      <c r="O152" s="154">
        <v>49</v>
      </c>
      <c r="P152" s="154">
        <v>47</v>
      </c>
      <c r="Q152" s="123">
        <f>Income_Statement_Qtr!F154</f>
        <v>80</v>
      </c>
      <c r="R152" s="123">
        <f>Income_Statement_Qtr!K154</f>
        <v>93</v>
      </c>
      <c r="S152" s="123">
        <f>Income_Statement_Qtr!P154</f>
        <v>98</v>
      </c>
      <c r="T152" s="123">
        <f>Income_Statement_Qtr!U154</f>
        <v>111</v>
      </c>
      <c r="U152" s="123">
        <f>Income_Statement_Qtr!Z154</f>
        <v>94</v>
      </c>
      <c r="V152" s="123"/>
      <c r="W152" s="123"/>
      <c r="X152" s="89"/>
      <c r="Y152" s="89"/>
      <c r="Z152" s="89"/>
      <c r="AA152" s="36"/>
      <c r="AB152" s="36"/>
      <c r="AC152" s="36"/>
      <c r="AD152" s="36"/>
      <c r="AE152" s="36"/>
      <c r="AF152" s="36"/>
    </row>
    <row r="153" spans="1:32">
      <c r="A153" s="1">
        <f>Income_Statement_Qtr!A155</f>
        <v>777</v>
      </c>
      <c r="B153" s="174" t="s">
        <v>310</v>
      </c>
      <c r="C153" s="154">
        <v>198</v>
      </c>
      <c r="D153" s="154">
        <v>173</v>
      </c>
      <c r="E153" s="154">
        <v>159</v>
      </c>
      <c r="F153" s="154">
        <v>167</v>
      </c>
      <c r="G153" s="154">
        <v>288</v>
      </c>
      <c r="H153" s="154">
        <v>299</v>
      </c>
      <c r="I153" s="154">
        <v>357</v>
      </c>
      <c r="J153" s="154">
        <v>350</v>
      </c>
      <c r="K153" s="154">
        <v>281</v>
      </c>
      <c r="L153" s="154">
        <v>253</v>
      </c>
      <c r="M153" s="154">
        <v>380</v>
      </c>
      <c r="N153" s="154">
        <v>365</v>
      </c>
      <c r="O153" s="154">
        <v>314</v>
      </c>
      <c r="P153" s="154">
        <v>278</v>
      </c>
      <c r="Q153" s="123">
        <f>Income_Statement_Qtr!F155</f>
        <v>218</v>
      </c>
      <c r="R153" s="123">
        <f>Income_Statement_Qtr!K155</f>
        <v>136</v>
      </c>
      <c r="S153" s="123">
        <f>Income_Statement_Qtr!P155</f>
        <v>97</v>
      </c>
      <c r="T153" s="123">
        <f>Income_Statement_Qtr!U155</f>
        <v>100</v>
      </c>
      <c r="U153" s="123">
        <f>Income_Statement_Qtr!Z155</f>
        <v>68</v>
      </c>
      <c r="V153" s="123"/>
      <c r="W153" s="123"/>
      <c r="X153" s="89"/>
      <c r="Y153" s="89"/>
      <c r="Z153" s="89"/>
      <c r="AA153" s="36"/>
      <c r="AB153" s="36"/>
      <c r="AC153" s="36"/>
      <c r="AD153" s="36"/>
      <c r="AE153" s="36"/>
      <c r="AF153" s="36"/>
    </row>
    <row r="154" spans="1:32">
      <c r="A154" s="1" t="str">
        <f>Income_Statement_Qtr!A156</f>
        <v>777X</v>
      </c>
      <c r="B154" s="174" t="s">
        <v>310</v>
      </c>
      <c r="C154" s="154">
        <v>0</v>
      </c>
      <c r="D154" s="154">
        <v>0</v>
      </c>
      <c r="E154" s="154">
        <v>0</v>
      </c>
      <c r="F154" s="154">
        <v>0</v>
      </c>
      <c r="G154" s="154">
        <v>0</v>
      </c>
      <c r="H154" s="154">
        <v>0</v>
      </c>
      <c r="I154" s="154">
        <v>0</v>
      </c>
      <c r="J154" s="154">
        <v>0</v>
      </c>
      <c r="K154" s="154">
        <v>0</v>
      </c>
      <c r="L154" s="154">
        <v>0</v>
      </c>
      <c r="M154" s="154">
        <v>0</v>
      </c>
      <c r="N154" s="154">
        <v>0</v>
      </c>
      <c r="O154" s="154">
        <v>66</v>
      </c>
      <c r="P154" s="154">
        <v>286</v>
      </c>
      <c r="Q154" s="123">
        <f>Income_Statement_Qtr!F156</f>
        <v>306</v>
      </c>
      <c r="R154" s="123">
        <f>Income_Statement_Qtr!K156</f>
        <v>306</v>
      </c>
      <c r="S154" s="123">
        <f>Income_Statement_Qtr!P156</f>
        <v>326</v>
      </c>
      <c r="T154" s="123">
        <f>Income_Statement_Qtr!U156</f>
        <v>326</v>
      </c>
      <c r="U154" s="123">
        <f>Income_Statement_Qtr!Z156</f>
        <v>309</v>
      </c>
      <c r="V154" s="123"/>
      <c r="W154" s="123"/>
      <c r="X154" s="89"/>
      <c r="Y154" s="89"/>
      <c r="Z154" s="89"/>
      <c r="AA154" s="36"/>
      <c r="AB154" s="36"/>
      <c r="AC154" s="36"/>
      <c r="AD154" s="36"/>
      <c r="AE154" s="36"/>
      <c r="AF154" s="36"/>
    </row>
    <row r="155" spans="1:32">
      <c r="A155" s="1">
        <f>Income_Statement_Qtr!A157</f>
        <v>787</v>
      </c>
      <c r="B155" s="174" t="s">
        <v>310</v>
      </c>
      <c r="C155" s="154">
        <v>0</v>
      </c>
      <c r="D155" s="154">
        <v>0</v>
      </c>
      <c r="E155" s="154">
        <v>0</v>
      </c>
      <c r="F155" s="154">
        <v>52</v>
      </c>
      <c r="G155" s="154">
        <v>287</v>
      </c>
      <c r="H155" s="154">
        <v>448</v>
      </c>
      <c r="I155" s="154">
        <v>817</v>
      </c>
      <c r="J155" s="154">
        <v>910</v>
      </c>
      <c r="K155" s="154">
        <v>851</v>
      </c>
      <c r="L155" s="154">
        <v>847</v>
      </c>
      <c r="M155" s="154">
        <v>857</v>
      </c>
      <c r="N155" s="154">
        <v>799</v>
      </c>
      <c r="O155" s="154">
        <v>916</v>
      </c>
      <c r="P155" s="154">
        <v>843</v>
      </c>
      <c r="Q155" s="123">
        <f>Income_Statement_Qtr!F157</f>
        <v>779</v>
      </c>
      <c r="R155" s="123">
        <f>Income_Statement_Qtr!K157</f>
        <v>700</v>
      </c>
      <c r="S155" s="123">
        <f>Income_Statement_Qtr!P157</f>
        <v>640</v>
      </c>
      <c r="T155" s="123">
        <f>Income_Statement_Qtr!U157</f>
        <v>604</v>
      </c>
      <c r="U155" s="123">
        <f>Income_Statement_Qtr!Z157</f>
        <v>520</v>
      </c>
      <c r="V155" s="123"/>
      <c r="W155" s="123"/>
      <c r="X155" s="89"/>
      <c r="Y155" s="89"/>
      <c r="Z155" s="89"/>
      <c r="AA155" s="36"/>
      <c r="AB155" s="36"/>
      <c r="AC155" s="36"/>
      <c r="AD155" s="36"/>
      <c r="AE155" s="36"/>
      <c r="AF155" s="36"/>
    </row>
    <row r="156" spans="1:32">
      <c r="A156" s="1">
        <f>Income_Statement_Qtr!A158</f>
        <v>717</v>
      </c>
      <c r="B156" s="174" t="s">
        <v>310</v>
      </c>
      <c r="C156" s="154">
        <v>30</v>
      </c>
      <c r="D156" s="154">
        <v>26</v>
      </c>
      <c r="E156" s="154">
        <v>22</v>
      </c>
      <c r="F156" s="154">
        <v>18</v>
      </c>
      <c r="G156" s="154">
        <v>5</v>
      </c>
      <c r="H156" s="154">
        <v>0</v>
      </c>
      <c r="I156" s="154">
        <v>0</v>
      </c>
      <c r="J156" s="154">
        <v>0</v>
      </c>
      <c r="K156" s="154">
        <v>0</v>
      </c>
      <c r="L156" s="154">
        <v>0</v>
      </c>
      <c r="M156" s="154">
        <v>0</v>
      </c>
      <c r="N156" s="154">
        <v>0</v>
      </c>
      <c r="O156" s="154">
        <v>0</v>
      </c>
      <c r="P156" s="154">
        <v>0</v>
      </c>
      <c r="Q156" s="123">
        <f>Income_Statement_Qtr!F158</f>
        <v>0</v>
      </c>
      <c r="R156" s="123">
        <f>Income_Statement_Qtr!K158</f>
        <v>0</v>
      </c>
      <c r="S156" s="123">
        <f>Income_Statement_Qtr!P158</f>
        <v>0</v>
      </c>
      <c r="T156" s="123">
        <f>Income_Statement_Qtr!U158</f>
        <v>0</v>
      </c>
      <c r="U156" s="123">
        <f>Income_Statement_Qtr!Z158</f>
        <v>0</v>
      </c>
      <c r="V156" s="123"/>
      <c r="W156" s="123"/>
      <c r="X156" s="89"/>
      <c r="Y156" s="89"/>
      <c r="Z156" s="89"/>
      <c r="AA156" s="36"/>
      <c r="AB156" s="36"/>
      <c r="AC156" s="36"/>
      <c r="AD156" s="36"/>
      <c r="AE156" s="36"/>
      <c r="AF156" s="36"/>
    </row>
    <row r="157" spans="1:32">
      <c r="A157" s="1">
        <f>Income_Statement_Qtr!A159</f>
        <v>757</v>
      </c>
      <c r="B157" s="174" t="s">
        <v>310</v>
      </c>
      <c r="C157" s="154">
        <v>55</v>
      </c>
      <c r="D157" s="154">
        <v>28</v>
      </c>
      <c r="E157" s="154">
        <v>13</v>
      </c>
      <c r="F157" s="154">
        <v>2</v>
      </c>
      <c r="G157" s="154">
        <v>0</v>
      </c>
      <c r="H157" s="154">
        <v>0</v>
      </c>
      <c r="I157" s="154">
        <v>0</v>
      </c>
      <c r="J157" s="154">
        <v>0</v>
      </c>
      <c r="K157" s="154">
        <v>0</v>
      </c>
      <c r="L157" s="154">
        <v>0</v>
      </c>
      <c r="M157" s="154">
        <v>0</v>
      </c>
      <c r="N157" s="154">
        <v>0</v>
      </c>
      <c r="O157" s="154">
        <v>0</v>
      </c>
      <c r="P157" s="154">
        <v>0</v>
      </c>
      <c r="Q157" s="123">
        <f>Income_Statement_Qtr!F159</f>
        <v>0</v>
      </c>
      <c r="R157" s="123">
        <f>Income_Statement_Qtr!K159</f>
        <v>0</v>
      </c>
      <c r="S157" s="123">
        <f>Income_Statement_Qtr!P159</f>
        <v>0</v>
      </c>
      <c r="T157" s="123">
        <f>Income_Statement_Qtr!U159</f>
        <v>0</v>
      </c>
      <c r="U157" s="123">
        <f>Income_Statement_Qtr!Z159</f>
        <v>0</v>
      </c>
      <c r="V157" s="123"/>
      <c r="W157" s="123"/>
      <c r="X157" s="89"/>
      <c r="Y157" s="89"/>
      <c r="Z157" s="89"/>
      <c r="AA157" s="36"/>
      <c r="AB157" s="36"/>
      <c r="AC157" s="36"/>
      <c r="AD157" s="36"/>
      <c r="AE157" s="36"/>
      <c r="AF157" s="36"/>
    </row>
    <row r="158" spans="1:32">
      <c r="A158" s="1"/>
      <c r="B158" s="89"/>
      <c r="C158" s="154"/>
      <c r="D158" s="154"/>
      <c r="E158" s="154"/>
      <c r="F158" s="154"/>
      <c r="G158" s="154"/>
      <c r="H158" s="154"/>
      <c r="I158" s="154"/>
      <c r="J158" s="154"/>
      <c r="K158" s="154"/>
      <c r="L158" s="154"/>
      <c r="M158" s="154"/>
      <c r="N158" s="154"/>
      <c r="O158" s="154"/>
      <c r="P158" s="154"/>
      <c r="Q158" s="123"/>
      <c r="R158" s="123"/>
      <c r="S158" s="123"/>
      <c r="T158" s="123"/>
      <c r="U158" s="123"/>
      <c r="V158" s="123"/>
      <c r="W158" s="123"/>
      <c r="X158" s="89"/>
      <c r="Y158" s="89"/>
      <c r="Z158" s="89"/>
      <c r="AA158" s="36"/>
      <c r="AB158" s="36"/>
      <c r="AC158" s="36"/>
      <c r="AD158" s="36"/>
      <c r="AE158" s="36"/>
      <c r="AF158" s="36"/>
    </row>
    <row r="159" spans="1:32">
      <c r="A159" s="14" t="str">
        <f>Income_Statement_Qtr!A161</f>
        <v>Cumulative firm orders</v>
      </c>
      <c r="B159" s="89"/>
      <c r="C159" s="154"/>
      <c r="D159" s="154"/>
      <c r="E159" s="154"/>
      <c r="F159" s="154"/>
      <c r="G159" s="154"/>
      <c r="H159" s="154"/>
      <c r="I159" s="154"/>
      <c r="J159" s="154"/>
      <c r="K159" s="154"/>
      <c r="L159" s="154"/>
      <c r="M159" s="154"/>
      <c r="N159" s="154"/>
      <c r="O159" s="154"/>
      <c r="P159" s="154"/>
      <c r="Q159" s="123"/>
      <c r="R159" s="123"/>
      <c r="S159" s="123"/>
      <c r="T159" s="123"/>
      <c r="U159" s="123"/>
      <c r="V159" s="123"/>
      <c r="W159" s="123"/>
      <c r="X159" s="89"/>
      <c r="Y159" s="89"/>
      <c r="Z159" s="89"/>
      <c r="AA159" s="36"/>
      <c r="AB159" s="36"/>
      <c r="AC159" s="36"/>
      <c r="AD159" s="36"/>
      <c r="AE159" s="36"/>
      <c r="AF159" s="36"/>
    </row>
    <row r="160" spans="1:32">
      <c r="A160" s="1">
        <f>Income_Statement_Qtr!A162</f>
        <v>737</v>
      </c>
      <c r="B160" s="174" t="s">
        <v>310</v>
      </c>
      <c r="C160" s="154">
        <v>1881</v>
      </c>
      <c r="D160" s="154">
        <v>2012</v>
      </c>
      <c r="E160" s="154">
        <v>2220</v>
      </c>
      <c r="F160" s="154">
        <v>2393</v>
      </c>
      <c r="G160" s="154">
        <v>2957</v>
      </c>
      <c r="H160" s="154">
        <v>3696</v>
      </c>
      <c r="I160" s="154">
        <v>4542</v>
      </c>
      <c r="J160" s="154">
        <v>5026</v>
      </c>
      <c r="K160" s="154">
        <v>5204</v>
      </c>
      <c r="L160" s="154">
        <v>5692</v>
      </c>
      <c r="M160" s="154">
        <v>6243</v>
      </c>
      <c r="N160" s="154">
        <v>7367</v>
      </c>
      <c r="O160" s="154">
        <v>8413</v>
      </c>
      <c r="P160" s="154">
        <v>9517</v>
      </c>
      <c r="Q160" s="123">
        <f>Income_Statement_Qtr!F162</f>
        <v>10105</v>
      </c>
      <c r="R160" s="123">
        <f>Income_Statement_Qtr!K162</f>
        <v>10655</v>
      </c>
      <c r="S160" s="123">
        <f>Income_Statement_Qtr!P162</f>
        <v>11345</v>
      </c>
      <c r="T160" s="123">
        <f>Income_Statement_Qtr!U162</f>
        <v>12020</v>
      </c>
      <c r="U160" s="123">
        <f>Income_Statement_Qtr!Z162</f>
        <v>11837</v>
      </c>
      <c r="V160" s="123"/>
      <c r="W160" s="123"/>
      <c r="X160" s="89"/>
      <c r="Y160" s="89"/>
      <c r="Z160" s="89"/>
      <c r="AA160" s="36"/>
      <c r="AB160" s="36"/>
      <c r="AC160" s="36"/>
      <c r="AD160" s="36"/>
      <c r="AE160" s="36"/>
      <c r="AF160" s="36"/>
    </row>
    <row r="161" spans="1:44">
      <c r="A161" s="1">
        <f>Income_Statement_Qtr!A163</f>
        <v>747</v>
      </c>
      <c r="B161" s="174" t="s">
        <v>310</v>
      </c>
      <c r="C161" s="154">
        <v>1351</v>
      </c>
      <c r="D161" s="154">
        <v>1371</v>
      </c>
      <c r="E161" s="154">
        <v>1370</v>
      </c>
      <c r="F161" s="154">
        <v>1380</v>
      </c>
      <c r="G161" s="154">
        <v>1424</v>
      </c>
      <c r="H161" s="154">
        <v>1496</v>
      </c>
      <c r="I161" s="154">
        <v>1521</v>
      </c>
      <c r="J161" s="154">
        <v>1524</v>
      </c>
      <c r="K161" s="154">
        <v>1526</v>
      </c>
      <c r="L161" s="154">
        <v>1525</v>
      </c>
      <c r="M161" s="154">
        <v>1524</v>
      </c>
      <c r="N161" s="154">
        <v>1525</v>
      </c>
      <c r="O161" s="154">
        <v>1537</v>
      </c>
      <c r="P161" s="154">
        <v>1537</v>
      </c>
      <c r="Q161" s="123">
        <f>Income_Statement_Qtr!F163</f>
        <v>1539</v>
      </c>
      <c r="R161" s="123">
        <f>Income_Statement_Qtr!K163</f>
        <v>1556</v>
      </c>
      <c r="S161" s="123">
        <f>Income_Statement_Qtr!P163</f>
        <v>1554</v>
      </c>
      <c r="T161" s="123">
        <f>Income_Statement_Qtr!U163</f>
        <v>1572</v>
      </c>
      <c r="U161" s="123">
        <f>Income_Statement_Qtr!Z163</f>
        <v>1572</v>
      </c>
      <c r="V161" s="123"/>
      <c r="W161" s="123"/>
      <c r="X161" s="89"/>
      <c r="Y161" s="89"/>
      <c r="Z161" s="89"/>
      <c r="AA161" s="36"/>
      <c r="AB161" s="36"/>
      <c r="AC161" s="36"/>
      <c r="AD161" s="36"/>
      <c r="AE161" s="36"/>
      <c r="AF161" s="36"/>
    </row>
    <row r="162" spans="1:44">
      <c r="A162" s="1">
        <f>Income_Statement_Qtr!A164</f>
        <v>767</v>
      </c>
      <c r="B162" s="174" t="s">
        <v>310</v>
      </c>
      <c r="C162" s="154">
        <v>934</v>
      </c>
      <c r="D162" s="154">
        <v>931</v>
      </c>
      <c r="E162" s="154">
        <v>941</v>
      </c>
      <c r="F162" s="154">
        <v>950</v>
      </c>
      <c r="G162" s="154">
        <v>965</v>
      </c>
      <c r="H162" s="154">
        <v>975</v>
      </c>
      <c r="I162" s="154">
        <v>1011</v>
      </c>
      <c r="J162" s="154">
        <v>1039</v>
      </c>
      <c r="K162" s="154">
        <v>1041</v>
      </c>
      <c r="L162" s="154">
        <v>1044</v>
      </c>
      <c r="M162" s="154">
        <v>1086</v>
      </c>
      <c r="N162" s="154">
        <v>1108</v>
      </c>
      <c r="O162" s="154">
        <v>1110</v>
      </c>
      <c r="P162" s="154">
        <v>1114</v>
      </c>
      <c r="Q162" s="123">
        <f>Income_Statement_Qtr!F164</f>
        <v>1163</v>
      </c>
      <c r="R162" s="123">
        <f>Income_Statement_Qtr!K164</f>
        <v>1189</v>
      </c>
      <c r="S162" s="123">
        <f>Income_Statement_Qtr!P164</f>
        <v>1204</v>
      </c>
      <c r="T162" s="123">
        <f>Income_Statement_Qtr!U164</f>
        <v>1244</v>
      </c>
      <c r="U162" s="123">
        <f>Income_Statement_Qtr!Z164</f>
        <v>1270</v>
      </c>
      <c r="V162" s="123"/>
      <c r="W162" s="123"/>
      <c r="X162" s="89"/>
      <c r="Y162" s="89"/>
      <c r="Z162" s="89"/>
      <c r="AA162" s="36"/>
      <c r="AB162" s="36"/>
      <c r="AC162" s="36"/>
      <c r="AD162" s="36"/>
      <c r="AE162" s="36"/>
      <c r="AF162" s="36"/>
    </row>
    <row r="163" spans="1:44">
      <c r="A163" s="1">
        <f>Income_Statement_Qtr!A165</f>
        <v>777</v>
      </c>
      <c r="B163" s="174" t="s">
        <v>310</v>
      </c>
      <c r="C163" s="154">
        <v>575</v>
      </c>
      <c r="D163" s="154">
        <v>597</v>
      </c>
      <c r="E163" s="154">
        <v>622</v>
      </c>
      <c r="F163" s="154">
        <v>666</v>
      </c>
      <c r="G163" s="154">
        <v>827</v>
      </c>
      <c r="H163" s="154">
        <v>903</v>
      </c>
      <c r="I163" s="154">
        <v>1044</v>
      </c>
      <c r="J163" s="154">
        <v>1098</v>
      </c>
      <c r="K163" s="154">
        <v>1117</v>
      </c>
      <c r="L163" s="154">
        <v>1163</v>
      </c>
      <c r="M163" s="154">
        <v>1363</v>
      </c>
      <c r="N163" s="154">
        <v>1431</v>
      </c>
      <c r="O163" s="154">
        <v>1478</v>
      </c>
      <c r="P163" s="154">
        <v>1541</v>
      </c>
      <c r="Q163" s="123">
        <f>Income_Statement_Qtr!F165</f>
        <v>1579</v>
      </c>
      <c r="R163" s="123">
        <f>Income_Statement_Qtr!K165</f>
        <v>1596</v>
      </c>
      <c r="S163" s="123">
        <f>Income_Statement_Qtr!P165</f>
        <v>1631</v>
      </c>
      <c r="T163" s="123">
        <f>Income_Statement_Qtr!U165</f>
        <v>1682</v>
      </c>
      <c r="U163" s="123">
        <f>Income_Statement_Qtr!Z165</f>
        <v>1695</v>
      </c>
      <c r="V163" s="123"/>
      <c r="W163" s="123"/>
      <c r="X163" s="89"/>
      <c r="Y163" s="89"/>
      <c r="Z163" s="89"/>
      <c r="AA163" s="36"/>
      <c r="AB163" s="36"/>
      <c r="AC163" s="36"/>
      <c r="AD163" s="36"/>
      <c r="AE163" s="36"/>
      <c r="AF163" s="36"/>
    </row>
    <row r="164" spans="1:44">
      <c r="A164" s="1" t="str">
        <f>Income_Statement_Qtr!A166</f>
        <v>777X</v>
      </c>
      <c r="B164" s="174" t="s">
        <v>310</v>
      </c>
      <c r="C164" s="154">
        <v>0</v>
      </c>
      <c r="D164" s="154">
        <v>0</v>
      </c>
      <c r="E164" s="154">
        <v>0</v>
      </c>
      <c r="F164" s="154">
        <v>0</v>
      </c>
      <c r="G164" s="154">
        <v>0</v>
      </c>
      <c r="H164" s="154">
        <v>0</v>
      </c>
      <c r="I164" s="154">
        <v>0</v>
      </c>
      <c r="J164" s="154">
        <v>0</v>
      </c>
      <c r="K164" s="154">
        <v>0</v>
      </c>
      <c r="L164" s="154">
        <v>0</v>
      </c>
      <c r="M164" s="154">
        <v>0</v>
      </c>
      <c r="N164" s="154">
        <v>0</v>
      </c>
      <c r="O164" s="154">
        <v>66</v>
      </c>
      <c r="P164" s="154">
        <v>286</v>
      </c>
      <c r="Q164" s="123">
        <f>Income_Statement_Qtr!F166</f>
        <v>306</v>
      </c>
      <c r="R164" s="123">
        <f>Income_Statement_Qtr!K166</f>
        <v>306</v>
      </c>
      <c r="S164" s="123">
        <f>Income_Statement_Qtr!P166</f>
        <v>326</v>
      </c>
      <c r="T164" s="123">
        <f>Income_Statement_Qtr!U166</f>
        <v>326</v>
      </c>
      <c r="U164" s="123">
        <f>Income_Statement_Qtr!Z166</f>
        <v>309</v>
      </c>
      <c r="V164" s="123"/>
      <c r="W164" s="123"/>
      <c r="X164" s="89"/>
      <c r="Y164" s="89"/>
      <c r="Z164" s="89"/>
      <c r="AA164" s="36"/>
      <c r="AB164" s="36"/>
      <c r="AC164" s="36"/>
      <c r="AD164" s="36"/>
      <c r="AE164" s="36"/>
      <c r="AF164" s="36"/>
    </row>
    <row r="165" spans="1:44">
      <c r="A165" s="1">
        <f>Income_Statement_Qtr!A167</f>
        <v>787</v>
      </c>
      <c r="B165" s="174" t="s">
        <v>310</v>
      </c>
      <c r="C165" s="154">
        <v>0</v>
      </c>
      <c r="D165" s="154">
        <v>0</v>
      </c>
      <c r="E165" s="154">
        <v>0</v>
      </c>
      <c r="F165" s="154">
        <v>0</v>
      </c>
      <c r="G165" s="154">
        <v>0</v>
      </c>
      <c r="H165" s="154">
        <v>0</v>
      </c>
      <c r="I165" s="154">
        <v>0</v>
      </c>
      <c r="J165" s="154">
        <v>0</v>
      </c>
      <c r="K165" s="154">
        <v>851</v>
      </c>
      <c r="L165" s="154">
        <v>847</v>
      </c>
      <c r="M165" s="154">
        <v>860</v>
      </c>
      <c r="N165" s="154">
        <v>848</v>
      </c>
      <c r="O165" s="154">
        <v>1030</v>
      </c>
      <c r="P165" s="154">
        <v>1071</v>
      </c>
      <c r="Q165" s="123">
        <f>Income_Statement_Qtr!F167</f>
        <v>1142</v>
      </c>
      <c r="R165" s="123">
        <f>Income_Statement_Qtr!K167</f>
        <v>1200</v>
      </c>
      <c r="S165" s="123">
        <f>Income_Statement_Qtr!P167</f>
        <v>1276</v>
      </c>
      <c r="T165" s="123">
        <f>Income_Statement_Qtr!U167</f>
        <v>1385</v>
      </c>
      <c r="U165" s="123">
        <f>Income_Statement_Qtr!Z167</f>
        <v>1459</v>
      </c>
      <c r="V165" s="123"/>
      <c r="W165" s="123"/>
      <c r="X165" s="89"/>
      <c r="Y165" s="89"/>
      <c r="Z165" s="89"/>
      <c r="AA165" s="36"/>
      <c r="AB165" s="36"/>
      <c r="AC165" s="36"/>
      <c r="AD165" s="36"/>
      <c r="AE165" s="36"/>
      <c r="AF165" s="36"/>
    </row>
    <row r="166" spans="1:44">
      <c r="A166" s="1">
        <f>Income_Statement_Qtr!A168</f>
        <v>717</v>
      </c>
      <c r="B166" s="174" t="s">
        <v>310</v>
      </c>
      <c r="C166" s="154">
        <v>123</v>
      </c>
      <c r="D166" s="154">
        <v>139</v>
      </c>
      <c r="E166" s="154">
        <v>147</v>
      </c>
      <c r="F166" s="154">
        <v>155</v>
      </c>
      <c r="G166" s="154">
        <v>155</v>
      </c>
      <c r="H166" s="154">
        <v>155</v>
      </c>
      <c r="I166" s="154">
        <v>0</v>
      </c>
      <c r="J166" s="154">
        <v>0</v>
      </c>
      <c r="K166" s="154">
        <v>0</v>
      </c>
      <c r="L166" s="154">
        <v>0</v>
      </c>
      <c r="M166" s="154">
        <v>0</v>
      </c>
      <c r="N166" s="154">
        <v>0</v>
      </c>
      <c r="O166" s="154">
        <v>0</v>
      </c>
      <c r="P166" s="154">
        <v>0</v>
      </c>
      <c r="Q166" s="123">
        <f>Income_Statement_Qtr!F168</f>
        <v>0</v>
      </c>
      <c r="R166" s="123">
        <f>Income_Statement_Qtr!K168</f>
        <v>0</v>
      </c>
      <c r="S166" s="123">
        <f>Income_Statement_Qtr!P168</f>
        <v>0</v>
      </c>
      <c r="T166" s="123">
        <f>Income_Statement_Qtr!U168</f>
        <v>0</v>
      </c>
      <c r="U166" s="123">
        <f>Income_Statement_Qtr!Z168</f>
        <v>0</v>
      </c>
      <c r="V166" s="123"/>
      <c r="W166" s="123"/>
      <c r="X166" s="89"/>
      <c r="Y166" s="89"/>
      <c r="Z166" s="89"/>
      <c r="AA166" s="36"/>
      <c r="AB166" s="36"/>
      <c r="AC166" s="36"/>
      <c r="AD166" s="36"/>
      <c r="AE166" s="36"/>
      <c r="AF166" s="36"/>
    </row>
    <row r="167" spans="1:44">
      <c r="A167" s="1">
        <f>Income_Statement_Qtr!A169</f>
        <v>757</v>
      </c>
      <c r="B167" s="174" t="s">
        <v>310</v>
      </c>
      <c r="C167" s="154">
        <v>1048</v>
      </c>
      <c r="D167" s="154">
        <v>1050</v>
      </c>
      <c r="E167" s="154">
        <v>1049</v>
      </c>
      <c r="F167" s="154">
        <v>1049</v>
      </c>
      <c r="G167" s="154">
        <v>1050</v>
      </c>
      <c r="H167" s="154">
        <v>1049</v>
      </c>
      <c r="I167" s="154">
        <v>0</v>
      </c>
      <c r="J167" s="154">
        <v>0</v>
      </c>
      <c r="K167" s="154">
        <v>0</v>
      </c>
      <c r="L167" s="154">
        <v>0</v>
      </c>
      <c r="M167" s="154">
        <v>0</v>
      </c>
      <c r="N167" s="154">
        <v>0</v>
      </c>
      <c r="O167" s="154">
        <v>0</v>
      </c>
      <c r="P167" s="154">
        <v>0</v>
      </c>
      <c r="Q167" s="123">
        <f>Income_Statement_Qtr!F169</f>
        <v>0</v>
      </c>
      <c r="R167" s="123">
        <f>Income_Statement_Qtr!K169</f>
        <v>0</v>
      </c>
      <c r="S167" s="123">
        <f>Income_Statement_Qtr!P169</f>
        <v>0</v>
      </c>
      <c r="T167" s="123">
        <f>Income_Statement_Qtr!U169</f>
        <v>0</v>
      </c>
      <c r="U167" s="123">
        <f>Income_Statement_Qtr!Z169</f>
        <v>0</v>
      </c>
      <c r="V167" s="123"/>
      <c r="W167" s="123"/>
      <c r="X167" s="89"/>
      <c r="Y167" s="89"/>
      <c r="Z167" s="89"/>
      <c r="AA167" s="36"/>
      <c r="AB167" s="36"/>
      <c r="AC167" s="36"/>
      <c r="AD167" s="36"/>
      <c r="AE167" s="36"/>
      <c r="AF167" s="36"/>
    </row>
    <row r="168" spans="1:44">
      <c r="A168" s="1"/>
      <c r="B168" s="34"/>
      <c r="C168" s="41"/>
      <c r="D168" s="41"/>
      <c r="E168" s="41"/>
      <c r="F168" s="41"/>
      <c r="G168" s="41"/>
      <c r="H168" s="41"/>
      <c r="I168" s="41"/>
      <c r="J168" s="41"/>
      <c r="K168" s="41"/>
      <c r="L168" s="41"/>
      <c r="M168" s="62"/>
      <c r="N168" s="62"/>
      <c r="O168" s="62"/>
      <c r="P168" s="62"/>
      <c r="Q168" s="37"/>
      <c r="R168" s="37"/>
      <c r="S168" s="37"/>
      <c r="T168" s="37"/>
      <c r="U168" s="37"/>
      <c r="V168" s="37"/>
      <c r="W168" s="37"/>
      <c r="X168" s="34"/>
      <c r="Y168" s="34"/>
      <c r="Z168" s="34"/>
      <c r="AA168" s="34"/>
      <c r="AB168" s="34"/>
      <c r="AC168" s="34"/>
      <c r="AD168" s="34"/>
      <c r="AE168" s="34"/>
      <c r="AF168" s="34"/>
    </row>
    <row r="169" spans="1:44">
      <c r="A169" s="9" t="s">
        <v>216</v>
      </c>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row>
    <row r="170" spans="1:44" outlineLevel="1">
      <c r="A170" t="s">
        <v>215</v>
      </c>
      <c r="B170" s="292" t="s">
        <v>310</v>
      </c>
      <c r="C170" s="292" t="s">
        <v>310</v>
      </c>
      <c r="D170" s="292" t="s">
        <v>310</v>
      </c>
      <c r="E170" s="292" t="s">
        <v>310</v>
      </c>
      <c r="F170" s="292" t="s">
        <v>310</v>
      </c>
      <c r="G170" s="292" t="s">
        <v>310</v>
      </c>
      <c r="H170" s="292" t="s">
        <v>310</v>
      </c>
      <c r="I170" s="292" t="s">
        <v>310</v>
      </c>
      <c r="J170" s="292" t="s">
        <v>310</v>
      </c>
      <c r="K170" s="292" t="s">
        <v>310</v>
      </c>
      <c r="L170" s="292" t="s">
        <v>310</v>
      </c>
      <c r="M170" s="292" t="s">
        <v>310</v>
      </c>
      <c r="N170" s="292" t="s">
        <v>310</v>
      </c>
      <c r="O170" s="292" t="s">
        <v>310</v>
      </c>
      <c r="P170" s="292" t="s">
        <v>310</v>
      </c>
      <c r="Q170" s="257"/>
      <c r="R170" s="257"/>
      <c r="S170" s="257"/>
      <c r="T170" s="257"/>
      <c r="U170" s="257"/>
      <c r="V170" s="258"/>
      <c r="W170" s="293" t="s">
        <v>310</v>
      </c>
      <c r="X170" s="293" t="s">
        <v>310</v>
      </c>
      <c r="Y170" s="293" t="s">
        <v>310</v>
      </c>
      <c r="Z170" s="293" t="s">
        <v>310</v>
      </c>
      <c r="AA170" s="293" t="s">
        <v>310</v>
      </c>
      <c r="AB170" s="293" t="s">
        <v>310</v>
      </c>
      <c r="AC170" s="293" t="s">
        <v>310</v>
      </c>
      <c r="AD170" s="293" t="s">
        <v>310</v>
      </c>
      <c r="AE170" s="293" t="s">
        <v>310</v>
      </c>
      <c r="AF170" s="293" t="s">
        <v>310</v>
      </c>
    </row>
    <row r="171" spans="1:44" outlineLevel="1">
      <c r="A171" t="s">
        <v>231</v>
      </c>
      <c r="B171" s="193">
        <v>0.35</v>
      </c>
      <c r="C171" s="193">
        <v>0.35</v>
      </c>
      <c r="D171" s="193">
        <v>0.35</v>
      </c>
      <c r="E171" s="193">
        <f>(35+4.2)%</f>
        <v>0.39200000000000002</v>
      </c>
      <c r="F171" s="193">
        <f>(35-7)%</f>
        <v>0.28000000000000003</v>
      </c>
      <c r="G171" s="193">
        <f>(35+1.1)%</f>
        <v>0.36099999999999999</v>
      </c>
      <c r="H171" s="193">
        <f>(35+0.4)%</f>
        <v>0.35399999999999998</v>
      </c>
      <c r="I171" s="193">
        <f>(35+1.6)%</f>
        <v>0.36599999999999999</v>
      </c>
      <c r="J171" s="193">
        <f>(35+1.7)%</f>
        <v>0.36700000000000005</v>
      </c>
      <c r="K171" s="193">
        <f>(35+2.2)%</f>
        <v>0.37200000000000005</v>
      </c>
      <c r="L171" s="193">
        <f>(35+1.8)%</f>
        <v>0.36799999999999999</v>
      </c>
      <c r="M171" s="193">
        <f>(35+0.7)%</f>
        <v>0.35700000000000004</v>
      </c>
      <c r="N171" s="193">
        <f>(35+0.8)%</f>
        <v>0.35799999999999998</v>
      </c>
      <c r="O171" s="193">
        <v>0.35</v>
      </c>
      <c r="P171" s="193">
        <v>0.35</v>
      </c>
      <c r="Q171" s="34"/>
      <c r="R171" s="34"/>
      <c r="S171" s="34"/>
      <c r="T171" s="34"/>
      <c r="U171" s="70"/>
      <c r="V171" s="70"/>
      <c r="W171" s="70">
        <f>Income_Statement_Qtr!AJ173</f>
        <v>0.22899999999999998</v>
      </c>
      <c r="X171" s="193">
        <f t="shared" ref="X171:AF171" si="139">W171</f>
        <v>0.22899999999999998</v>
      </c>
      <c r="Y171" s="193">
        <f t="shared" si="139"/>
        <v>0.22899999999999998</v>
      </c>
      <c r="Z171" s="193">
        <f t="shared" si="139"/>
        <v>0.22899999999999998</v>
      </c>
      <c r="AA171" s="193">
        <f t="shared" si="139"/>
        <v>0.22899999999999998</v>
      </c>
      <c r="AB171" s="193">
        <f t="shared" si="139"/>
        <v>0.22899999999999998</v>
      </c>
      <c r="AC171" s="193">
        <f t="shared" si="139"/>
        <v>0.22899999999999998</v>
      </c>
      <c r="AD171" s="193">
        <f t="shared" si="139"/>
        <v>0.22899999999999998</v>
      </c>
      <c r="AE171" s="193">
        <f t="shared" si="139"/>
        <v>0.22899999999999998</v>
      </c>
      <c r="AF171" s="193">
        <f t="shared" si="139"/>
        <v>0.22899999999999998</v>
      </c>
    </row>
    <row r="172" spans="1:44" s="256" customFormat="1" outlineLevel="1">
      <c r="A172" t="s">
        <v>214</v>
      </c>
      <c r="B172" s="42">
        <f t="shared" ref="B172:P172" si="140">B34-B10</f>
        <v>-48263</v>
      </c>
      <c r="C172" s="42">
        <f t="shared" si="140"/>
        <v>-54302</v>
      </c>
      <c r="D172" s="42">
        <f t="shared" si="140"/>
        <v>-50611</v>
      </c>
      <c r="E172" s="42">
        <f t="shared" si="140"/>
        <v>-48945</v>
      </c>
      <c r="F172" s="42">
        <f t="shared" si="140"/>
        <v>-49895</v>
      </c>
      <c r="G172" s="42">
        <f t="shared" si="140"/>
        <v>-50809</v>
      </c>
      <c r="H172" s="42">
        <f t="shared" si="140"/>
        <v>-57610</v>
      </c>
      <c r="I172" s="42">
        <f t="shared" si="140"/>
        <v>-60557</v>
      </c>
      <c r="J172" s="42">
        <f t="shared" si="140"/>
        <v>-54087.86153846154</v>
      </c>
      <c r="K172" s="42">
        <f t="shared" si="140"/>
        <v>-62140</v>
      </c>
      <c r="L172" s="42">
        <f t="shared" si="140"/>
        <v>-59335</v>
      </c>
      <c r="M172" s="42">
        <f t="shared" si="140"/>
        <v>-62891</v>
      </c>
      <c r="N172" s="42">
        <f t="shared" si="140"/>
        <v>-75408</v>
      </c>
      <c r="O172" s="42">
        <f t="shared" si="140"/>
        <v>-79655</v>
      </c>
      <c r="P172" s="42">
        <f t="shared" si="140"/>
        <v>-83289</v>
      </c>
      <c r="Q172" s="42"/>
      <c r="R172" s="42"/>
      <c r="S172" s="42"/>
      <c r="T172" s="42"/>
      <c r="U172" s="42"/>
      <c r="V172" s="42"/>
      <c r="W172" s="42">
        <f t="shared" ref="W172:AB172" si="141">W34-W10</f>
        <v>-65188</v>
      </c>
      <c r="X172" s="42">
        <f t="shared" si="141"/>
        <v>-70155</v>
      </c>
      <c r="Y172" s="42">
        <f t="shared" ref="Y172" si="142">Y34-Y10</f>
        <v>-78567</v>
      </c>
      <c r="Z172" s="42">
        <f t="shared" si="141"/>
        <v>-77224</v>
      </c>
      <c r="AA172" s="42">
        <f t="shared" si="141"/>
        <v>-85182</v>
      </c>
      <c r="AB172" s="42">
        <f t="shared" si="141"/>
        <v>-97602.984373300336</v>
      </c>
      <c r="AC172" s="42">
        <f t="shared" ref="AC172:AD172" si="143">AC34-AC10</f>
        <v>-99696.750294432117</v>
      </c>
      <c r="AD172" s="42">
        <f t="shared" si="143"/>
        <v>-102247.35457090453</v>
      </c>
      <c r="AE172" s="42">
        <f t="shared" ref="AE172:AF172" si="144">AE34-AE10</f>
        <v>-105685.84969401915</v>
      </c>
      <c r="AF172" s="42">
        <f t="shared" si="144"/>
        <v>-108528.30934728119</v>
      </c>
      <c r="AG172"/>
      <c r="AH172"/>
      <c r="AI172"/>
      <c r="AM172"/>
      <c r="AN172"/>
      <c r="AO172"/>
      <c r="AP172"/>
      <c r="AQ172"/>
      <c r="AR172"/>
    </row>
    <row r="173" spans="1:44" s="259" customFormat="1" outlineLevel="1">
      <c r="A173" t="s">
        <v>232</v>
      </c>
      <c r="B173" s="37">
        <f>Cash_Flow_Annual!B51+Cash_Flow_Annual!B48</f>
        <v>-2221</v>
      </c>
      <c r="C173" s="37">
        <f>Cash_Flow_Annual!C51+Cash_Flow_Annual!C48</f>
        <v>-2338</v>
      </c>
      <c r="D173" s="37">
        <f>Cash_Flow_Annual!D51+Cash_Flow_Annual!D48</f>
        <v>67</v>
      </c>
      <c r="E173" s="37">
        <f>Cash_Flow_Annual!E51+Cash_Flow_Annual!E48</f>
        <v>33</v>
      </c>
      <c r="F173" s="37">
        <f>Cash_Flow_Annual!F51+Cash_Flow_Annual!F48</f>
        <v>-654</v>
      </c>
      <c r="G173" s="37">
        <f>Cash_Flow_Annual!G51+Cash_Flow_Annual!G48</f>
        <v>-2529</v>
      </c>
      <c r="H173" s="37">
        <f>Cash_Flow_Annual!H51+Cash_Flow_Annual!H48</f>
        <v>-1404</v>
      </c>
      <c r="I173" s="37">
        <f>Cash_Flow_Annual!I51+Cash_Flow_Annual!I48</f>
        <v>-2566</v>
      </c>
      <c r="J173" s="85">
        <f>Cash_Flow_Annual!J51+Cash_Flow_Annual!J48</f>
        <v>-2893</v>
      </c>
      <c r="K173" s="37">
        <f>Cash_Flow_Annual!K51+Cash_Flow_Annual!K48</f>
        <v>-40</v>
      </c>
      <c r="L173" s="37">
        <f>Cash_Flow_Annual!L51+Cash_Flow_Annual!L48</f>
        <v>87</v>
      </c>
      <c r="M173" s="37">
        <f>Cash_Flow_Annual!M51+Cash_Flow_Annual!M48</f>
        <v>114</v>
      </c>
      <c r="N173" s="37">
        <f>Cash_Flow_Annual!N51+Cash_Flow_Annual!N48</f>
        <v>120</v>
      </c>
      <c r="O173" s="37">
        <f>Cash_Flow_Annual!O51+Cash_Flow_Annual!O48</f>
        <v>-1704</v>
      </c>
      <c r="P173" s="37">
        <f>Cash_Flow_Annual!P51+Cash_Flow_Annual!P48</f>
        <v>-5658</v>
      </c>
      <c r="Q173" s="37"/>
      <c r="R173" s="37"/>
      <c r="S173" s="37"/>
      <c r="T173" s="37"/>
      <c r="U173" s="37"/>
      <c r="V173" s="37"/>
      <c r="W173" s="37">
        <f>Cash_Flow_Annual!W51+Cash_Flow_Annual!W48</f>
        <v>42</v>
      </c>
      <c r="X173" s="37">
        <f>Cash_Flow_Annual!X51+Cash_Flow_Annual!X48</f>
        <v>50</v>
      </c>
      <c r="Y173" s="37">
        <f>Cash_Flow_Annual!Y51+Cash_Flow_Annual!Y48</f>
        <v>45</v>
      </c>
      <c r="Z173" s="37">
        <f>Cash_Flow_Annual!Z51+Cash_Flow_Annual!Z48</f>
        <v>18200</v>
      </c>
      <c r="AA173" s="37">
        <f>Cash_Flow_Annual!AA51+Cash_Flow_Annual!AA48</f>
        <v>0</v>
      </c>
      <c r="AB173" s="37">
        <f>Cash_Flow_Annual!AB51+Cash_Flow_Annual!AB48</f>
        <v>0</v>
      </c>
      <c r="AC173" s="37">
        <f>Cash_Flow_Annual!AG51+Cash_Flow_Annual!AG48</f>
        <v>0</v>
      </c>
      <c r="AD173" s="37">
        <f>Cash_Flow_Annual!AH51+Cash_Flow_Annual!AH48</f>
        <v>0</v>
      </c>
      <c r="AE173" s="37">
        <f>Cash_Flow_Annual!AI51+Cash_Flow_Annual!AI48</f>
        <v>0</v>
      </c>
      <c r="AF173" s="37">
        <f>Cash_Flow_Annual!AJ51+Cash_Flow_Annual!AJ48</f>
        <v>0</v>
      </c>
      <c r="AG173"/>
      <c r="AH173"/>
      <c r="AI173"/>
      <c r="AM173"/>
      <c r="AN173"/>
      <c r="AO173"/>
      <c r="AP173"/>
      <c r="AQ173"/>
      <c r="AR173"/>
    </row>
    <row r="180" spans="1:32">
      <c r="B180"/>
      <c r="C180"/>
      <c r="D180"/>
      <c r="E180"/>
      <c r="F180"/>
      <c r="G180"/>
      <c r="H180"/>
      <c r="I180"/>
      <c r="J180"/>
      <c r="K180"/>
      <c r="L180"/>
      <c r="M180"/>
      <c r="N180"/>
      <c r="O180"/>
      <c r="P180"/>
      <c r="Q180"/>
      <c r="R180"/>
      <c r="S180"/>
      <c r="T180"/>
      <c r="U180"/>
      <c r="V180"/>
      <c r="W180"/>
      <c r="X180"/>
      <c r="Y180"/>
      <c r="Z180"/>
      <c r="AA180"/>
    </row>
    <row r="183" spans="1:32">
      <c r="A183" s="5" t="s">
        <v>658</v>
      </c>
    </row>
    <row r="184" spans="1:32" outlineLevel="1">
      <c r="A184" t="s">
        <v>0</v>
      </c>
      <c r="B184" s="74">
        <f>+B10</f>
        <v>51321</v>
      </c>
      <c r="C184" s="74">
        <f t="shared" ref="C184:H184" si="145">+C10</f>
        <v>58198</v>
      </c>
      <c r="D184" s="74">
        <f t="shared" si="145"/>
        <v>54061</v>
      </c>
      <c r="E184" s="74">
        <f t="shared" si="145"/>
        <v>50256</v>
      </c>
      <c r="F184" s="74">
        <f t="shared" si="145"/>
        <v>52457</v>
      </c>
      <c r="G184" s="74">
        <f t="shared" si="145"/>
        <v>53621</v>
      </c>
      <c r="H184" s="74">
        <f t="shared" si="145"/>
        <v>61530</v>
      </c>
      <c r="I184" s="74">
        <f t="shared" ref="I184:P184" si="146">+I10</f>
        <v>66387</v>
      </c>
      <c r="J184" s="74">
        <f t="shared" si="146"/>
        <v>60909</v>
      </c>
      <c r="K184" s="74">
        <f t="shared" si="146"/>
        <v>68281</v>
      </c>
      <c r="L184" s="74">
        <f t="shared" si="146"/>
        <v>64306</v>
      </c>
      <c r="M184" s="74">
        <f t="shared" si="146"/>
        <v>68735</v>
      </c>
      <c r="N184" s="74">
        <f t="shared" si="146"/>
        <v>81698</v>
      </c>
      <c r="O184" s="74">
        <f t="shared" si="146"/>
        <v>86623</v>
      </c>
      <c r="P184" s="74">
        <f t="shared" si="146"/>
        <v>90762</v>
      </c>
      <c r="X184" s="74">
        <f>+X10</f>
        <v>66608</v>
      </c>
      <c r="Y184" s="74">
        <f>+Y10</f>
        <v>77794</v>
      </c>
      <c r="Z184" s="74">
        <f>+Z10</f>
        <v>66517</v>
      </c>
      <c r="AA184" s="74">
        <f>+AA10</f>
        <v>89463</v>
      </c>
      <c r="AB184" s="74">
        <f t="shared" ref="AB184:AE184" si="147">+AB10</f>
        <v>99714.978128554954</v>
      </c>
      <c r="AC184" s="74">
        <f t="shared" si="147"/>
        <v>108378.46219239991</v>
      </c>
      <c r="AD184" s="74">
        <f t="shared" si="147"/>
        <v>113112.28062770152</v>
      </c>
      <c r="AE184" s="74">
        <f t="shared" si="147"/>
        <v>117045.28403113908</v>
      </c>
      <c r="AF184" s="74"/>
    </row>
    <row r="185" spans="1:32" outlineLevel="1">
      <c r="A185" t="s">
        <v>138</v>
      </c>
      <c r="B185" s="49">
        <f>+B70</f>
        <v>2.4423275565247331</v>
      </c>
      <c r="C185" s="49">
        <f t="shared" ref="C185:H185" si="148">+C70</f>
        <v>3.4076932352586522</v>
      </c>
      <c r="D185" s="49">
        <f t="shared" si="148"/>
        <v>2.8686293913904009</v>
      </c>
      <c r="E185" s="49">
        <f t="shared" si="148"/>
        <v>1.8568290270738039</v>
      </c>
      <c r="F185" s="49">
        <f t="shared" si="148"/>
        <v>2.0572078720787208</v>
      </c>
      <c r="G185" s="49">
        <f t="shared" si="148"/>
        <v>2.4310063519740939</v>
      </c>
      <c r="H185" s="49">
        <f t="shared" si="148"/>
        <v>3.8204977145759265</v>
      </c>
      <c r="I185" s="49">
        <f t="shared" ref="I185:P185" si="149">+I70</f>
        <v>5.2530744336569581</v>
      </c>
      <c r="J185" s="49">
        <f t="shared" si="149"/>
        <v>6.2006035665294919</v>
      </c>
      <c r="K185" s="49">
        <f t="shared" si="149"/>
        <v>5.4513204373423045</v>
      </c>
      <c r="L185" s="49">
        <f t="shared" si="149"/>
        <v>4.1484750772537957</v>
      </c>
      <c r="M185" s="49">
        <f t="shared" si="149"/>
        <v>4.8017346123101516</v>
      </c>
      <c r="N185" s="49">
        <f t="shared" si="149"/>
        <v>5.1149047931713723</v>
      </c>
      <c r="O185" s="49">
        <f t="shared" si="149"/>
        <v>6.3053465346534656</v>
      </c>
      <c r="P185" s="49">
        <f t="shared" si="149"/>
        <v>7.3842812542418894</v>
      </c>
      <c r="X185" s="49">
        <f>+X70</f>
        <v>-8.2824943147012178</v>
      </c>
      <c r="Y185" s="49">
        <f>+Y70</f>
        <v>-3.6659380541922713</v>
      </c>
      <c r="Z185" s="49">
        <f>+Z70</f>
        <v>-18.348269468479604</v>
      </c>
      <c r="AA185" s="49">
        <f>+AA70</f>
        <v>2.4793388429752068</v>
      </c>
      <c r="AB185" s="49">
        <f t="shared" ref="AB185:AE185" si="150">+AB70</f>
        <v>0.16056351670708335</v>
      </c>
      <c r="AC185" s="49">
        <f t="shared" si="150"/>
        <v>6.6290653707764102</v>
      </c>
      <c r="AD185" s="49">
        <f t="shared" si="150"/>
        <v>9.2646536230946541</v>
      </c>
      <c r="AE185" s="49">
        <f t="shared" si="150"/>
        <v>9.8529169469412725</v>
      </c>
      <c r="AF185" s="49"/>
    </row>
    <row r="186" spans="1:32" outlineLevel="1">
      <c r="A186" t="s">
        <v>39</v>
      </c>
      <c r="B186" s="74">
        <f>+B97</f>
        <v>4537</v>
      </c>
      <c r="C186" s="74">
        <f t="shared" ref="C186:H186" si="151">+C97</f>
        <v>5639</v>
      </c>
      <c r="D186" s="74">
        <f t="shared" si="151"/>
        <v>4947</v>
      </c>
      <c r="E186" s="74">
        <f t="shared" si="151"/>
        <v>2711</v>
      </c>
      <c r="F186" s="74">
        <f t="shared" si="151"/>
        <v>4071</v>
      </c>
      <c r="G186" s="74">
        <f t="shared" si="151"/>
        <v>4315</v>
      </c>
      <c r="H186" s="74">
        <f t="shared" si="151"/>
        <v>5465</v>
      </c>
      <c r="I186" s="74">
        <f t="shared" ref="I186:P186" si="152">+I97</f>
        <v>7316</v>
      </c>
      <c r="J186" s="74">
        <f t="shared" si="152"/>
        <v>8312.1384615384613</v>
      </c>
      <c r="K186" s="74">
        <f t="shared" si="152"/>
        <v>7807</v>
      </c>
      <c r="L186" s="74">
        <f t="shared" si="152"/>
        <v>6698</v>
      </c>
      <c r="M186" s="74">
        <f t="shared" si="152"/>
        <v>7519</v>
      </c>
      <c r="N186" s="74">
        <f t="shared" si="152"/>
        <v>8101</v>
      </c>
      <c r="O186" s="74">
        <f t="shared" si="152"/>
        <v>8812</v>
      </c>
      <c r="P186" s="74">
        <f t="shared" si="152"/>
        <v>9379</v>
      </c>
      <c r="X186" s="74">
        <f>+X97</f>
        <v>-1568</v>
      </c>
      <c r="Y186" s="74">
        <f>+Y97</f>
        <v>1088</v>
      </c>
      <c r="Z186" s="74">
        <f>+Z97</f>
        <v>-8871</v>
      </c>
      <c r="AA186" s="74">
        <f>+AA97</f>
        <v>6234</v>
      </c>
      <c r="AB186" s="74">
        <f t="shared" ref="AB186:AE186" si="153">+AB97</f>
        <v>4185.728755254615</v>
      </c>
      <c r="AC186" s="74">
        <f t="shared" si="153"/>
        <v>11509.055229370435</v>
      </c>
      <c r="AD186" s="74">
        <f t="shared" si="153"/>
        <v>13761.383105301844</v>
      </c>
      <c r="AE186" s="74">
        <f t="shared" si="153"/>
        <v>14336.887938987949</v>
      </c>
      <c r="AF186" s="74"/>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4" tint="0.39997558519241921"/>
  </sheetPr>
  <dimension ref="A1:BV188"/>
  <sheetViews>
    <sheetView showGridLines="0" zoomScaleNormal="100" workbookViewId="0">
      <pane xSplit="1" ySplit="2" topLeftCell="AY3" activePane="bottomRight" state="frozen"/>
      <selection activeCell="G57" sqref="G57"/>
      <selection pane="topRight" activeCell="G57" sqref="G57"/>
      <selection pane="bottomLeft" activeCell="G57" sqref="G57"/>
      <selection pane="bottomRight" activeCell="BE56" sqref="BE56"/>
    </sheetView>
  </sheetViews>
  <sheetFormatPr defaultRowHeight="14.5" outlineLevelRow="2" outlineLevelCol="1"/>
  <cols>
    <col min="1" max="1" width="49.453125" customWidth="1"/>
    <col min="2" max="5" width="12.1796875" style="26" hidden="1" customWidth="1" outlineLevel="1"/>
    <col min="6" max="6" width="12.1796875" style="26" customWidth="1" collapsed="1"/>
    <col min="7" max="10" width="12.1796875" style="26" hidden="1" customWidth="1" outlineLevel="1"/>
    <col min="11" max="11" width="12.1796875" style="26" customWidth="1" collapsed="1"/>
    <col min="12" max="15" width="12.1796875" style="26" hidden="1" customWidth="1" outlineLevel="1"/>
    <col min="16" max="16" width="12.1796875" style="26" customWidth="1" collapsed="1"/>
    <col min="17" max="20" width="12.1796875" style="26" hidden="1" customWidth="1" outlineLevel="1"/>
    <col min="21" max="21" width="12.1796875" style="26" customWidth="1" collapsed="1"/>
    <col min="22" max="25" width="12.1796875" style="26" customWidth="1" outlineLevel="1"/>
    <col min="26" max="26" width="12.1796875" style="26" customWidth="1"/>
    <col min="27" max="30" width="12.1796875" style="26" customWidth="1" outlineLevel="1"/>
    <col min="31" max="31" width="12.1796875" style="26" customWidth="1"/>
    <col min="32" max="35" width="12.1796875" style="26" customWidth="1" outlineLevel="1"/>
    <col min="36" max="36" width="12.1796875" style="26" customWidth="1"/>
    <col min="37" max="40" width="12.1796875" style="26" customWidth="1" outlineLevel="1"/>
    <col min="41" max="41" width="12.1796875" style="26" customWidth="1"/>
    <col min="42" max="45" width="12.1796875" style="26" customWidth="1" outlineLevel="1"/>
    <col min="46" max="46" width="12.1796875" style="26" customWidth="1"/>
    <col min="47" max="50" width="12.1796875" style="26" customWidth="1" outlineLevel="1"/>
    <col min="51" max="51" width="12.1796875" style="26" customWidth="1"/>
    <col min="52" max="55" width="12.1796875" style="26" customWidth="1" outlineLevel="1"/>
    <col min="56" max="56" width="12.1796875" style="26" customWidth="1"/>
    <col min="57" max="60" width="12.1796875" style="26" customWidth="1" outlineLevel="1"/>
    <col min="61" max="61" width="12.7265625" style="26" customWidth="1"/>
    <col min="62" max="62" width="18.81640625" customWidth="1"/>
    <col min="63" max="68" width="9.1796875" customWidth="1"/>
    <col min="69" max="69" width="45.26953125" customWidth="1" outlineLevel="1"/>
    <col min="70" max="74" width="9.1796875" customWidth="1" outlineLevel="1"/>
  </cols>
  <sheetData>
    <row r="1" spans="1:64">
      <c r="A1" s="15" t="s">
        <v>18</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row>
    <row r="2" spans="1:64">
      <c r="B2" s="8" t="s">
        <v>176</v>
      </c>
      <c r="C2" s="8" t="s">
        <v>177</v>
      </c>
      <c r="D2" s="8" t="s">
        <v>178</v>
      </c>
      <c r="E2" s="8" t="s">
        <v>179</v>
      </c>
      <c r="F2" s="11" t="s">
        <v>180</v>
      </c>
      <c r="G2" s="8" t="s">
        <v>171</v>
      </c>
      <c r="H2" s="8" t="s">
        <v>172</v>
      </c>
      <c r="I2" s="8" t="s">
        <v>173</v>
      </c>
      <c r="J2" s="8" t="s">
        <v>174</v>
      </c>
      <c r="K2" s="11" t="s">
        <v>175</v>
      </c>
      <c r="L2" s="8" t="s">
        <v>166</v>
      </c>
      <c r="M2" s="8" t="s">
        <v>167</v>
      </c>
      <c r="N2" s="8" t="s">
        <v>168</v>
      </c>
      <c r="O2" s="8" t="s">
        <v>169</v>
      </c>
      <c r="P2" s="11" t="s">
        <v>170</v>
      </c>
      <c r="Q2" s="8" t="s">
        <v>161</v>
      </c>
      <c r="R2" s="8" t="s">
        <v>162</v>
      </c>
      <c r="S2" s="8" t="s">
        <v>163</v>
      </c>
      <c r="T2" s="8" t="s">
        <v>164</v>
      </c>
      <c r="U2" s="11" t="s">
        <v>165</v>
      </c>
      <c r="V2" s="8" t="s">
        <v>5</v>
      </c>
      <c r="W2" s="8" t="s">
        <v>6</v>
      </c>
      <c r="X2" s="8" t="s">
        <v>7</v>
      </c>
      <c r="Y2" s="8" t="s">
        <v>8</v>
      </c>
      <c r="Z2" s="11" t="s">
        <v>160</v>
      </c>
      <c r="AA2" s="8" t="s">
        <v>196</v>
      </c>
      <c r="AB2" s="8" t="s">
        <v>557</v>
      </c>
      <c r="AC2" s="8" t="s">
        <v>579</v>
      </c>
      <c r="AD2" s="8" t="s">
        <v>581</v>
      </c>
      <c r="AE2" s="11" t="s">
        <v>204</v>
      </c>
      <c r="AF2" s="8" t="s">
        <v>584</v>
      </c>
      <c r="AG2" s="8" t="s">
        <v>588</v>
      </c>
      <c r="AH2" s="8" t="s">
        <v>594</v>
      </c>
      <c r="AI2" s="8" t="s">
        <v>596</v>
      </c>
      <c r="AJ2" s="11" t="s">
        <v>597</v>
      </c>
      <c r="AK2" s="8" t="s">
        <v>599</v>
      </c>
      <c r="AL2" s="8" t="s">
        <v>603</v>
      </c>
      <c r="AM2" s="8" t="s">
        <v>606</v>
      </c>
      <c r="AN2" s="8" t="s">
        <v>629</v>
      </c>
      <c r="AO2" s="11" t="s">
        <v>630</v>
      </c>
      <c r="AP2" s="8" t="s">
        <v>634</v>
      </c>
      <c r="AQ2" s="8" t="s">
        <v>640</v>
      </c>
      <c r="AR2" s="8" t="s">
        <v>641</v>
      </c>
      <c r="AS2" s="8" t="s">
        <v>649</v>
      </c>
      <c r="AT2" s="11" t="s">
        <v>648</v>
      </c>
      <c r="AU2" s="8" t="s">
        <v>651</v>
      </c>
      <c r="AV2" s="8" t="s">
        <v>652</v>
      </c>
      <c r="AW2" s="8" t="s">
        <v>654</v>
      </c>
      <c r="AX2" s="8" t="s">
        <v>659</v>
      </c>
      <c r="AY2" s="11" t="s">
        <v>660</v>
      </c>
      <c r="AZ2" s="8" t="s">
        <v>662</v>
      </c>
      <c r="BA2" s="8" t="s">
        <v>667</v>
      </c>
      <c r="BB2" s="8" t="s">
        <v>669</v>
      </c>
      <c r="BC2" s="8" t="s">
        <v>677</v>
      </c>
      <c r="BD2" s="11" t="s">
        <v>678</v>
      </c>
      <c r="BE2" s="8" t="s">
        <v>671</v>
      </c>
      <c r="BF2" s="8" t="s">
        <v>672</v>
      </c>
      <c r="BG2" s="8" t="s">
        <v>673</v>
      </c>
      <c r="BH2" s="8" t="s">
        <v>670</v>
      </c>
      <c r="BI2" s="11" t="s">
        <v>595</v>
      </c>
    </row>
    <row r="3" spans="1:64">
      <c r="A3" s="1" t="s">
        <v>299</v>
      </c>
      <c r="B3" s="37">
        <f>BCA_Qtr!B3</f>
        <v>0</v>
      </c>
      <c r="C3" s="37">
        <f>BCA_Qtr!C3</f>
        <v>0</v>
      </c>
      <c r="D3" s="37">
        <f>BCA_Qtr!D3</f>
        <v>0</v>
      </c>
      <c r="E3" s="37">
        <f>BCA_Qtr!E3</f>
        <v>0</v>
      </c>
      <c r="F3" s="38">
        <f>BCA_Qtr!F3</f>
        <v>0</v>
      </c>
      <c r="G3" s="37">
        <f>BCA_Qtr!G3</f>
        <v>12787</v>
      </c>
      <c r="H3" s="37">
        <f>BCA_Qtr!H3</f>
        <v>15643</v>
      </c>
      <c r="I3" s="37">
        <f>BCA_Qtr!I3</f>
        <v>15200</v>
      </c>
      <c r="J3" s="37">
        <f>BCA_Qtr!J3</f>
        <v>14382</v>
      </c>
      <c r="K3" s="38">
        <f>BCA_Qtr!K3</f>
        <v>58012</v>
      </c>
      <c r="L3" s="37">
        <f>BCA_Qtr!L3</f>
        <v>12953</v>
      </c>
      <c r="M3" s="37">
        <f>BCA_Qtr!M3</f>
        <v>14280</v>
      </c>
      <c r="N3" s="37">
        <f>BCA_Qtr!N3</f>
        <v>15393</v>
      </c>
      <c r="O3" s="37">
        <f>BCA_Qtr!O3</f>
        <v>15388</v>
      </c>
      <c r="P3" s="38">
        <f>BCA_Qtr!P3</f>
        <v>58014</v>
      </c>
      <c r="Q3" s="37">
        <f>BCA_Qtr!Q3</f>
        <v>12945</v>
      </c>
      <c r="R3" s="37">
        <f>BCA_Qtr!R3</f>
        <v>13952</v>
      </c>
      <c r="S3" s="37">
        <f>BCA_Qtr!S3</f>
        <v>14071</v>
      </c>
      <c r="T3" s="37">
        <f>BCA_Qtr!T3</f>
        <v>16531</v>
      </c>
      <c r="U3" s="38">
        <f>BCA_Qtr!U3</f>
        <v>57499</v>
      </c>
      <c r="V3" s="37">
        <f>BCA_Qtr!V3</f>
        <v>11822</v>
      </c>
      <c r="W3" s="37">
        <f>BCA_Qtr!W3</f>
        <v>4722</v>
      </c>
      <c r="X3" s="37">
        <f>BCA_Qtr!X3</f>
        <v>8249</v>
      </c>
      <c r="Y3" s="37">
        <f>BCA_Qtr!Y3</f>
        <v>7462</v>
      </c>
      <c r="Z3" s="38">
        <f>BCA_Qtr!Z3</f>
        <v>32255</v>
      </c>
      <c r="AA3" s="37">
        <f>BCA_Qtr!AA3</f>
        <v>6205</v>
      </c>
      <c r="AB3" s="37">
        <f>BCA_Qtr!AB3</f>
        <v>1633</v>
      </c>
      <c r="AC3" s="37">
        <f>BCA_Qtr!AC3</f>
        <v>3596</v>
      </c>
      <c r="AD3" s="37">
        <f>BCA_Qtr!AD3</f>
        <v>4728</v>
      </c>
      <c r="AE3" s="38">
        <f>BCA_Qtr!AE3</f>
        <v>16162</v>
      </c>
      <c r="AF3" s="37">
        <f>BCA_Qtr!AF3</f>
        <v>4269</v>
      </c>
      <c r="AG3" s="37">
        <f>BCA_Qtr!AG3</f>
        <v>6015</v>
      </c>
      <c r="AH3" s="37">
        <f>BCA_Qtr!AH3</f>
        <v>4459</v>
      </c>
      <c r="AI3" s="37">
        <f>BCA_Qtr!AI3</f>
        <v>4750</v>
      </c>
      <c r="AJ3" s="38">
        <f>BCA_Qtr!AJ3</f>
        <v>19493</v>
      </c>
      <c r="AK3" s="37">
        <f>BCA_Qtr!AK3</f>
        <v>4161</v>
      </c>
      <c r="AL3" s="37">
        <f>BCA_Qtr!AL3</f>
        <v>6219</v>
      </c>
      <c r="AM3" s="37">
        <f>BCA_Qtr!AM3</f>
        <v>6263</v>
      </c>
      <c r="AN3" s="37">
        <f>BCA_Qtr!AN3</f>
        <v>9224</v>
      </c>
      <c r="AO3" s="38">
        <f>BCA_Qtr!AO3</f>
        <v>25867</v>
      </c>
      <c r="AP3" s="37">
        <f>BCA_Qtr!AP3</f>
        <v>6704</v>
      </c>
      <c r="AQ3" s="37">
        <f>BCA_Qtr!AQ3</f>
        <v>8840</v>
      </c>
      <c r="AR3" s="37">
        <f>BCA_Qtr!AR3</f>
        <v>7876</v>
      </c>
      <c r="AS3" s="37">
        <f>BCA_Qtr!AS3</f>
        <v>10481</v>
      </c>
      <c r="AT3" s="38">
        <f>BCA_Qtr!AT3</f>
        <v>33901</v>
      </c>
      <c r="AU3" s="37">
        <f>BCA_Qtr!AU3</f>
        <v>4653</v>
      </c>
      <c r="AV3" s="37">
        <f>BCA_Qtr!AV3</f>
        <v>6003</v>
      </c>
      <c r="AW3" s="37">
        <f>BCA_Qtr!AW3</f>
        <v>7443</v>
      </c>
      <c r="AX3" s="37">
        <f>BCA_Qtr!AX3</f>
        <v>4762</v>
      </c>
      <c r="AY3" s="38">
        <f>BCA_Qtr!AY3</f>
        <v>22861</v>
      </c>
      <c r="AZ3" s="37">
        <f>BCA_Qtr!AZ3</f>
        <v>8147</v>
      </c>
      <c r="BA3" s="37">
        <f>BCA_Qtr!BA3</f>
        <v>10874</v>
      </c>
      <c r="BB3" s="37">
        <f>BCA_Qtr!BB3</f>
        <v>11094</v>
      </c>
      <c r="BC3" s="37">
        <f>BCA_Qtr!BC3</f>
        <v>11379</v>
      </c>
      <c r="BD3" s="38">
        <f>BCA_Qtr!BD3</f>
        <v>41494</v>
      </c>
      <c r="BE3" s="37">
        <f>BCA_Qtr!BE3</f>
        <v>12690.781690140844</v>
      </c>
      <c r="BF3" s="37">
        <f>BCA_Qtr!BF3</f>
        <v>12690.781690140844</v>
      </c>
      <c r="BG3" s="37">
        <f>BCA_Qtr!BG3</f>
        <v>12690.781690140844</v>
      </c>
      <c r="BH3" s="37">
        <f>BCA_Qtr!BH3</f>
        <v>12690.781690140844</v>
      </c>
      <c r="BI3" s="38">
        <f>BCA_Qtr!BI3</f>
        <v>50763.126760563377</v>
      </c>
      <c r="BL3" s="109"/>
    </row>
    <row r="4" spans="1:64">
      <c r="A4" s="1" t="s">
        <v>325</v>
      </c>
      <c r="B4" s="37">
        <f>BDS_Qtr!B3</f>
        <v>0</v>
      </c>
      <c r="C4" s="37">
        <f>BDS_Qtr!C3</f>
        <v>0</v>
      </c>
      <c r="D4" s="37">
        <f>BDS_Qtr!D3</f>
        <v>0</v>
      </c>
      <c r="E4" s="37">
        <f>BDS_Qtr!E3</f>
        <v>0</v>
      </c>
      <c r="F4" s="38">
        <f>BDS_Qtr!F3</f>
        <v>0</v>
      </c>
      <c r="G4" s="37">
        <f>BDS_Qtr!G3</f>
        <v>6136</v>
      </c>
      <c r="H4" s="37">
        <f>BDS_Qtr!H3</f>
        <v>5394</v>
      </c>
      <c r="I4" s="37">
        <f>BDS_Qtr!I3</f>
        <v>5751</v>
      </c>
      <c r="J4" s="37">
        <f>BDS_Qtr!J3</f>
        <v>5282</v>
      </c>
      <c r="K4" s="38">
        <f>BDS_Qtr!K3</f>
        <v>22563</v>
      </c>
      <c r="L4" s="37">
        <f>BDS_Qtr!L3</f>
        <v>5112</v>
      </c>
      <c r="M4" s="37">
        <f>BDS_Qtr!M3</f>
        <v>5142</v>
      </c>
      <c r="N4" s="37">
        <f>BDS_Qtr!N3</f>
        <v>5050</v>
      </c>
      <c r="O4" s="37">
        <f>BDS_Qtr!O3</f>
        <v>5257</v>
      </c>
      <c r="P4" s="38">
        <f>BDS_Qtr!P3</f>
        <v>20561</v>
      </c>
      <c r="Q4" s="37">
        <f>BDS_Qtr!Q3</f>
        <v>6481</v>
      </c>
      <c r="R4" s="37">
        <f>BDS_Qtr!R3</f>
        <v>6100</v>
      </c>
      <c r="S4" s="37">
        <f>BDS_Qtr!S3</f>
        <v>6937</v>
      </c>
      <c r="T4" s="37">
        <f>BDS_Qtr!T3</f>
        <v>6874</v>
      </c>
      <c r="U4" s="38">
        <f>BDS_Qtr!U3</f>
        <v>26392</v>
      </c>
      <c r="V4" s="37">
        <f>BDS_Qtr!V3</f>
        <v>6587</v>
      </c>
      <c r="W4" s="37">
        <f>BDS_Qtr!W3</f>
        <v>6612</v>
      </c>
      <c r="X4" s="37">
        <f>BDS_Qtr!X3</f>
        <v>7042</v>
      </c>
      <c r="Y4" s="37">
        <f>BDS_Qtr!Y3</f>
        <v>5986</v>
      </c>
      <c r="Z4" s="38">
        <f>BDS_Qtr!Z3</f>
        <v>26227</v>
      </c>
      <c r="AA4" s="37">
        <f>BDS_Qtr!AA3</f>
        <v>6042</v>
      </c>
      <c r="AB4" s="37">
        <f>BDS_Qtr!AB3</f>
        <v>6588</v>
      </c>
      <c r="AC4" s="37">
        <f>BDS_Qtr!AC3</f>
        <v>6848</v>
      </c>
      <c r="AD4" s="37">
        <f>BDS_Qtr!AD3</f>
        <v>6779</v>
      </c>
      <c r="AE4" s="38">
        <f>BDS_Qtr!AE3</f>
        <v>26257</v>
      </c>
      <c r="AF4" s="37">
        <f>BDS_Qtr!AF3</f>
        <v>7185</v>
      </c>
      <c r="AG4" s="37">
        <f>BDS_Qtr!AG3</f>
        <v>6876</v>
      </c>
      <c r="AH4" s="37">
        <f>BDS_Qtr!AH3</f>
        <v>6617</v>
      </c>
      <c r="AI4" s="37">
        <f>BDS_Qtr!AI3</f>
        <v>5862</v>
      </c>
      <c r="AJ4" s="38">
        <f>BDS_Qtr!AJ3</f>
        <v>26540</v>
      </c>
      <c r="AK4" s="37">
        <f>BDS_Qtr!AK3</f>
        <v>5483</v>
      </c>
      <c r="AL4" s="37">
        <f>BDS_Qtr!AL3</f>
        <v>6191</v>
      </c>
      <c r="AM4" s="37">
        <f>BDS_Qtr!AM3</f>
        <v>5307</v>
      </c>
      <c r="AN4" s="37">
        <f>BDS_Qtr!AN3</f>
        <v>6181</v>
      </c>
      <c r="AO4" s="38">
        <f>BDS_Qtr!AO3</f>
        <v>23162</v>
      </c>
      <c r="AP4" s="37">
        <f>BDS_Qtr!AP3</f>
        <v>6539</v>
      </c>
      <c r="AQ4" s="37">
        <f>BDS_Qtr!AQ3</f>
        <v>6167</v>
      </c>
      <c r="AR4" s="37">
        <f>BDS_Qtr!AR3</f>
        <v>5481</v>
      </c>
      <c r="AS4" s="37">
        <f>BDS_Qtr!AS3</f>
        <v>6746</v>
      </c>
      <c r="AT4" s="38">
        <f>BDS_Qtr!AT3</f>
        <v>24933</v>
      </c>
      <c r="AU4" s="37">
        <f>BDS_Qtr!AU3</f>
        <v>6950</v>
      </c>
      <c r="AV4" s="37">
        <f>BDS_Qtr!AV3</f>
        <v>6021</v>
      </c>
      <c r="AW4" s="37">
        <f>BDS_Qtr!AW3</f>
        <v>5536</v>
      </c>
      <c r="AX4" s="37">
        <f>BDS_Qtr!AX3</f>
        <v>5411</v>
      </c>
      <c r="AY4" s="38">
        <f>BDS_Qtr!AY3</f>
        <v>23918</v>
      </c>
      <c r="AZ4" s="37">
        <f>BDS_Qtr!AZ3</f>
        <v>6298</v>
      </c>
      <c r="BA4" s="37">
        <f>BDS_Qtr!BA3</f>
        <v>6617</v>
      </c>
      <c r="BB4" s="37">
        <f>BDS_Qtr!BB3</f>
        <v>6902</v>
      </c>
      <c r="BC4" s="37">
        <f>BDS_Qtr!BC3</f>
        <v>7417</v>
      </c>
      <c r="BD4" s="38">
        <f>BDS_Qtr!BD3</f>
        <v>27234</v>
      </c>
      <c r="BE4" s="37">
        <f>BDS_Qtr!BE3</f>
        <v>7057.2128419978944</v>
      </c>
      <c r="BF4" s="37">
        <f>BDS_Qtr!BF3</f>
        <v>7057.2128419978944</v>
      </c>
      <c r="BG4" s="37">
        <f>BDS_Qtr!BG3</f>
        <v>7057.2128419978944</v>
      </c>
      <c r="BH4" s="37">
        <f>BDS_Qtr!BH3</f>
        <v>7057.2128419978944</v>
      </c>
      <c r="BI4" s="38">
        <f>BDS_Qtr!BI3</f>
        <v>28228.851367991578</v>
      </c>
      <c r="BL4" s="109"/>
    </row>
    <row r="5" spans="1:64">
      <c r="A5" s="1" t="s">
        <v>300</v>
      </c>
      <c r="B5" s="37">
        <f>BGS_Qtr!B3</f>
        <v>0</v>
      </c>
      <c r="C5" s="37">
        <f>BGS_Qtr!C3</f>
        <v>0</v>
      </c>
      <c r="D5" s="37">
        <f>BGS_Qtr!D3</f>
        <v>0</v>
      </c>
      <c r="E5" s="37">
        <f>BGS_Qtr!E3</f>
        <v>0</v>
      </c>
      <c r="F5" s="38">
        <f>BGS_Qtr!F3</f>
        <v>0</v>
      </c>
      <c r="G5" s="37">
        <f>BGS_Qtr!G3</f>
        <v>3421</v>
      </c>
      <c r="H5" s="37">
        <f>BGS_Qtr!H3</f>
        <v>3581</v>
      </c>
      <c r="I5" s="37">
        <f>BGS_Qtr!I3</f>
        <v>3506</v>
      </c>
      <c r="J5" s="37">
        <f>BGS_Qtr!J3</f>
        <v>3417</v>
      </c>
      <c r="K5" s="38">
        <f>BGS_Qtr!K3</f>
        <v>13925</v>
      </c>
      <c r="L5" s="37">
        <f>BGS_Qtr!L3</f>
        <v>3653</v>
      </c>
      <c r="M5" s="37">
        <f>BGS_Qtr!M3</f>
        <v>3552</v>
      </c>
      <c r="N5" s="37">
        <f>BGS_Qtr!N3</f>
        <v>3579</v>
      </c>
      <c r="O5" s="37">
        <f>BGS_Qtr!O3</f>
        <v>3797</v>
      </c>
      <c r="P5" s="38">
        <f>BGS_Qtr!P3</f>
        <v>14581</v>
      </c>
      <c r="Q5" s="37">
        <f>BGS_Qtr!Q3</f>
        <v>3950</v>
      </c>
      <c r="R5" s="37">
        <f>BGS_Qtr!R3</f>
        <v>4097</v>
      </c>
      <c r="S5" s="37">
        <f>BGS_Qtr!S3</f>
        <v>4101</v>
      </c>
      <c r="T5" s="37">
        <f>BGS_Qtr!T3</f>
        <v>4908</v>
      </c>
      <c r="U5" s="38">
        <f>BGS_Qtr!U3</f>
        <v>17056</v>
      </c>
      <c r="V5" s="37">
        <f>BGS_Qtr!V3</f>
        <v>4619</v>
      </c>
      <c r="W5" s="37">
        <f>BGS_Qtr!W3</f>
        <v>4543</v>
      </c>
      <c r="X5" s="37">
        <f>BGS_Qtr!X3</f>
        <v>4658</v>
      </c>
      <c r="Y5" s="37">
        <f>BGS_Qtr!Y3</f>
        <v>4648</v>
      </c>
      <c r="Z5" s="38">
        <f>BGS_Qtr!Z3</f>
        <v>18468</v>
      </c>
      <c r="AA5" s="37">
        <f>BGS_Qtr!AA3</f>
        <v>4628</v>
      </c>
      <c r="AB5" s="37">
        <f>BGS_Qtr!AB3</f>
        <v>3488</v>
      </c>
      <c r="AC5" s="37">
        <f>BGS_Qtr!AC3</f>
        <v>3694</v>
      </c>
      <c r="AD5" s="37">
        <f>BGS_Qtr!AD3</f>
        <v>3733</v>
      </c>
      <c r="AE5" s="38">
        <f>BGS_Qtr!AE3</f>
        <v>15543</v>
      </c>
      <c r="AF5" s="37">
        <f>BGS_Qtr!AF3</f>
        <v>3749</v>
      </c>
      <c r="AG5" s="37">
        <f>BGS_Qtr!AG3</f>
        <v>4067</v>
      </c>
      <c r="AH5" s="37">
        <f>BGS_Qtr!AH3</f>
        <v>4221</v>
      </c>
      <c r="AI5" s="37">
        <f>BGS_Qtr!AI3</f>
        <v>4291</v>
      </c>
      <c r="AJ5" s="38">
        <f>BGS_Qtr!AJ3</f>
        <v>16328</v>
      </c>
      <c r="AK5" s="37">
        <f>BGS_Qtr!AK3</f>
        <v>4314</v>
      </c>
      <c r="AL5" s="37">
        <f>BGS_Qtr!AL3</f>
        <v>4298</v>
      </c>
      <c r="AM5" s="37">
        <f>BGS_Qtr!AM3</f>
        <v>4432</v>
      </c>
      <c r="AN5" s="37">
        <f>BGS_Qtr!AN3</f>
        <v>4567</v>
      </c>
      <c r="AO5" s="38">
        <f>BGS_Qtr!AO3</f>
        <v>17611</v>
      </c>
      <c r="AP5" s="37">
        <f>BGS_Qtr!AP3</f>
        <v>4720</v>
      </c>
      <c r="AQ5" s="37">
        <f>BGS_Qtr!AQ3</f>
        <v>4746</v>
      </c>
      <c r="AR5" s="37">
        <f>BGS_Qtr!AR3</f>
        <v>4812</v>
      </c>
      <c r="AS5" s="37">
        <f>BGS_Qtr!AS3</f>
        <v>4849</v>
      </c>
      <c r="AT5" s="38">
        <f>BGS_Qtr!AT3</f>
        <v>19127</v>
      </c>
      <c r="AU5" s="37">
        <f>BGS_Qtr!AU3</f>
        <v>5045</v>
      </c>
      <c r="AV5" s="37">
        <f>BGS_Qtr!AV3</f>
        <v>4889</v>
      </c>
      <c r="AW5" s="37">
        <f>BGS_Qtr!AW3</f>
        <v>4901</v>
      </c>
      <c r="AX5" s="37">
        <f>BGS_Qtr!AX3</f>
        <v>5119</v>
      </c>
      <c r="AY5" s="38">
        <f>BGS_Qtr!AY3</f>
        <v>19954</v>
      </c>
      <c r="AZ5" s="37">
        <f>BGS_Qtr!AZ3</f>
        <v>5063</v>
      </c>
      <c r="BA5" s="37">
        <f>BGS_Qtr!BA3</f>
        <v>5281</v>
      </c>
      <c r="BB5" s="37">
        <f>BGS_Qtr!BB3</f>
        <v>5370</v>
      </c>
      <c r="BC5" s="37">
        <f>BGS_Qtr!BC3</f>
        <v>5209</v>
      </c>
      <c r="BD5" s="38">
        <f>BGS_Qtr!BD3</f>
        <v>20923</v>
      </c>
      <c r="BE5" s="37">
        <f>BGS_Qtr!BE3</f>
        <v>5063</v>
      </c>
      <c r="BF5" s="37">
        <f>BGS_Qtr!BF3</f>
        <v>5281</v>
      </c>
      <c r="BG5" s="37">
        <f>BGS_Qtr!BG3</f>
        <v>5370</v>
      </c>
      <c r="BH5" s="37">
        <f>BGS_Qtr!BH3</f>
        <v>5209</v>
      </c>
      <c r="BI5" s="38">
        <f>BGS_Qtr!BI3</f>
        <v>20923</v>
      </c>
      <c r="BL5" s="109"/>
    </row>
    <row r="6" spans="1:64" outlineLevel="1">
      <c r="A6" s="1" t="s">
        <v>635</v>
      </c>
      <c r="B6" s="37">
        <v>86</v>
      </c>
      <c r="C6" s="37">
        <v>115</v>
      </c>
      <c r="D6" s="37">
        <v>114</v>
      </c>
      <c r="E6" s="37">
        <v>98</v>
      </c>
      <c r="F6" s="38">
        <v>413</v>
      </c>
      <c r="G6" s="37">
        <v>64</v>
      </c>
      <c r="H6" s="37">
        <v>84</v>
      </c>
      <c r="I6" s="37">
        <v>63</v>
      </c>
      <c r="J6" s="37">
        <v>87</v>
      </c>
      <c r="K6" s="38">
        <v>298</v>
      </c>
      <c r="L6" s="37">
        <v>92</v>
      </c>
      <c r="M6" s="37">
        <v>72</v>
      </c>
      <c r="N6" s="37">
        <v>70</v>
      </c>
      <c r="O6" s="37">
        <v>73</v>
      </c>
      <c r="P6" s="38">
        <v>307</v>
      </c>
      <c r="Q6" s="37">
        <v>65</v>
      </c>
      <c r="R6" s="37">
        <v>72</v>
      </c>
      <c r="S6" s="37">
        <v>77</v>
      </c>
      <c r="T6" s="37">
        <v>60</v>
      </c>
      <c r="U6" s="38">
        <v>274</v>
      </c>
      <c r="V6" s="37">
        <v>66</v>
      </c>
      <c r="W6" s="37">
        <v>75</v>
      </c>
      <c r="X6" s="37">
        <v>66</v>
      </c>
      <c r="Y6" s="37">
        <v>37</v>
      </c>
      <c r="Z6" s="38">
        <v>244</v>
      </c>
      <c r="AA6" s="37">
        <v>65</v>
      </c>
      <c r="AB6" s="37">
        <v>69</v>
      </c>
      <c r="AC6" s="37">
        <v>71</v>
      </c>
      <c r="AD6" s="37">
        <v>56</v>
      </c>
      <c r="AE6" s="38">
        <v>261</v>
      </c>
      <c r="AF6" s="37">
        <v>60</v>
      </c>
      <c r="AG6" s="37">
        <v>78</v>
      </c>
      <c r="AH6" s="37">
        <v>71</v>
      </c>
      <c r="AI6" s="37">
        <v>63</v>
      </c>
      <c r="AJ6" s="38">
        <v>272</v>
      </c>
      <c r="AK6" s="37">
        <v>46</v>
      </c>
      <c r="AL6" s="37">
        <v>52</v>
      </c>
      <c r="AM6" s="37">
        <v>52</v>
      </c>
      <c r="AN6" s="37">
        <v>49</v>
      </c>
      <c r="AO6" s="38">
        <v>199</v>
      </c>
      <c r="AP6" s="37"/>
      <c r="AQ6" s="37"/>
      <c r="AR6" s="37"/>
      <c r="AS6" s="37"/>
      <c r="AT6" s="38"/>
      <c r="AU6" s="37">
        <v>0</v>
      </c>
      <c r="AV6" s="41">
        <v>0</v>
      </c>
      <c r="AW6" s="41"/>
      <c r="AX6" s="37"/>
      <c r="AY6" s="38"/>
      <c r="AZ6" s="37">
        <v>0</v>
      </c>
      <c r="BA6" s="41">
        <v>0</v>
      </c>
      <c r="BB6" s="41">
        <v>0</v>
      </c>
      <c r="BC6" s="41">
        <v>0</v>
      </c>
      <c r="BD6" s="23">
        <f>SUM(AZ6:BC6)</f>
        <v>0</v>
      </c>
      <c r="BE6" s="41">
        <v>0</v>
      </c>
      <c r="BF6" s="41">
        <v>0</v>
      </c>
      <c r="BG6" s="41">
        <v>0</v>
      </c>
      <c r="BH6" s="41">
        <v>0</v>
      </c>
      <c r="BI6" s="23">
        <f>SUM(BE6:BH6)</f>
        <v>0</v>
      </c>
      <c r="BL6" s="109"/>
    </row>
    <row r="7" spans="1:64" outlineLevel="1">
      <c r="A7" s="1" t="s">
        <v>346</v>
      </c>
      <c r="B7" s="37">
        <v>15381</v>
      </c>
      <c r="C7" s="37">
        <v>16877</v>
      </c>
      <c r="D7" s="37">
        <v>17692</v>
      </c>
      <c r="E7" s="37">
        <v>16098</v>
      </c>
      <c r="F7" s="38">
        <v>66048</v>
      </c>
      <c r="G7" s="41">
        <v>0</v>
      </c>
      <c r="H7" s="41">
        <v>0</v>
      </c>
      <c r="I7" s="41">
        <v>0</v>
      </c>
      <c r="J7" s="22">
        <f>K7-SUM(G7,H7,I7)</f>
        <v>0</v>
      </c>
      <c r="K7" s="43">
        <v>0</v>
      </c>
      <c r="L7" s="41">
        <v>0</v>
      </c>
      <c r="M7" s="41">
        <v>0</v>
      </c>
      <c r="N7" s="41">
        <v>0</v>
      </c>
      <c r="O7" s="22">
        <f>P7-SUM(L7,M7,N7)</f>
        <v>0</v>
      </c>
      <c r="P7" s="43">
        <v>0</v>
      </c>
      <c r="Q7" s="41">
        <v>0</v>
      </c>
      <c r="R7" s="41">
        <v>0</v>
      </c>
      <c r="S7" s="41">
        <v>0</v>
      </c>
      <c r="T7" s="22">
        <f>U7-SUM(Q7,R7,S7)</f>
        <v>0</v>
      </c>
      <c r="U7" s="43">
        <v>0</v>
      </c>
      <c r="V7" s="41">
        <v>0</v>
      </c>
      <c r="W7" s="41">
        <v>0</v>
      </c>
      <c r="X7" s="41">
        <v>0</v>
      </c>
      <c r="Y7" s="22">
        <f>Z7-SUM(V7,W7,X7)</f>
        <v>0</v>
      </c>
      <c r="Z7" s="43">
        <v>0</v>
      </c>
      <c r="AA7" s="41">
        <v>0</v>
      </c>
      <c r="AB7" s="41">
        <v>0</v>
      </c>
      <c r="AC7" s="41">
        <v>0</v>
      </c>
      <c r="AD7" s="41">
        <v>0</v>
      </c>
      <c r="AE7" s="23">
        <f>SUM(AA7:AD7)</f>
        <v>0</v>
      </c>
      <c r="AF7" s="41">
        <v>0</v>
      </c>
      <c r="AG7" s="41">
        <v>0</v>
      </c>
      <c r="AH7" s="41">
        <v>0</v>
      </c>
      <c r="AI7" s="41">
        <v>0</v>
      </c>
      <c r="AJ7" s="23">
        <f>SUM(AF7:AI7)</f>
        <v>0</v>
      </c>
      <c r="AK7" s="41">
        <v>0</v>
      </c>
      <c r="AL7" s="41">
        <v>0</v>
      </c>
      <c r="AM7" s="41">
        <v>0</v>
      </c>
      <c r="AN7" s="41">
        <v>0</v>
      </c>
      <c r="AO7" s="23">
        <f>SUM(AK7:AN7)</f>
        <v>0</v>
      </c>
      <c r="AP7" s="41"/>
      <c r="AQ7" s="41"/>
      <c r="AR7" s="41"/>
      <c r="AS7" s="41"/>
      <c r="AT7" s="23">
        <f>SUM(AP7:AS7)</f>
        <v>0</v>
      </c>
      <c r="AU7" s="41">
        <v>0</v>
      </c>
      <c r="AV7" s="41">
        <v>0</v>
      </c>
      <c r="AW7" s="41"/>
      <c r="AX7" s="41"/>
      <c r="AY7" s="23">
        <f>SUM(AU7:AX7)</f>
        <v>0</v>
      </c>
      <c r="AZ7" s="41">
        <v>0</v>
      </c>
      <c r="BA7" s="41">
        <v>0</v>
      </c>
      <c r="BB7" s="41">
        <v>0</v>
      </c>
      <c r="BC7" s="41">
        <v>0</v>
      </c>
      <c r="BD7" s="23">
        <f>SUM(AZ7:BC7)</f>
        <v>0</v>
      </c>
      <c r="BE7" s="41">
        <v>0</v>
      </c>
      <c r="BF7" s="41">
        <v>0</v>
      </c>
      <c r="BG7" s="41">
        <v>0</v>
      </c>
      <c r="BH7" s="41">
        <v>0</v>
      </c>
      <c r="BI7" s="23">
        <f>SUM(BE7:BH7)</f>
        <v>0</v>
      </c>
      <c r="BL7" s="109"/>
    </row>
    <row r="8" spans="1:64" outlineLevel="1">
      <c r="A8" s="1" t="s">
        <v>347</v>
      </c>
      <c r="B8" s="37">
        <v>6709</v>
      </c>
      <c r="C8" s="37">
        <v>7544</v>
      </c>
      <c r="D8" s="37">
        <v>8350</v>
      </c>
      <c r="E8" s="37">
        <v>7785</v>
      </c>
      <c r="F8" s="38">
        <v>30388</v>
      </c>
      <c r="G8" s="41">
        <v>0</v>
      </c>
      <c r="H8" s="41">
        <v>0</v>
      </c>
      <c r="I8" s="41">
        <v>0</v>
      </c>
      <c r="J8" s="22">
        <f>K8-SUM(G8,H8,I8)</f>
        <v>0</v>
      </c>
      <c r="K8" s="43">
        <v>0</v>
      </c>
      <c r="L8" s="41">
        <v>0</v>
      </c>
      <c r="M8" s="41">
        <v>0</v>
      </c>
      <c r="N8" s="41">
        <v>0</v>
      </c>
      <c r="O8" s="22">
        <f>P8-SUM(L8,M8,N8)</f>
        <v>0</v>
      </c>
      <c r="P8" s="43">
        <v>0</v>
      </c>
      <c r="Q8" s="41">
        <v>0</v>
      </c>
      <c r="R8" s="41">
        <v>0</v>
      </c>
      <c r="S8" s="41">
        <v>0</v>
      </c>
      <c r="T8" s="22">
        <f>U8-SUM(Q8,R8,S8)</f>
        <v>0</v>
      </c>
      <c r="U8" s="43">
        <v>0</v>
      </c>
      <c r="V8" s="41">
        <v>0</v>
      </c>
      <c r="W8" s="41">
        <v>0</v>
      </c>
      <c r="X8" s="41">
        <v>0</v>
      </c>
      <c r="Y8" s="22">
        <f>Z8-SUM(V8,W8,X8)</f>
        <v>0</v>
      </c>
      <c r="Z8" s="43">
        <v>0</v>
      </c>
      <c r="AA8" s="41">
        <v>0</v>
      </c>
      <c r="AB8" s="41">
        <v>0</v>
      </c>
      <c r="AC8" s="41">
        <v>0</v>
      </c>
      <c r="AD8" s="41">
        <v>0</v>
      </c>
      <c r="AE8" s="23">
        <f>SUM(AA8:AD8)</f>
        <v>0</v>
      </c>
      <c r="AF8" s="41">
        <v>0</v>
      </c>
      <c r="AG8" s="41">
        <v>0</v>
      </c>
      <c r="AH8" s="41">
        <v>0</v>
      </c>
      <c r="AI8" s="41">
        <v>0</v>
      </c>
      <c r="AJ8" s="23">
        <f>SUM(AF8:AI8)</f>
        <v>0</v>
      </c>
      <c r="AK8" s="41">
        <v>0</v>
      </c>
      <c r="AL8" s="41">
        <v>0</v>
      </c>
      <c r="AM8" s="41">
        <v>0</v>
      </c>
      <c r="AN8" s="41">
        <v>0</v>
      </c>
      <c r="AO8" s="23">
        <f>SUM(AK8:AN8)</f>
        <v>0</v>
      </c>
      <c r="AP8" s="41"/>
      <c r="AQ8" s="41"/>
      <c r="AR8" s="41"/>
      <c r="AS8" s="41"/>
      <c r="AT8" s="23">
        <f>SUM(AP8:AS8)</f>
        <v>0</v>
      </c>
      <c r="AU8" s="41">
        <v>0</v>
      </c>
      <c r="AV8" s="41">
        <v>0</v>
      </c>
      <c r="AW8" s="41"/>
      <c r="AX8" s="41"/>
      <c r="AY8" s="23">
        <f>SUM(AU8:AX8)</f>
        <v>0</v>
      </c>
      <c r="AZ8" s="41">
        <v>0</v>
      </c>
      <c r="BA8" s="41">
        <v>0</v>
      </c>
      <c r="BB8" s="41">
        <v>0</v>
      </c>
      <c r="BC8" s="41">
        <v>0</v>
      </c>
      <c r="BD8" s="23">
        <f>SUM(AZ8:BC8)</f>
        <v>0</v>
      </c>
      <c r="BE8" s="41">
        <v>0</v>
      </c>
      <c r="BF8" s="41">
        <v>0</v>
      </c>
      <c r="BG8" s="41">
        <v>0</v>
      </c>
      <c r="BH8" s="41">
        <v>0</v>
      </c>
      <c r="BI8" s="23">
        <f>SUM(BE8:BH8)</f>
        <v>0</v>
      </c>
      <c r="BL8" s="109"/>
    </row>
    <row r="9" spans="1:64">
      <c r="A9" s="1" t="s">
        <v>298</v>
      </c>
      <c r="B9" s="41">
        <v>-27</v>
      </c>
      <c r="C9" s="41">
        <v>7</v>
      </c>
      <c r="D9" s="41">
        <v>-307</v>
      </c>
      <c r="E9" s="22">
        <f>F9-SUM(B9,C9,D9)</f>
        <v>-408</v>
      </c>
      <c r="F9" s="43">
        <v>-735</v>
      </c>
      <c r="G9" s="41">
        <v>224</v>
      </c>
      <c r="H9" s="41">
        <v>53</v>
      </c>
      <c r="I9" s="41">
        <v>-622</v>
      </c>
      <c r="J9" s="22">
        <f>K9-SUM(G9,H9,I9)</f>
        <v>118</v>
      </c>
      <c r="K9" s="43">
        <v>-227</v>
      </c>
      <c r="L9" s="41">
        <v>151</v>
      </c>
      <c r="M9" s="41">
        <v>5</v>
      </c>
      <c r="N9" s="41">
        <v>131</v>
      </c>
      <c r="O9" s="22">
        <f>P9-SUM(L9,M9,N9)</f>
        <v>255</v>
      </c>
      <c r="P9" s="43">
        <v>542</v>
      </c>
      <c r="Q9" s="41">
        <v>-59</v>
      </c>
      <c r="R9" s="41">
        <v>37</v>
      </c>
      <c r="S9" s="41">
        <v>-40</v>
      </c>
      <c r="T9" s="22">
        <f>U9-SUM(Q9,R9,S9)</f>
        <v>-32</v>
      </c>
      <c r="U9" s="43">
        <v>-94</v>
      </c>
      <c r="V9" s="41">
        <v>-177</v>
      </c>
      <c r="W9" s="41">
        <v>-201</v>
      </c>
      <c r="X9" s="41">
        <v>-35</v>
      </c>
      <c r="Y9" s="22">
        <f>Z9-SUM(V9,W9,X9)</f>
        <v>-222</v>
      </c>
      <c r="Z9" s="43">
        <v>-635</v>
      </c>
      <c r="AA9" s="41">
        <v>-32</v>
      </c>
      <c r="AB9" s="41">
        <v>29</v>
      </c>
      <c r="AC9" s="41">
        <v>-70</v>
      </c>
      <c r="AD9" s="41">
        <v>8</v>
      </c>
      <c r="AE9" s="23">
        <f>SUM(AA9:AD9)</f>
        <v>-65</v>
      </c>
      <c r="AF9" s="41">
        <v>-46</v>
      </c>
      <c r="AG9" s="41">
        <v>-38</v>
      </c>
      <c r="AH9" s="41">
        <v>-90</v>
      </c>
      <c r="AI9" s="41">
        <v>-173</v>
      </c>
      <c r="AJ9" s="23">
        <f>SUM(AF9:AI9)</f>
        <v>-347</v>
      </c>
      <c r="AK9" s="41">
        <v>-13</v>
      </c>
      <c r="AL9" s="41">
        <v>-79</v>
      </c>
      <c r="AM9" s="41">
        <v>-98</v>
      </c>
      <c r="AN9" s="22">
        <f>AO9-SUM(AK9:AM9)</f>
        <v>-41</v>
      </c>
      <c r="AO9" s="43">
        <v>-231</v>
      </c>
      <c r="AP9" s="41">
        <v>-42</v>
      </c>
      <c r="AQ9" s="41">
        <v>-2</v>
      </c>
      <c r="AR9" s="41">
        <v>-65</v>
      </c>
      <c r="AS9" s="22">
        <f>AT9-SUM(AP9:AR9)</f>
        <v>-58</v>
      </c>
      <c r="AT9" s="43">
        <v>-167</v>
      </c>
      <c r="AU9" s="41">
        <v>-79</v>
      </c>
      <c r="AV9" s="41">
        <v>-47</v>
      </c>
      <c r="AW9" s="41">
        <v>-40</v>
      </c>
      <c r="AX9" s="22">
        <f>AY9-SUM(AU9:AW9)</f>
        <v>-50</v>
      </c>
      <c r="AY9" s="43">
        <v>-216</v>
      </c>
      <c r="AZ9" s="41">
        <v>-12</v>
      </c>
      <c r="BA9" s="41">
        <v>-23</v>
      </c>
      <c r="BB9" s="41">
        <v>-96</v>
      </c>
      <c r="BC9" s="22">
        <f>BD9-SUM(AZ9:BB9)</f>
        <v>-57</v>
      </c>
      <c r="BD9" s="154">
        <v>-188</v>
      </c>
      <c r="BE9" s="41">
        <f>$BI9/4</f>
        <v>-50</v>
      </c>
      <c r="BF9" s="41">
        <f>$BI9/4</f>
        <v>-50</v>
      </c>
      <c r="BG9" s="41">
        <f>$BI9/4</f>
        <v>-50</v>
      </c>
      <c r="BH9" s="22">
        <f>BI9-SUM(BE9:BG9)</f>
        <v>-50</v>
      </c>
      <c r="BI9" s="154">
        <v>-200</v>
      </c>
      <c r="BL9" s="109"/>
    </row>
    <row r="10" spans="1:64">
      <c r="A10" s="9" t="s">
        <v>14</v>
      </c>
      <c r="B10" s="24">
        <f t="shared" ref="B10:AJ10" si="0">SUM(B3:B9)</f>
        <v>22149</v>
      </c>
      <c r="C10" s="24">
        <f t="shared" si="0"/>
        <v>24543</v>
      </c>
      <c r="D10" s="24">
        <f t="shared" si="0"/>
        <v>25849</v>
      </c>
      <c r="E10" s="24">
        <f t="shared" si="0"/>
        <v>23573</v>
      </c>
      <c r="F10" s="25">
        <f t="shared" si="0"/>
        <v>96114</v>
      </c>
      <c r="G10" s="24">
        <f t="shared" si="0"/>
        <v>22632</v>
      </c>
      <c r="H10" s="24">
        <f t="shared" si="0"/>
        <v>24755</v>
      </c>
      <c r="I10" s="24">
        <f t="shared" si="0"/>
        <v>23898</v>
      </c>
      <c r="J10" s="24">
        <f t="shared" si="0"/>
        <v>23286</v>
      </c>
      <c r="K10" s="25">
        <f t="shared" si="0"/>
        <v>94571</v>
      </c>
      <c r="L10" s="24">
        <f t="shared" si="0"/>
        <v>21961</v>
      </c>
      <c r="M10" s="24">
        <f t="shared" si="0"/>
        <v>23051</v>
      </c>
      <c r="N10" s="24">
        <f t="shared" si="0"/>
        <v>24223</v>
      </c>
      <c r="O10" s="24">
        <f t="shared" si="0"/>
        <v>24770</v>
      </c>
      <c r="P10" s="25">
        <f t="shared" si="0"/>
        <v>94005</v>
      </c>
      <c r="Q10" s="24">
        <f t="shared" si="0"/>
        <v>23382</v>
      </c>
      <c r="R10" s="24">
        <f t="shared" si="0"/>
        <v>24258</v>
      </c>
      <c r="S10" s="24">
        <f t="shared" si="0"/>
        <v>25146</v>
      </c>
      <c r="T10" s="24">
        <f t="shared" si="0"/>
        <v>28341</v>
      </c>
      <c r="U10" s="25">
        <f t="shared" si="0"/>
        <v>101127</v>
      </c>
      <c r="V10" s="24">
        <f t="shared" si="0"/>
        <v>22917</v>
      </c>
      <c r="W10" s="24">
        <f t="shared" si="0"/>
        <v>15751</v>
      </c>
      <c r="X10" s="24">
        <f t="shared" si="0"/>
        <v>19980</v>
      </c>
      <c r="Y10" s="24">
        <f t="shared" si="0"/>
        <v>17911</v>
      </c>
      <c r="Z10" s="25">
        <f t="shared" si="0"/>
        <v>76559</v>
      </c>
      <c r="AA10" s="24">
        <f t="shared" si="0"/>
        <v>16908</v>
      </c>
      <c r="AB10" s="24">
        <f t="shared" si="0"/>
        <v>11807</v>
      </c>
      <c r="AC10" s="24">
        <f t="shared" si="0"/>
        <v>14139</v>
      </c>
      <c r="AD10" s="24">
        <f t="shared" si="0"/>
        <v>15304</v>
      </c>
      <c r="AE10" s="25">
        <f t="shared" si="0"/>
        <v>58158</v>
      </c>
      <c r="AF10" s="24">
        <f t="shared" si="0"/>
        <v>15217</v>
      </c>
      <c r="AG10" s="24">
        <f t="shared" si="0"/>
        <v>16998</v>
      </c>
      <c r="AH10" s="24">
        <f>SUM(AH3:AH9)</f>
        <v>15278</v>
      </c>
      <c r="AI10" s="24">
        <f t="shared" si="0"/>
        <v>14793</v>
      </c>
      <c r="AJ10" s="25">
        <f t="shared" si="0"/>
        <v>62286</v>
      </c>
      <c r="AK10" s="24">
        <f>SUM(AK3:AK9)</f>
        <v>13991</v>
      </c>
      <c r="AL10" s="24">
        <f>SUM(AL3:AL9)</f>
        <v>16681</v>
      </c>
      <c r="AM10" s="24">
        <f>SUM(AM3:AM9)</f>
        <v>15956</v>
      </c>
      <c r="AN10" s="24">
        <f>SUM(AN3:AN9)</f>
        <v>19980</v>
      </c>
      <c r="AO10" s="25">
        <f>SUM(AO3:AO9)</f>
        <v>66608</v>
      </c>
      <c r="AP10" s="24">
        <f t="shared" ref="AP10" si="1">SUM(AP3:AP9)</f>
        <v>17921</v>
      </c>
      <c r="AQ10" s="24">
        <f>SUM(AQ3:AQ9)</f>
        <v>19751</v>
      </c>
      <c r="AR10" s="24">
        <f>SUM(AR3:AR9)</f>
        <v>18104</v>
      </c>
      <c r="AS10" s="24">
        <f>SUM(AS3:AS9)</f>
        <v>22018</v>
      </c>
      <c r="AT10" s="25">
        <f>SUM(AT3:AT9)</f>
        <v>77794</v>
      </c>
      <c r="AU10" s="24">
        <f t="shared" ref="AU10" si="2">SUM(AU3:AU9)</f>
        <v>16569</v>
      </c>
      <c r="AV10" s="24">
        <f t="shared" ref="AV10:BG10" si="3">SUM(AV3:AV9)</f>
        <v>16866</v>
      </c>
      <c r="AW10" s="24">
        <f t="shared" si="3"/>
        <v>17840</v>
      </c>
      <c r="AX10" s="24">
        <f>SUM(AX3:AX9)</f>
        <v>15242</v>
      </c>
      <c r="AY10" s="25">
        <f>SUM(AY3:AY9)</f>
        <v>66517</v>
      </c>
      <c r="AZ10" s="24">
        <f t="shared" ref="AZ10" si="4">SUM(AZ3:AZ9)</f>
        <v>19496</v>
      </c>
      <c r="BA10" s="24">
        <f t="shared" si="3"/>
        <v>22749</v>
      </c>
      <c r="BB10" s="24">
        <f t="shared" si="3"/>
        <v>23270</v>
      </c>
      <c r="BC10" s="24">
        <f t="shared" si="3"/>
        <v>23948</v>
      </c>
      <c r="BD10" s="25">
        <f t="shared" si="3"/>
        <v>89463</v>
      </c>
      <c r="BE10" s="24">
        <f t="shared" si="3"/>
        <v>24760.994532138739</v>
      </c>
      <c r="BF10" s="24">
        <f t="shared" si="3"/>
        <v>24978.994532138739</v>
      </c>
      <c r="BG10" s="24">
        <f t="shared" si="3"/>
        <v>25067.994532138739</v>
      </c>
      <c r="BH10" s="24">
        <f t="shared" ref="BH10:BI10" si="5">SUM(BH3:BH9)</f>
        <v>24906.994532138739</v>
      </c>
      <c r="BI10" s="25">
        <f t="shared" si="5"/>
        <v>99714.978128554954</v>
      </c>
      <c r="BL10" s="109"/>
    </row>
    <row r="11" spans="1:64">
      <c r="A11" s="1" t="s">
        <v>4</v>
      </c>
      <c r="B11" s="34"/>
      <c r="C11" s="35"/>
      <c r="D11" s="35"/>
      <c r="E11" s="35"/>
      <c r="F11" s="36">
        <f>F10/Income_Statement_Annual!P10-1</f>
        <v>5.8967409268195992E-2</v>
      </c>
      <c r="G11" s="34">
        <f t="shared" ref="G11:Z11" si="6">G10/B10-1</f>
        <v>2.1806853582554409E-2</v>
      </c>
      <c r="H11" s="35">
        <f t="shared" si="6"/>
        <v>8.6379008271197932E-3</v>
      </c>
      <c r="I11" s="35">
        <f t="shared" si="6"/>
        <v>-7.5476807613447328E-2</v>
      </c>
      <c r="J11" s="35">
        <f t="shared" si="6"/>
        <v>-1.2174945912696744E-2</v>
      </c>
      <c r="K11" s="36">
        <f t="shared" si="6"/>
        <v>-1.6053852716565786E-2</v>
      </c>
      <c r="L11" s="34">
        <f t="shared" si="6"/>
        <v>-2.9648285613290914E-2</v>
      </c>
      <c r="M11" s="35">
        <f t="shared" si="6"/>
        <v>-6.8834578872954966E-2</v>
      </c>
      <c r="N11" s="35">
        <f t="shared" si="6"/>
        <v>1.3599464390325444E-2</v>
      </c>
      <c r="O11" s="35">
        <f t="shared" si="6"/>
        <v>6.3729279395344784E-2</v>
      </c>
      <c r="P11" s="36">
        <f t="shared" si="6"/>
        <v>-5.9849213818189417E-3</v>
      </c>
      <c r="Q11" s="34">
        <f t="shared" si="6"/>
        <v>6.4705614498429043E-2</v>
      </c>
      <c r="R11" s="35">
        <f t="shared" si="6"/>
        <v>5.2362153485749019E-2</v>
      </c>
      <c r="S11" s="35">
        <f t="shared" si="6"/>
        <v>3.8104281055195477E-2</v>
      </c>
      <c r="T11" s="35">
        <f t="shared" si="6"/>
        <v>0.14416633023819125</v>
      </c>
      <c r="U11" s="36">
        <f t="shared" si="6"/>
        <v>7.5761927557044917E-2</v>
      </c>
      <c r="V11" s="34">
        <f t="shared" si="6"/>
        <v>-1.9887092635360482E-2</v>
      </c>
      <c r="W11" s="35">
        <f t="shared" si="6"/>
        <v>-0.35068843268200178</v>
      </c>
      <c r="X11" s="35">
        <f t="shared" si="6"/>
        <v>-0.20544022906227632</v>
      </c>
      <c r="Y11" s="35">
        <f t="shared" si="6"/>
        <v>-0.3680180656998695</v>
      </c>
      <c r="Z11" s="36">
        <f t="shared" si="6"/>
        <v>-0.24294204317343537</v>
      </c>
      <c r="AA11" s="34">
        <f t="shared" ref="AA11:AM11" si="7">AA10/V10-1</f>
        <v>-0.26220709516952478</v>
      </c>
      <c r="AB11" s="35">
        <f t="shared" si="7"/>
        <v>-0.25039680020316168</v>
      </c>
      <c r="AC11" s="35">
        <f t="shared" si="7"/>
        <v>-0.29234234234234235</v>
      </c>
      <c r="AD11" s="35">
        <f t="shared" si="7"/>
        <v>-0.14555301211545979</v>
      </c>
      <c r="AE11" s="36">
        <f t="shared" si="7"/>
        <v>-0.24035057929178805</v>
      </c>
      <c r="AF11" s="35">
        <f t="shared" si="7"/>
        <v>-0.10001182872013248</v>
      </c>
      <c r="AG11" s="35">
        <f t="shared" si="7"/>
        <v>0.43965444228000328</v>
      </c>
      <c r="AH11" s="35">
        <f t="shared" si="7"/>
        <v>8.055732371454849E-2</v>
      </c>
      <c r="AI11" s="35">
        <f t="shared" si="7"/>
        <v>-3.3389963408259282E-2</v>
      </c>
      <c r="AJ11" s="36">
        <f t="shared" si="7"/>
        <v>7.0979057051480554E-2</v>
      </c>
      <c r="AK11" s="35">
        <f t="shared" si="7"/>
        <v>-8.0567786028783561E-2</v>
      </c>
      <c r="AL11" s="35">
        <f>AL10/AG10-1</f>
        <v>-1.8649252853276899E-2</v>
      </c>
      <c r="AM11" s="35">
        <f t="shared" si="7"/>
        <v>4.4377536326744238E-2</v>
      </c>
      <c r="AN11" s="35">
        <f>AN10/AI10-1</f>
        <v>0.35063881565605359</v>
      </c>
      <c r="AO11" s="36">
        <f>AO10/AJ10-1</f>
        <v>6.9389589956009301E-2</v>
      </c>
      <c r="AP11" s="35">
        <f t="shared" ref="AP11" si="8">AP10/AK10-1</f>
        <v>0.28089486098205985</v>
      </c>
      <c r="AQ11" s="35">
        <f>AQ10/AL10-1</f>
        <v>0.18404172411725916</v>
      </c>
      <c r="AR11" s="35">
        <f t="shared" ref="AR11" si="9">AR10/AM10-1</f>
        <v>0.13462020556530452</v>
      </c>
      <c r="AS11" s="35">
        <f>AS10/AN10-1</f>
        <v>0.10200200200200205</v>
      </c>
      <c r="AT11" s="36">
        <f>AT10/AO10-1</f>
        <v>0.16793778525102088</v>
      </c>
      <c r="AU11" s="35">
        <f t="shared" ref="AU11" si="10">AU10/AP10-1</f>
        <v>-7.5442218626192714E-2</v>
      </c>
      <c r="AV11" s="35">
        <f>AV10/AQ10-1</f>
        <v>-0.14606855349096248</v>
      </c>
      <c r="AW11" s="35">
        <f t="shared" ref="AW11" si="11">AW10/AR10-1</f>
        <v>-1.4582412726469318E-2</v>
      </c>
      <c r="AX11" s="35">
        <f>AX10/AS10-1</f>
        <v>-0.30774820601326192</v>
      </c>
      <c r="AY11" s="36">
        <f>AY10/AT10-1</f>
        <v>-0.14495976553461709</v>
      </c>
      <c r="AZ11" s="35">
        <f t="shared" ref="AZ11" si="12">AZ10/AU10-1</f>
        <v>0.17665519946888764</v>
      </c>
      <c r="BA11" s="35">
        <f t="shared" ref="BA11:BB11" si="13">BA10/AV10-1</f>
        <v>0.3488082532906438</v>
      </c>
      <c r="BB11" s="35">
        <f t="shared" si="13"/>
        <v>0.30437219730941711</v>
      </c>
      <c r="BC11" s="35">
        <f>BC10/AX10-1</f>
        <v>0.57118488387350741</v>
      </c>
      <c r="BD11" s="36">
        <f>BD10/AY10-1</f>
        <v>0.34496444517942781</v>
      </c>
      <c r="BE11" s="35">
        <f t="shared" ref="BE11:BG11" si="14">BE10/AZ10-1</f>
        <v>0.27005511551799022</v>
      </c>
      <c r="BF11" s="35">
        <f t="shared" si="14"/>
        <v>9.8026046513637555E-2</v>
      </c>
      <c r="BG11" s="35">
        <f t="shared" si="14"/>
        <v>7.7266632236301591E-2</v>
      </c>
      <c r="BH11" s="35">
        <f>BH10/BC10-1</f>
        <v>4.0044869389457949E-2</v>
      </c>
      <c r="BI11" s="36">
        <f>BI10/BD10-1</f>
        <v>0.11459461597034482</v>
      </c>
      <c r="BK11" s="227"/>
      <c r="BL11" s="109"/>
    </row>
    <row r="12" spans="1:64">
      <c r="F12" s="27"/>
      <c r="K12" s="27"/>
      <c r="P12" s="27"/>
      <c r="U12" s="27"/>
      <c r="Z12" s="27"/>
      <c r="AE12" s="27"/>
      <c r="AJ12" s="27"/>
      <c r="AO12" s="27"/>
      <c r="AT12" s="27"/>
      <c r="AY12" s="27"/>
      <c r="BD12" s="27"/>
      <c r="BI12" s="27"/>
      <c r="BL12" s="109"/>
    </row>
    <row r="13" spans="1:64">
      <c r="A13" s="1" t="s">
        <v>299</v>
      </c>
      <c r="B13" s="37">
        <f>+BCA_Qtr!B19</f>
        <v>0</v>
      </c>
      <c r="C13" s="37">
        <f>+BCA_Qtr!C19</f>
        <v>0</v>
      </c>
      <c r="D13" s="37">
        <f>+BCA_Qtr!D19</f>
        <v>0</v>
      </c>
      <c r="E13" s="37">
        <f>+BCA_Qtr!E19</f>
        <v>0</v>
      </c>
      <c r="F13" s="38">
        <f>+BCA_Qtr!F19</f>
        <v>0</v>
      </c>
      <c r="G13" s="37">
        <f>+BCA_Qtr!G19</f>
        <v>792</v>
      </c>
      <c r="H13" s="37">
        <f>+BCA_Qtr!H19</f>
        <v>-1281</v>
      </c>
      <c r="I13" s="37">
        <f>+BCA_Qtr!I19</f>
        <v>1293</v>
      </c>
      <c r="J13" s="37">
        <f>+BCA_Qtr!J19</f>
        <v>1191</v>
      </c>
      <c r="K13" s="38">
        <f>+BCA_Qtr!K19</f>
        <v>1995</v>
      </c>
      <c r="L13" s="37">
        <f>+BCA_Qtr!L19</f>
        <v>870</v>
      </c>
      <c r="M13" s="37">
        <f>+BCA_Qtr!M19</f>
        <v>1282</v>
      </c>
      <c r="N13" s="37">
        <f>+BCA_Qtr!N19</f>
        <v>1513</v>
      </c>
      <c r="O13" s="37">
        <f>+BCA_Qtr!O19</f>
        <v>1787</v>
      </c>
      <c r="P13" s="38">
        <f>+BCA_Qtr!P19</f>
        <v>5452</v>
      </c>
      <c r="Q13" s="37">
        <f>+BCA_Qtr!Q19</f>
        <v>1412</v>
      </c>
      <c r="R13" s="37">
        <f>+BCA_Qtr!R19</f>
        <v>1785</v>
      </c>
      <c r="S13" s="37">
        <f>+BCA_Qtr!S19</f>
        <v>2033</v>
      </c>
      <c r="T13" s="37">
        <f>+BCA_Qtr!T19</f>
        <v>2600</v>
      </c>
      <c r="U13" s="38">
        <f>+BCA_Qtr!U19</f>
        <v>7830</v>
      </c>
      <c r="V13" s="37">
        <f>+BCA_Qtr!V19</f>
        <v>1173</v>
      </c>
      <c r="W13" s="37">
        <f>+BCA_Qtr!W19</f>
        <v>-4946</v>
      </c>
      <c r="X13" s="37">
        <f>+BCA_Qtr!X19</f>
        <v>-40</v>
      </c>
      <c r="Y13" s="37">
        <f>+BCA_Qtr!Y19</f>
        <v>-2844</v>
      </c>
      <c r="Z13" s="38">
        <f>+BCA_Qtr!Z19</f>
        <v>-6657</v>
      </c>
      <c r="AA13" s="37">
        <f>+BCA_Qtr!AA19</f>
        <v>-2068</v>
      </c>
      <c r="AB13" s="37">
        <f>+BCA_Qtr!AB19</f>
        <v>-2762</v>
      </c>
      <c r="AC13" s="37">
        <f>+BCA_Qtr!AC19</f>
        <v>-1369</v>
      </c>
      <c r="AD13" s="37">
        <f>+BCA_Qtr!AD19</f>
        <v>-7648</v>
      </c>
      <c r="AE13" s="38">
        <f>+BCA_Qtr!AE19</f>
        <v>-13847</v>
      </c>
      <c r="AF13" s="37">
        <f>+BCA_Qtr!AF19</f>
        <v>-856</v>
      </c>
      <c r="AG13" s="37">
        <f>+BCA_Qtr!AG19</f>
        <v>-472</v>
      </c>
      <c r="AH13" s="37">
        <f>+BCA_Qtr!AH19</f>
        <v>-693</v>
      </c>
      <c r="AI13" s="37">
        <f>+BCA_Qtr!AI19</f>
        <v>-4454</v>
      </c>
      <c r="AJ13" s="38">
        <f>+BCA_Qtr!AJ19</f>
        <v>-6475</v>
      </c>
      <c r="AK13" s="37">
        <f>+BCA_Qtr!AK19</f>
        <v>-859</v>
      </c>
      <c r="AL13" s="37">
        <f>+BCA_Qtr!AL19</f>
        <v>-242</v>
      </c>
      <c r="AM13" s="37">
        <f>+BCA_Qtr!AM19</f>
        <v>-643</v>
      </c>
      <c r="AN13" s="37">
        <f>+BCA_Qtr!AN19</f>
        <v>-626</v>
      </c>
      <c r="AO13" s="38">
        <f>+BCA_Qtr!AO19</f>
        <v>-2370</v>
      </c>
      <c r="AP13" s="37">
        <f>+BCA_Qtr!AP19</f>
        <v>-615</v>
      </c>
      <c r="AQ13" s="37">
        <f>+BCA_Qtr!AQ19</f>
        <v>-383</v>
      </c>
      <c r="AR13" s="37">
        <f>+BCA_Qtr!AR19</f>
        <v>-678</v>
      </c>
      <c r="AS13" s="37">
        <f>+BCA_Qtr!AS19</f>
        <v>41</v>
      </c>
      <c r="AT13" s="38">
        <f>+BCA_Qtr!AT19</f>
        <v>-1635</v>
      </c>
      <c r="AU13" s="37">
        <f>+BCA_Qtr!AU19</f>
        <v>-1143</v>
      </c>
      <c r="AV13" s="37">
        <f>+BCA_Qtr!AV19</f>
        <v>-715</v>
      </c>
      <c r="AW13" s="37">
        <f>+BCA_Qtr!AW19</f>
        <v>-4021</v>
      </c>
      <c r="AX13" s="37">
        <f>+BCA_Qtr!AX19</f>
        <v>-2090</v>
      </c>
      <c r="AY13" s="38">
        <f>+BCA_Qtr!AY19</f>
        <v>-7969</v>
      </c>
      <c r="AZ13" s="37">
        <f>+BCA_Qtr!AZ19</f>
        <v>-537</v>
      </c>
      <c r="BA13" s="37">
        <f>+BCA_Qtr!BA19</f>
        <v>-557</v>
      </c>
      <c r="BB13" s="37">
        <f>+BCA_Qtr!BB19</f>
        <v>-5353</v>
      </c>
      <c r="BC13" s="37">
        <f>+BCA_Qtr!BC19</f>
        <v>-632</v>
      </c>
      <c r="BD13" s="38">
        <f>+BCA_Qtr!BD19</f>
        <v>-7079</v>
      </c>
      <c r="BE13" s="37">
        <f>+BCA_Qtr!BE19</f>
        <v>-507.63126760563375</v>
      </c>
      <c r="BF13" s="37">
        <f>+BCA_Qtr!BF19</f>
        <v>-317.26954225352114</v>
      </c>
      <c r="BG13" s="37">
        <f>+BCA_Qtr!BG19</f>
        <v>-126.90781690140844</v>
      </c>
      <c r="BH13" s="37">
        <f>+BCA_Qtr!BH19</f>
        <v>-42.732453705988746</v>
      </c>
      <c r="BI13" s="38">
        <f>+BCA_Qtr!BI19</f>
        <v>-994.54108046655199</v>
      </c>
      <c r="BL13" s="109"/>
    </row>
    <row r="14" spans="1:64">
      <c r="A14" s="1" t="s">
        <v>325</v>
      </c>
      <c r="B14" s="37">
        <f>+BDS_Qtr!B19</f>
        <v>0</v>
      </c>
      <c r="C14" s="37">
        <f>+BDS_Qtr!C19</f>
        <v>0</v>
      </c>
      <c r="D14" s="37">
        <f>+BDS_Qtr!D19</f>
        <v>0</v>
      </c>
      <c r="E14" s="37">
        <f>+BDS_Qtr!E19</f>
        <v>0</v>
      </c>
      <c r="F14" s="38">
        <f>+BDS_Qtr!F19</f>
        <v>0</v>
      </c>
      <c r="G14" s="37">
        <f>+BDS_Qtr!G19</f>
        <v>517</v>
      </c>
      <c r="H14" s="37">
        <f>+BDS_Qtr!H19</f>
        <v>362</v>
      </c>
      <c r="I14" s="37">
        <f>+BDS_Qtr!I19</f>
        <v>564</v>
      </c>
      <c r="J14" s="37">
        <f>+BDS_Qtr!J19</f>
        <v>523</v>
      </c>
      <c r="K14" s="38">
        <f>+BDS_Qtr!K19</f>
        <v>1966</v>
      </c>
      <c r="L14" s="37">
        <f>+BDS_Qtr!L19</f>
        <v>549</v>
      </c>
      <c r="M14" s="37">
        <f>+BDS_Qtr!M19</f>
        <v>614</v>
      </c>
      <c r="N14" s="37">
        <f>+BDS_Qtr!N19</f>
        <v>486</v>
      </c>
      <c r="O14" s="37">
        <f>+BDS_Qtr!O19</f>
        <v>544</v>
      </c>
      <c r="P14" s="38">
        <f>+BDS_Qtr!P19</f>
        <v>2193</v>
      </c>
      <c r="Q14" s="37">
        <f>+BDS_Qtr!Q19</f>
        <v>757</v>
      </c>
      <c r="R14" s="37">
        <f>+BDS_Qtr!R19</f>
        <v>376</v>
      </c>
      <c r="S14" s="37">
        <f>+BDS_Qtr!S19</f>
        <v>-247</v>
      </c>
      <c r="T14" s="37">
        <f>+BDS_Qtr!T19</f>
        <v>771</v>
      </c>
      <c r="U14" s="38">
        <f>+BDS_Qtr!U19</f>
        <v>1657</v>
      </c>
      <c r="V14" s="37">
        <f>+BDS_Qtr!V19</f>
        <v>852</v>
      </c>
      <c r="W14" s="37">
        <f>+BDS_Qtr!W19</f>
        <v>975</v>
      </c>
      <c r="X14" s="37">
        <f>+BDS_Qtr!X19</f>
        <v>755</v>
      </c>
      <c r="Y14" s="37">
        <f>+BDS_Qtr!Y19</f>
        <v>26</v>
      </c>
      <c r="Z14" s="38">
        <f>+BDS_Qtr!Z19</f>
        <v>2608</v>
      </c>
      <c r="AA14" s="37">
        <f>+BDS_Qtr!AA19</f>
        <v>-191</v>
      </c>
      <c r="AB14" s="37">
        <f>+BDS_Qtr!AB19</f>
        <v>600</v>
      </c>
      <c r="AC14" s="37">
        <f>+BDS_Qtr!AC19</f>
        <v>628</v>
      </c>
      <c r="AD14" s="37">
        <f>+BDS_Qtr!AD19</f>
        <v>502</v>
      </c>
      <c r="AE14" s="38">
        <f>+BDS_Qtr!AE19</f>
        <v>1539</v>
      </c>
      <c r="AF14" s="37">
        <f>+BDS_Qtr!AF19</f>
        <v>405</v>
      </c>
      <c r="AG14" s="37">
        <f>+BDS_Qtr!AG19</f>
        <v>958</v>
      </c>
      <c r="AH14" s="37">
        <f>+BDS_Qtr!AH19</f>
        <v>436</v>
      </c>
      <c r="AI14" s="37">
        <f>+BDS_Qtr!AI19</f>
        <v>-255</v>
      </c>
      <c r="AJ14" s="38">
        <f>+BDS_Qtr!AJ19</f>
        <v>1544</v>
      </c>
      <c r="AK14" s="37">
        <f>+BDS_Qtr!AK19</f>
        <v>-929</v>
      </c>
      <c r="AL14" s="37">
        <f>+BDS_Qtr!AL19</f>
        <v>71</v>
      </c>
      <c r="AM14" s="37">
        <f>+BDS_Qtr!AM19</f>
        <v>-2798</v>
      </c>
      <c r="AN14" s="37">
        <f>+BDS_Qtr!AN19</f>
        <v>112</v>
      </c>
      <c r="AO14" s="38">
        <f>+BDS_Qtr!AO19</f>
        <v>-3544</v>
      </c>
      <c r="AP14" s="37">
        <f>+BDS_Qtr!AP19</f>
        <v>-212</v>
      </c>
      <c r="AQ14" s="37">
        <f>+BDS_Qtr!AQ19</f>
        <v>-527</v>
      </c>
      <c r="AR14" s="37">
        <f>+BDS_Qtr!AR19</f>
        <v>-924</v>
      </c>
      <c r="AS14" s="37">
        <f>+BDS_Qtr!AS19</f>
        <v>-101</v>
      </c>
      <c r="AT14" s="38">
        <f>+BDS_Qtr!AT19</f>
        <v>-1764</v>
      </c>
      <c r="AU14" s="37">
        <f>+BDS_Qtr!AU19</f>
        <v>151</v>
      </c>
      <c r="AV14" s="37">
        <f>+BDS_Qtr!AV19</f>
        <v>-913</v>
      </c>
      <c r="AW14" s="37">
        <f>+BDS_Qtr!AW19</f>
        <v>-2384</v>
      </c>
      <c r="AX14" s="37">
        <f>+BDS_Qtr!AX19</f>
        <v>-2267</v>
      </c>
      <c r="AY14" s="38">
        <f>+BDS_Qtr!AY19</f>
        <v>-5413</v>
      </c>
      <c r="AZ14" s="37">
        <f>+BDS_Qtr!AZ19</f>
        <v>155</v>
      </c>
      <c r="BA14" s="37">
        <f>+BDS_Qtr!BA19</f>
        <v>110</v>
      </c>
      <c r="BB14" s="37">
        <f>+BDS_Qtr!BB19</f>
        <v>114</v>
      </c>
      <c r="BC14" s="37">
        <f>+BDS_Qtr!BC19</f>
        <v>-507</v>
      </c>
      <c r="BD14" s="38">
        <f>+BDS_Qtr!BD19</f>
        <v>-128</v>
      </c>
      <c r="BE14" s="37">
        <f>+BDS_Qtr!BE19</f>
        <v>141.1442568399579</v>
      </c>
      <c r="BF14" s="37">
        <f>+BDS_Qtr!BF19</f>
        <v>211.71638525993683</v>
      </c>
      <c r="BG14" s="37">
        <f>+BDS_Qtr!BG19</f>
        <v>211.71638525993683</v>
      </c>
      <c r="BH14" s="37">
        <f>+BDS_Qtr!BH19</f>
        <v>232.2395371384149</v>
      </c>
      <c r="BI14" s="38">
        <f>+BDS_Qtr!BI19</f>
        <v>796.81656449824652</v>
      </c>
      <c r="BL14" s="109"/>
    </row>
    <row r="15" spans="1:64">
      <c r="A15" s="1" t="s">
        <v>300</v>
      </c>
      <c r="B15" s="37">
        <f>+BGS_Qtr!B19</f>
        <v>0</v>
      </c>
      <c r="C15" s="37">
        <f>+BGS_Qtr!C19</f>
        <v>0</v>
      </c>
      <c r="D15" s="37">
        <f>+BGS_Qtr!D19</f>
        <v>0</v>
      </c>
      <c r="E15" s="37">
        <f>+BGS_Qtr!E19</f>
        <v>0</v>
      </c>
      <c r="F15" s="38">
        <f>+BGS_Qtr!F19</f>
        <v>0</v>
      </c>
      <c r="G15" s="37">
        <f>+BGS_Qtr!G19</f>
        <v>546</v>
      </c>
      <c r="H15" s="37">
        <f>+BGS_Qtr!H19</f>
        <v>539</v>
      </c>
      <c r="I15" s="37">
        <f>+BGS_Qtr!I19</f>
        <v>524</v>
      </c>
      <c r="J15" s="37">
        <f>+BGS_Qtr!J19</f>
        <v>568</v>
      </c>
      <c r="K15" s="38">
        <f>+BGS_Qtr!K19</f>
        <v>2177</v>
      </c>
      <c r="L15" s="37">
        <f>+BGS_Qtr!L19</f>
        <v>623</v>
      </c>
      <c r="M15" s="37">
        <f>+BGS_Qtr!M19</f>
        <v>569</v>
      </c>
      <c r="N15" s="37">
        <f>+BGS_Qtr!N19</f>
        <v>495</v>
      </c>
      <c r="O15" s="37">
        <f>+BGS_Qtr!O19</f>
        <v>559</v>
      </c>
      <c r="P15" s="38">
        <f>+BGS_Qtr!P19</f>
        <v>2246</v>
      </c>
      <c r="Q15" s="37">
        <f>+BGS_Qtr!Q19</f>
        <v>647</v>
      </c>
      <c r="R15" s="37">
        <f>+BGS_Qtr!R19</f>
        <v>604</v>
      </c>
      <c r="S15" s="37">
        <f>+BGS_Qtr!S19</f>
        <v>548</v>
      </c>
      <c r="T15" s="37">
        <f>+BGS_Qtr!T19</f>
        <v>737</v>
      </c>
      <c r="U15" s="38">
        <f>+BGS_Qtr!U19</f>
        <v>2536</v>
      </c>
      <c r="V15" s="37">
        <f>+BGS_Qtr!V19</f>
        <v>653</v>
      </c>
      <c r="W15" s="37">
        <f>+BGS_Qtr!W19</f>
        <v>687</v>
      </c>
      <c r="X15" s="37">
        <f>+BGS_Qtr!X19</f>
        <v>673</v>
      </c>
      <c r="Y15" s="37">
        <f>+BGS_Qtr!Y19</f>
        <v>684</v>
      </c>
      <c r="Z15" s="38">
        <f>+BGS_Qtr!Z19</f>
        <v>2697</v>
      </c>
      <c r="AA15" s="37">
        <f>+BGS_Qtr!AA19</f>
        <v>708</v>
      </c>
      <c r="AB15" s="37">
        <f>+BGS_Qtr!AB19</f>
        <v>-672</v>
      </c>
      <c r="AC15" s="37">
        <f>+BGS_Qtr!AC19</f>
        <v>271</v>
      </c>
      <c r="AD15" s="37">
        <f>+BGS_Qtr!AD19</f>
        <v>143</v>
      </c>
      <c r="AE15" s="38">
        <f>+BGS_Qtr!AE19</f>
        <v>450</v>
      </c>
      <c r="AF15" s="37">
        <f>+BGS_Qtr!AF19</f>
        <v>441</v>
      </c>
      <c r="AG15" s="37">
        <f>+BGS_Qtr!AG19</f>
        <v>531</v>
      </c>
      <c r="AH15" s="37">
        <f>+BGS_Qtr!AH19</f>
        <v>644</v>
      </c>
      <c r="AI15" s="37">
        <f>+BGS_Qtr!AI19</f>
        <v>401</v>
      </c>
      <c r="AJ15" s="38">
        <f>+BGS_Qtr!AJ19</f>
        <v>2017</v>
      </c>
      <c r="AK15" s="37">
        <f>+BGS_Qtr!AK19</f>
        <v>632</v>
      </c>
      <c r="AL15" s="37">
        <f>+BGS_Qtr!AL19</f>
        <v>728</v>
      </c>
      <c r="AM15" s="37">
        <f>+BGS_Qtr!AM19</f>
        <v>733</v>
      </c>
      <c r="AN15" s="37">
        <f>+BGS_Qtr!AN19</f>
        <v>634</v>
      </c>
      <c r="AO15" s="38">
        <f>+BGS_Qtr!AO19</f>
        <v>2727</v>
      </c>
      <c r="AP15" s="37">
        <f>+BGS_Qtr!AP19</f>
        <v>847</v>
      </c>
      <c r="AQ15" s="37">
        <f>+BGS_Qtr!AQ19</f>
        <v>856</v>
      </c>
      <c r="AR15" s="37">
        <f>+BGS_Qtr!AR19</f>
        <v>784</v>
      </c>
      <c r="AS15" s="37">
        <f>+BGS_Qtr!AS19</f>
        <v>842</v>
      </c>
      <c r="AT15" s="38">
        <f>+BGS_Qtr!AT19</f>
        <v>3329</v>
      </c>
      <c r="AU15" s="37">
        <f>+BGS_Qtr!AU19</f>
        <v>916</v>
      </c>
      <c r="AV15" s="37">
        <f>+BGS_Qtr!AV19</f>
        <v>870</v>
      </c>
      <c r="AW15" s="37">
        <f>+BGS_Qtr!AW19</f>
        <v>834</v>
      </c>
      <c r="AX15" s="37">
        <f>+BGS_Qtr!AX19</f>
        <v>998</v>
      </c>
      <c r="AY15" s="38">
        <f>+BGS_Qtr!AY19</f>
        <v>3618</v>
      </c>
      <c r="AZ15" s="37">
        <f>+BGS_Qtr!AZ19</f>
        <v>943</v>
      </c>
      <c r="BA15" s="37">
        <f>+BGS_Qtr!BA19</f>
        <v>1049</v>
      </c>
      <c r="BB15" s="37">
        <f>+BGS_Qtr!BB19</f>
        <v>938</v>
      </c>
      <c r="BC15" s="37">
        <f>+BGS_Qtr!BC19</f>
        <v>10544</v>
      </c>
      <c r="BD15" s="38">
        <f>+BGS_Qtr!BD19</f>
        <v>13474</v>
      </c>
      <c r="BE15" s="37">
        <f>+BGS_Qtr!BE19</f>
        <v>923.99749999999995</v>
      </c>
      <c r="BF15" s="37">
        <f>+BGS_Qtr!BF19</f>
        <v>963.78250000000003</v>
      </c>
      <c r="BG15" s="37">
        <f>+BGS_Qtr!BG19</f>
        <v>980.02499999999998</v>
      </c>
      <c r="BH15" s="37">
        <f>+BGS_Qtr!BH19</f>
        <v>950.64249999999993</v>
      </c>
      <c r="BI15" s="38">
        <f>+BGS_Qtr!BI19</f>
        <v>3818.4474999999998</v>
      </c>
      <c r="BL15" s="109"/>
    </row>
    <row r="16" spans="1:64" outlineLevel="1">
      <c r="A16" s="1" t="s">
        <v>301</v>
      </c>
      <c r="B16" s="37">
        <v>20</v>
      </c>
      <c r="C16" s="37">
        <v>11</v>
      </c>
      <c r="D16" s="37">
        <v>10</v>
      </c>
      <c r="E16" s="37">
        <v>9</v>
      </c>
      <c r="F16" s="38">
        <v>50</v>
      </c>
      <c r="G16" s="37">
        <v>5</v>
      </c>
      <c r="H16" s="37">
        <v>18</v>
      </c>
      <c r="I16" s="37">
        <v>13</v>
      </c>
      <c r="J16" s="37">
        <v>23</v>
      </c>
      <c r="K16" s="38">
        <v>59</v>
      </c>
      <c r="L16" s="37">
        <v>39</v>
      </c>
      <c r="M16" s="37">
        <v>25</v>
      </c>
      <c r="N16" s="37">
        <v>23</v>
      </c>
      <c r="O16" s="37">
        <v>27</v>
      </c>
      <c r="P16" s="38">
        <v>114</v>
      </c>
      <c r="Q16" s="37">
        <v>20</v>
      </c>
      <c r="R16" s="37">
        <v>24</v>
      </c>
      <c r="S16" s="37">
        <v>27</v>
      </c>
      <c r="T16" s="37">
        <v>8</v>
      </c>
      <c r="U16" s="38">
        <v>79</v>
      </c>
      <c r="V16" s="37">
        <v>20</v>
      </c>
      <c r="W16" s="37">
        <v>37</v>
      </c>
      <c r="X16" s="37">
        <v>29</v>
      </c>
      <c r="Y16" s="37">
        <v>-58</v>
      </c>
      <c r="Z16" s="38">
        <v>28</v>
      </c>
      <c r="AA16" s="37">
        <v>24</v>
      </c>
      <c r="AB16" s="37">
        <v>-7</v>
      </c>
      <c r="AC16" s="37">
        <v>30</v>
      </c>
      <c r="AD16" s="37">
        <v>16</v>
      </c>
      <c r="AE16" s="38">
        <v>63</v>
      </c>
      <c r="AF16" s="37">
        <v>21</v>
      </c>
      <c r="AG16" s="37">
        <v>36</v>
      </c>
      <c r="AH16" s="37">
        <v>42</v>
      </c>
      <c r="AI16" s="37">
        <v>7</v>
      </c>
      <c r="AJ16" s="38">
        <v>106</v>
      </c>
      <c r="AK16" s="37">
        <v>-36</v>
      </c>
      <c r="AL16" s="37">
        <v>27</v>
      </c>
      <c r="AM16" s="37">
        <v>23</v>
      </c>
      <c r="AN16" s="37">
        <v>15</v>
      </c>
      <c r="AO16" s="38">
        <v>29</v>
      </c>
      <c r="AP16" s="41"/>
      <c r="AQ16" s="37"/>
      <c r="AR16" s="37"/>
      <c r="AS16" s="37"/>
      <c r="AT16" s="38"/>
      <c r="AU16" s="41">
        <v>0</v>
      </c>
      <c r="AV16" s="41">
        <v>0</v>
      </c>
      <c r="AW16" s="41"/>
      <c r="AX16" s="37"/>
      <c r="AY16" s="38"/>
      <c r="AZ16" s="41">
        <v>0</v>
      </c>
      <c r="BA16" s="41">
        <v>0</v>
      </c>
      <c r="BB16" s="41">
        <v>0</v>
      </c>
      <c r="BC16" s="41">
        <v>0</v>
      </c>
      <c r="BD16" s="23">
        <f>SUM(AZ16:BC16)</f>
        <v>0</v>
      </c>
      <c r="BE16" s="41">
        <v>0</v>
      </c>
      <c r="BF16" s="41">
        <v>0</v>
      </c>
      <c r="BG16" s="41">
        <v>0</v>
      </c>
      <c r="BH16" s="41">
        <v>0</v>
      </c>
      <c r="BI16" s="23">
        <f>SUM(BE16:BH16)</f>
        <v>0</v>
      </c>
      <c r="BL16" s="109"/>
    </row>
    <row r="17" spans="1:74" outlineLevel="2">
      <c r="A17" s="1" t="s">
        <v>346</v>
      </c>
      <c r="B17" s="37">
        <v>1617</v>
      </c>
      <c r="C17" s="37">
        <v>1206</v>
      </c>
      <c r="D17" s="37">
        <v>1768</v>
      </c>
      <c r="E17" s="37">
        <v>566</v>
      </c>
      <c r="F17" s="38">
        <v>5157</v>
      </c>
      <c r="G17" s="41">
        <v>0</v>
      </c>
      <c r="H17" s="41">
        <v>0</v>
      </c>
      <c r="I17" s="41">
        <v>0</v>
      </c>
      <c r="J17" s="22">
        <f>K17-SUM(G17,H17,I17)</f>
        <v>0</v>
      </c>
      <c r="K17" s="43">
        <v>0</v>
      </c>
      <c r="L17" s="41">
        <v>0</v>
      </c>
      <c r="M17" s="41">
        <v>0</v>
      </c>
      <c r="N17" s="41">
        <v>0</v>
      </c>
      <c r="O17" s="22">
        <f>P17-SUM(L17,M17,N17)</f>
        <v>0</v>
      </c>
      <c r="P17" s="43">
        <v>0</v>
      </c>
      <c r="Q17" s="41">
        <v>0</v>
      </c>
      <c r="R17" s="41">
        <v>0</v>
      </c>
      <c r="S17" s="41">
        <v>0</v>
      </c>
      <c r="T17" s="22">
        <f>U17-SUM(Q17,R17,S17)</f>
        <v>0</v>
      </c>
      <c r="U17" s="43">
        <v>0</v>
      </c>
      <c r="V17" s="41">
        <v>0</v>
      </c>
      <c r="W17" s="41">
        <v>0</v>
      </c>
      <c r="X17" s="41">
        <v>0</v>
      </c>
      <c r="Y17" s="22">
        <f>Z17-SUM(V17,W17,X17)</f>
        <v>0</v>
      </c>
      <c r="Z17" s="43">
        <v>0</v>
      </c>
      <c r="AA17" s="41">
        <v>0</v>
      </c>
      <c r="AB17" s="41">
        <v>0</v>
      </c>
      <c r="AC17" s="41">
        <v>0</v>
      </c>
      <c r="AD17" s="41">
        <v>0</v>
      </c>
      <c r="AE17" s="23">
        <f>SUM(AA17:AD17)</f>
        <v>0</v>
      </c>
      <c r="AF17" s="41">
        <v>0</v>
      </c>
      <c r="AG17" s="41">
        <v>0</v>
      </c>
      <c r="AH17" s="41">
        <v>0</v>
      </c>
      <c r="AI17" s="41">
        <v>0</v>
      </c>
      <c r="AJ17" s="23">
        <f>SUM(AF17:AI17)</f>
        <v>0</v>
      </c>
      <c r="AK17" s="41">
        <v>0</v>
      </c>
      <c r="AL17" s="41">
        <v>0</v>
      </c>
      <c r="AM17" s="41">
        <v>0</v>
      </c>
      <c r="AN17" s="41">
        <v>0</v>
      </c>
      <c r="AO17" s="23">
        <f>SUM(AK17:AN17)</f>
        <v>0</v>
      </c>
      <c r="AP17" s="41"/>
      <c r="AQ17" s="41"/>
      <c r="AR17" s="41"/>
      <c r="AS17" s="41"/>
      <c r="AT17" s="23">
        <f>SUM(AP17:AS17)</f>
        <v>0</v>
      </c>
      <c r="AU17" s="41">
        <v>0</v>
      </c>
      <c r="AV17" s="41">
        <v>0</v>
      </c>
      <c r="AW17" s="41"/>
      <c r="AX17" s="41"/>
      <c r="AY17" s="23">
        <f>SUM(AU17:AX17)</f>
        <v>0</v>
      </c>
      <c r="AZ17" s="41">
        <v>0</v>
      </c>
      <c r="BA17" s="41">
        <v>0</v>
      </c>
      <c r="BB17" s="41">
        <v>0</v>
      </c>
      <c r="BC17" s="41">
        <v>0</v>
      </c>
      <c r="BD17" s="23">
        <f>SUM(AZ17:BC17)</f>
        <v>0</v>
      </c>
      <c r="BE17" s="41">
        <v>0</v>
      </c>
      <c r="BF17" s="41">
        <v>0</v>
      </c>
      <c r="BG17" s="41">
        <v>0</v>
      </c>
      <c r="BH17" s="41">
        <v>0</v>
      </c>
      <c r="BI17" s="23">
        <f>SUM(BE17:BH17)</f>
        <v>0</v>
      </c>
      <c r="BL17" s="109"/>
    </row>
    <row r="18" spans="1:74" outlineLevel="2">
      <c r="A18" s="1" t="s">
        <v>347</v>
      </c>
      <c r="B18" s="37">
        <v>743</v>
      </c>
      <c r="C18" s="37">
        <v>546</v>
      </c>
      <c r="D18" s="37">
        <v>1022</v>
      </c>
      <c r="E18" s="37">
        <v>963</v>
      </c>
      <c r="F18" s="38">
        <v>3274</v>
      </c>
      <c r="G18" s="41">
        <v>0</v>
      </c>
      <c r="H18" s="41">
        <v>0</v>
      </c>
      <c r="I18" s="41">
        <v>0</v>
      </c>
      <c r="J18" s="22">
        <f>K18-SUM(G18,H18,I18)</f>
        <v>0</v>
      </c>
      <c r="K18" s="43">
        <v>0</v>
      </c>
      <c r="L18" s="41">
        <v>0</v>
      </c>
      <c r="M18" s="41">
        <v>0</v>
      </c>
      <c r="N18" s="41">
        <v>0</v>
      </c>
      <c r="O18" s="22">
        <f>P18-SUM(L18,M18,N18)</f>
        <v>0</v>
      </c>
      <c r="P18" s="43">
        <v>0</v>
      </c>
      <c r="Q18" s="41">
        <v>0</v>
      </c>
      <c r="R18" s="41">
        <v>0</v>
      </c>
      <c r="S18" s="41">
        <v>0</v>
      </c>
      <c r="T18" s="22">
        <f>U18-SUM(Q18,R18,S18)</f>
        <v>0</v>
      </c>
      <c r="U18" s="43">
        <v>0</v>
      </c>
      <c r="V18" s="41">
        <v>0</v>
      </c>
      <c r="W18" s="41">
        <v>0</v>
      </c>
      <c r="X18" s="41">
        <v>0</v>
      </c>
      <c r="Y18" s="22">
        <f>Z18-SUM(V18,W18,X18)</f>
        <v>0</v>
      </c>
      <c r="Z18" s="43">
        <v>0</v>
      </c>
      <c r="AA18" s="41">
        <v>0</v>
      </c>
      <c r="AB18" s="41">
        <v>0</v>
      </c>
      <c r="AC18" s="41">
        <v>0</v>
      </c>
      <c r="AD18" s="41">
        <v>0</v>
      </c>
      <c r="AE18" s="23">
        <f>SUM(AA18:AD18)</f>
        <v>0</v>
      </c>
      <c r="AF18" s="41">
        <v>0</v>
      </c>
      <c r="AG18" s="41">
        <v>0</v>
      </c>
      <c r="AH18" s="41">
        <v>0</v>
      </c>
      <c r="AI18" s="41">
        <v>0</v>
      </c>
      <c r="AJ18" s="23">
        <f>SUM(AF18:AI18)</f>
        <v>0</v>
      </c>
      <c r="AK18" s="41">
        <v>0</v>
      </c>
      <c r="AL18" s="41">
        <v>0</v>
      </c>
      <c r="AM18" s="41">
        <v>0</v>
      </c>
      <c r="AN18" s="41">
        <v>0</v>
      </c>
      <c r="AO18" s="23">
        <f>SUM(AK18:AN18)</f>
        <v>0</v>
      </c>
      <c r="AP18" s="41"/>
      <c r="AQ18" s="41"/>
      <c r="AR18" s="41"/>
      <c r="AS18" s="41"/>
      <c r="AT18" s="23">
        <f>SUM(AP18:AS18)</f>
        <v>0</v>
      </c>
      <c r="AU18" s="41">
        <v>0</v>
      </c>
      <c r="AV18" s="41">
        <v>0</v>
      </c>
      <c r="AW18" s="41"/>
      <c r="AX18" s="41"/>
      <c r="AY18" s="23">
        <f>SUM(AU18:AX18)</f>
        <v>0</v>
      </c>
      <c r="AZ18" s="41">
        <v>0</v>
      </c>
      <c r="BA18" s="41">
        <v>0</v>
      </c>
      <c r="BB18" s="41">
        <v>0</v>
      </c>
      <c r="BC18" s="41">
        <v>0</v>
      </c>
      <c r="BD18" s="23">
        <f>SUM(AZ18:BC18)</f>
        <v>0</v>
      </c>
      <c r="BE18" s="41">
        <v>0</v>
      </c>
      <c r="BF18" s="41">
        <v>0</v>
      </c>
      <c r="BG18" s="41">
        <v>0</v>
      </c>
      <c r="BH18" s="41">
        <v>0</v>
      </c>
      <c r="BI18" s="23">
        <f>SUM(BE18:BH18)</f>
        <v>0</v>
      </c>
      <c r="BL18" s="109"/>
    </row>
    <row r="19" spans="1:74">
      <c r="A19" s="1" t="s">
        <v>298</v>
      </c>
      <c r="B19" s="41">
        <v>0</v>
      </c>
      <c r="C19" s="41">
        <v>0</v>
      </c>
      <c r="D19" s="41">
        <v>0</v>
      </c>
      <c r="E19" s="22">
        <f>F19-SUM(B19,C19,D19)</f>
        <v>0</v>
      </c>
      <c r="F19" s="43">
        <v>0</v>
      </c>
      <c r="G19" s="41">
        <v>0</v>
      </c>
      <c r="H19" s="41">
        <v>0</v>
      </c>
      <c r="I19" s="41">
        <v>0</v>
      </c>
      <c r="J19" s="22">
        <f>K19-SUM(G19,H19,I19)</f>
        <v>0</v>
      </c>
      <c r="K19" s="43">
        <v>0</v>
      </c>
      <c r="L19" s="41">
        <v>0</v>
      </c>
      <c r="M19" s="41">
        <v>0</v>
      </c>
      <c r="N19" s="41">
        <v>0</v>
      </c>
      <c r="O19" s="22">
        <f>P19-SUM(L19,M19,N19)</f>
        <v>0</v>
      </c>
      <c r="P19" s="43">
        <v>0</v>
      </c>
      <c r="Q19" s="41">
        <v>0</v>
      </c>
      <c r="R19" s="41">
        <v>0</v>
      </c>
      <c r="S19" s="41">
        <v>0</v>
      </c>
      <c r="T19" s="22">
        <f>U19-SUM(Q19,R19,S19)</f>
        <v>0</v>
      </c>
      <c r="U19" s="43">
        <v>0</v>
      </c>
      <c r="V19" s="41">
        <v>0</v>
      </c>
      <c r="W19" s="41">
        <v>0</v>
      </c>
      <c r="X19" s="41">
        <v>0</v>
      </c>
      <c r="Y19" s="22">
        <f>Z19-SUM(V19,W19,X19)</f>
        <v>0</v>
      </c>
      <c r="Z19" s="43">
        <v>0</v>
      </c>
      <c r="AA19" s="41">
        <v>0</v>
      </c>
      <c r="AB19" s="41">
        <v>0</v>
      </c>
      <c r="AC19" s="41">
        <v>0</v>
      </c>
      <c r="AD19" s="41">
        <v>0</v>
      </c>
      <c r="AE19" s="23">
        <f>SUM(AA19:AD19)</f>
        <v>0</v>
      </c>
      <c r="AF19" s="41">
        <v>0</v>
      </c>
      <c r="AG19" s="41">
        <v>0</v>
      </c>
      <c r="AH19" s="41">
        <v>0</v>
      </c>
      <c r="AI19" s="41">
        <v>0</v>
      </c>
      <c r="AJ19" s="23">
        <f>SUM(AF19:AI19)</f>
        <v>0</v>
      </c>
      <c r="AK19" s="41">
        <v>0</v>
      </c>
      <c r="AL19" s="41">
        <v>0</v>
      </c>
      <c r="AM19" s="41">
        <v>0</v>
      </c>
      <c r="AN19" s="22">
        <f>AO19-SUM(AK19:AM19)</f>
        <v>0</v>
      </c>
      <c r="AO19" s="43">
        <v>0</v>
      </c>
      <c r="AP19" s="41">
        <v>0</v>
      </c>
      <c r="AQ19" s="41">
        <v>0</v>
      </c>
      <c r="AR19" s="41">
        <v>0</v>
      </c>
      <c r="AS19" s="22">
        <f>AT19-SUM(AP19:AR19)</f>
        <v>0</v>
      </c>
      <c r="AT19" s="43">
        <v>0</v>
      </c>
      <c r="AU19" s="41">
        <v>0</v>
      </c>
      <c r="AV19" s="41">
        <v>0</v>
      </c>
      <c r="AW19" s="41">
        <v>0</v>
      </c>
      <c r="AX19" s="22">
        <f>AY19-SUM(AU19:AW19)</f>
        <v>0</v>
      </c>
      <c r="AY19" s="43">
        <v>0</v>
      </c>
      <c r="AZ19" s="41">
        <v>0</v>
      </c>
      <c r="BA19" s="41">
        <v>0</v>
      </c>
      <c r="BB19" s="41">
        <v>0</v>
      </c>
      <c r="BC19" s="22">
        <f>BD19-SUM(AZ19:BB19)</f>
        <v>0</v>
      </c>
      <c r="BD19" s="43">
        <v>0</v>
      </c>
      <c r="BE19" s="41">
        <v>0</v>
      </c>
      <c r="BF19" s="41">
        <v>0</v>
      </c>
      <c r="BG19" s="41">
        <v>0</v>
      </c>
      <c r="BH19" s="22">
        <f>BI19-SUM(BE19:BG19)</f>
        <v>0</v>
      </c>
      <c r="BI19" s="43">
        <v>0</v>
      </c>
      <c r="BL19" s="109"/>
    </row>
    <row r="20" spans="1:74">
      <c r="A20" s="5" t="s">
        <v>16</v>
      </c>
      <c r="B20" s="77">
        <f t="shared" ref="B20:AJ20" si="15">SUM(B13:B19)</f>
        <v>2380</v>
      </c>
      <c r="C20" s="77">
        <f t="shared" si="15"/>
        <v>1763</v>
      </c>
      <c r="D20" s="77">
        <f t="shared" si="15"/>
        <v>2800</v>
      </c>
      <c r="E20" s="77">
        <f t="shared" si="15"/>
        <v>1538</v>
      </c>
      <c r="F20" s="78">
        <f t="shared" si="15"/>
        <v>8481</v>
      </c>
      <c r="G20" s="77">
        <f t="shared" si="15"/>
        <v>1860</v>
      </c>
      <c r="H20" s="77">
        <f t="shared" si="15"/>
        <v>-362</v>
      </c>
      <c r="I20" s="77">
        <f t="shared" si="15"/>
        <v>2394</v>
      </c>
      <c r="J20" s="77">
        <f t="shared" si="15"/>
        <v>2305</v>
      </c>
      <c r="K20" s="78">
        <f t="shared" si="15"/>
        <v>6197</v>
      </c>
      <c r="L20" s="77">
        <f t="shared" si="15"/>
        <v>2081</v>
      </c>
      <c r="M20" s="77">
        <f t="shared" si="15"/>
        <v>2490</v>
      </c>
      <c r="N20" s="77">
        <f t="shared" si="15"/>
        <v>2517</v>
      </c>
      <c r="O20" s="77">
        <f t="shared" si="15"/>
        <v>2917</v>
      </c>
      <c r="P20" s="78">
        <f t="shared" si="15"/>
        <v>10005</v>
      </c>
      <c r="Q20" s="77">
        <f t="shared" si="15"/>
        <v>2836</v>
      </c>
      <c r="R20" s="77">
        <f t="shared" si="15"/>
        <v>2789</v>
      </c>
      <c r="S20" s="77">
        <f t="shared" si="15"/>
        <v>2361</v>
      </c>
      <c r="T20" s="77">
        <f t="shared" si="15"/>
        <v>4116</v>
      </c>
      <c r="U20" s="78">
        <f t="shared" si="15"/>
        <v>12102</v>
      </c>
      <c r="V20" s="77">
        <f t="shared" si="15"/>
        <v>2698</v>
      </c>
      <c r="W20" s="77">
        <f t="shared" si="15"/>
        <v>-3247</v>
      </c>
      <c r="X20" s="77">
        <f t="shared" si="15"/>
        <v>1417</v>
      </c>
      <c r="Y20" s="77">
        <f t="shared" si="15"/>
        <v>-2192</v>
      </c>
      <c r="Z20" s="78">
        <f t="shared" si="15"/>
        <v>-1324</v>
      </c>
      <c r="AA20" s="77">
        <f t="shared" si="15"/>
        <v>-1527</v>
      </c>
      <c r="AB20" s="77">
        <f t="shared" si="15"/>
        <v>-2841</v>
      </c>
      <c r="AC20" s="77">
        <f t="shared" si="15"/>
        <v>-440</v>
      </c>
      <c r="AD20" s="77">
        <f>SUM(AD13:AD19)</f>
        <v>-6987</v>
      </c>
      <c r="AE20" s="78">
        <f t="shared" si="15"/>
        <v>-11795</v>
      </c>
      <c r="AF20" s="77">
        <f t="shared" si="15"/>
        <v>11</v>
      </c>
      <c r="AG20" s="77">
        <f t="shared" si="15"/>
        <v>1053</v>
      </c>
      <c r="AH20" s="77">
        <f t="shared" si="15"/>
        <v>429</v>
      </c>
      <c r="AI20" s="77">
        <f t="shared" si="15"/>
        <v>-4301</v>
      </c>
      <c r="AJ20" s="78">
        <f t="shared" si="15"/>
        <v>-2808</v>
      </c>
      <c r="AK20" s="77">
        <f>SUM(AK13:AK19)</f>
        <v>-1192</v>
      </c>
      <c r="AL20" s="77">
        <f>SUM(AL13:AL19)</f>
        <v>584</v>
      </c>
      <c r="AM20" s="77">
        <f>SUM(AM13:AM19)</f>
        <v>-2685</v>
      </c>
      <c r="AN20" s="77">
        <f>SUM(AN13:AN19)</f>
        <v>135</v>
      </c>
      <c r="AO20" s="78">
        <f>SUM(AO13:AO19)</f>
        <v>-3158</v>
      </c>
      <c r="AP20" s="77">
        <f t="shared" ref="AP20" si="16">SUM(AP13:AP19)</f>
        <v>20</v>
      </c>
      <c r="AQ20" s="77">
        <f>SUM(AQ13:AQ19)</f>
        <v>-54</v>
      </c>
      <c r="AR20" s="77">
        <f>SUM(AR13:AR19)</f>
        <v>-818</v>
      </c>
      <c r="AS20" s="77">
        <f>SUM(AS13:AS19)</f>
        <v>782</v>
      </c>
      <c r="AT20" s="78">
        <f>SUM(AT13:AT19)</f>
        <v>-70</v>
      </c>
      <c r="AU20" s="77">
        <f t="shared" ref="AU20" si="17">SUM(AU13:AU19)</f>
        <v>-76</v>
      </c>
      <c r="AV20" s="77">
        <f t="shared" ref="AV20:BG20" si="18">SUM(AV13:AV19)</f>
        <v>-758</v>
      </c>
      <c r="AW20" s="77">
        <f t="shared" si="18"/>
        <v>-5571</v>
      </c>
      <c r="AX20" s="77">
        <f>SUM(AX13:AX19)</f>
        <v>-3359</v>
      </c>
      <c r="AY20" s="78">
        <f>SUM(AY13:AY19)</f>
        <v>-9764</v>
      </c>
      <c r="AZ20" s="77">
        <f t="shared" ref="AZ20" si="19">SUM(AZ13:AZ19)</f>
        <v>561</v>
      </c>
      <c r="BA20" s="77">
        <f t="shared" si="18"/>
        <v>602</v>
      </c>
      <c r="BB20" s="77">
        <f t="shared" si="18"/>
        <v>-4301</v>
      </c>
      <c r="BC20" s="77">
        <f t="shared" si="18"/>
        <v>9405</v>
      </c>
      <c r="BD20" s="78">
        <f t="shared" si="18"/>
        <v>6267</v>
      </c>
      <c r="BE20" s="77">
        <f t="shared" si="18"/>
        <v>557.51048923432404</v>
      </c>
      <c r="BF20" s="77">
        <f t="shared" si="18"/>
        <v>858.22934300641577</v>
      </c>
      <c r="BG20" s="77">
        <f t="shared" si="18"/>
        <v>1064.8335683585283</v>
      </c>
      <c r="BH20" s="77">
        <f t="shared" ref="BH20:BI20" si="20">SUM(BH13:BH19)</f>
        <v>1140.149583432426</v>
      </c>
      <c r="BI20" s="78">
        <f t="shared" si="20"/>
        <v>3620.7229840316941</v>
      </c>
      <c r="BL20" s="109"/>
    </row>
    <row r="21" spans="1:74">
      <c r="A21" s="14"/>
      <c r="B21" s="65"/>
      <c r="C21" s="66"/>
      <c r="D21" s="66"/>
      <c r="E21" s="46"/>
      <c r="F21" s="40"/>
      <c r="G21" s="65"/>
      <c r="H21" s="66"/>
      <c r="I21" s="66"/>
      <c r="J21" s="46"/>
      <c r="K21" s="40"/>
      <c r="L21" s="65"/>
      <c r="M21" s="66"/>
      <c r="N21" s="66"/>
      <c r="O21" s="46"/>
      <c r="P21" s="40"/>
      <c r="Q21" s="65"/>
      <c r="R21" s="66"/>
      <c r="S21" s="66"/>
      <c r="T21" s="46"/>
      <c r="U21" s="40"/>
      <c r="V21" s="65"/>
      <c r="W21" s="66"/>
      <c r="X21" s="66"/>
      <c r="Y21" s="46"/>
      <c r="Z21" s="40"/>
      <c r="AA21" s="65"/>
      <c r="AB21" s="66"/>
      <c r="AC21" s="66"/>
      <c r="AD21" s="46"/>
      <c r="AE21" s="40"/>
      <c r="AF21" s="66"/>
      <c r="AG21" s="66"/>
      <c r="AH21" s="66"/>
      <c r="AI21" s="46"/>
      <c r="AJ21" s="40"/>
      <c r="AK21" s="66"/>
      <c r="AL21" s="66"/>
      <c r="AM21" s="66"/>
      <c r="AN21" s="46"/>
      <c r="AO21" s="40"/>
      <c r="AP21" s="46"/>
      <c r="AQ21" s="66"/>
      <c r="AR21" s="66"/>
      <c r="AS21" s="46"/>
      <c r="AT21" s="40"/>
      <c r="AU21" s="46"/>
      <c r="AV21" s="66"/>
      <c r="AW21" s="66"/>
      <c r="AX21" s="46"/>
      <c r="AY21" s="40"/>
      <c r="AZ21" s="46"/>
      <c r="BA21" s="66"/>
      <c r="BB21" s="66"/>
      <c r="BC21" s="46"/>
      <c r="BD21" s="40"/>
      <c r="BE21" s="66"/>
      <c r="BF21" s="66"/>
      <c r="BG21" s="66"/>
      <c r="BH21" s="46"/>
      <c r="BI21" s="40"/>
      <c r="BL21" s="109"/>
    </row>
    <row r="22" spans="1:74">
      <c r="A22" s="1" t="s">
        <v>281</v>
      </c>
      <c r="B22" s="62">
        <v>-152</v>
      </c>
      <c r="C22" s="63">
        <v>-57</v>
      </c>
      <c r="D22" s="63">
        <v>-84</v>
      </c>
      <c r="E22" s="67">
        <f t="shared" ref="E22:E30" si="21">+F22-SUM(B22:D22)</f>
        <v>-128</v>
      </c>
      <c r="F22" s="43">
        <v>-421</v>
      </c>
      <c r="G22" s="62">
        <v>45</v>
      </c>
      <c r="H22" s="63">
        <v>34</v>
      </c>
      <c r="I22" s="63">
        <v>50</v>
      </c>
      <c r="J22" s="67">
        <f t="shared" ref="J22:J32" si="22">+K22-SUM(G22:I22)</f>
        <v>88</v>
      </c>
      <c r="K22" s="43">
        <v>217</v>
      </c>
      <c r="L22" s="62">
        <v>262</v>
      </c>
      <c r="M22" s="63">
        <v>278</v>
      </c>
      <c r="N22" s="63">
        <v>271</v>
      </c>
      <c r="O22" s="67">
        <f t="shared" ref="O22:O29" si="23">+P22-SUM(L22:N22)</f>
        <v>316</v>
      </c>
      <c r="P22" s="43">
        <v>1127</v>
      </c>
      <c r="Q22" s="62">
        <v>283</v>
      </c>
      <c r="R22" s="63">
        <v>237</v>
      </c>
      <c r="S22" s="63">
        <v>260</v>
      </c>
      <c r="T22" s="67">
        <f t="shared" ref="T22:T32" si="24">+U22-SUM(Q22:S22)</f>
        <v>225</v>
      </c>
      <c r="U22" s="43">
        <v>1005</v>
      </c>
      <c r="V22" s="62">
        <v>274</v>
      </c>
      <c r="W22" s="63">
        <v>275</v>
      </c>
      <c r="X22" s="63">
        <v>274</v>
      </c>
      <c r="Y22" s="67">
        <f t="shared" ref="Y22:Y32" si="25">+Z22-SUM(V22:X22)</f>
        <v>248</v>
      </c>
      <c r="Z22" s="43">
        <v>1071</v>
      </c>
      <c r="AA22" s="62">
        <f>255</f>
        <v>255</v>
      </c>
      <c r="AB22" s="63">
        <v>258</v>
      </c>
      <c r="AC22" s="63">
        <v>260</v>
      </c>
      <c r="AD22" s="63">
        <v>251</v>
      </c>
      <c r="AE22" s="23">
        <f>SUM(AA22:AD22)</f>
        <v>1024</v>
      </c>
      <c r="AF22" s="63">
        <v>193</v>
      </c>
      <c r="AG22" s="63">
        <v>191</v>
      </c>
      <c r="AH22" s="63">
        <v>192</v>
      </c>
      <c r="AI22" s="63">
        <v>306</v>
      </c>
      <c r="AJ22" s="23">
        <f>SUM(AF22:AI22)</f>
        <v>882</v>
      </c>
      <c r="AK22" s="63">
        <v>208</v>
      </c>
      <c r="AL22" s="63">
        <v>205</v>
      </c>
      <c r="AM22" s="261">
        <v>208</v>
      </c>
      <c r="AN22" s="63">
        <v>228</v>
      </c>
      <c r="AO22" s="23">
        <f>SUM(AK22:AN22)</f>
        <v>849</v>
      </c>
      <c r="AP22" s="63">
        <v>223</v>
      </c>
      <c r="AQ22" s="261">
        <v>222</v>
      </c>
      <c r="AR22" s="261">
        <v>218</v>
      </c>
      <c r="AS22" s="63">
        <v>136</v>
      </c>
      <c r="AT22" s="23">
        <f>SUM(AP22:AS22)</f>
        <v>799</v>
      </c>
      <c r="AU22" s="63">
        <v>230</v>
      </c>
      <c r="AV22" s="261">
        <v>230</v>
      </c>
      <c r="AW22" s="41">
        <v>148</v>
      </c>
      <c r="AX22" s="63">
        <v>203</v>
      </c>
      <c r="AY22" s="23">
        <f>SUM(AU22:AX22)</f>
        <v>811</v>
      </c>
      <c r="AZ22" s="63">
        <v>193</v>
      </c>
      <c r="BA22" s="261">
        <v>197</v>
      </c>
      <c r="BB22" s="41">
        <v>198</v>
      </c>
      <c r="BC22" s="63">
        <v>196</v>
      </c>
      <c r="BD22" s="23">
        <f>SUM(AZ22:BC22)</f>
        <v>784</v>
      </c>
      <c r="BE22" s="41">
        <f t="shared" ref="BE22:BG23" si="26">$BI22/4</f>
        <v>212.5</v>
      </c>
      <c r="BF22" s="41">
        <f t="shared" si="26"/>
        <v>212.5</v>
      </c>
      <c r="BG22" s="41">
        <f t="shared" si="26"/>
        <v>212.5</v>
      </c>
      <c r="BH22" s="22">
        <f>BI22-SUM(BE22:BG22)</f>
        <v>212.5</v>
      </c>
      <c r="BI22" s="43">
        <v>850</v>
      </c>
      <c r="BL22" s="109"/>
    </row>
    <row r="23" spans="1:74">
      <c r="A23" s="1" t="s">
        <v>282</v>
      </c>
      <c r="B23" s="62">
        <v>39</v>
      </c>
      <c r="C23" s="63">
        <v>27</v>
      </c>
      <c r="D23" s="63">
        <v>27</v>
      </c>
      <c r="E23" s="67">
        <f t="shared" si="21"/>
        <v>30</v>
      </c>
      <c r="F23" s="43">
        <v>123</v>
      </c>
      <c r="G23" s="62">
        <v>49</v>
      </c>
      <c r="H23" s="63">
        <v>35</v>
      </c>
      <c r="I23" s="63">
        <v>38</v>
      </c>
      <c r="J23" s="67">
        <f t="shared" si="22"/>
        <v>31</v>
      </c>
      <c r="K23" s="43">
        <v>153</v>
      </c>
      <c r="L23" s="62">
        <v>84</v>
      </c>
      <c r="M23" s="63">
        <v>79</v>
      </c>
      <c r="N23" s="63">
        <v>75</v>
      </c>
      <c r="O23" s="67">
        <f t="shared" si="23"/>
        <v>73</v>
      </c>
      <c r="P23" s="43">
        <v>311</v>
      </c>
      <c r="Q23" s="62">
        <v>82</v>
      </c>
      <c r="R23" s="63">
        <v>80</v>
      </c>
      <c r="S23" s="63">
        <v>77</v>
      </c>
      <c r="T23" s="67">
        <f t="shared" si="24"/>
        <v>83</v>
      </c>
      <c r="U23" s="43">
        <v>322</v>
      </c>
      <c r="V23" s="62">
        <v>90</v>
      </c>
      <c r="W23" s="63">
        <v>90</v>
      </c>
      <c r="X23" s="63">
        <v>90</v>
      </c>
      <c r="Y23" s="67">
        <f t="shared" si="25"/>
        <v>74</v>
      </c>
      <c r="Z23" s="43">
        <v>344</v>
      </c>
      <c r="AA23" s="62">
        <f>92</f>
        <v>92</v>
      </c>
      <c r="AB23" s="63">
        <v>97</v>
      </c>
      <c r="AC23" s="63">
        <v>93</v>
      </c>
      <c r="AD23" s="63">
        <v>77</v>
      </c>
      <c r="AE23" s="23">
        <f>SUM(AA23:AD23)</f>
        <v>359</v>
      </c>
      <c r="AF23" s="63">
        <v>77</v>
      </c>
      <c r="AG23" s="63">
        <v>77</v>
      </c>
      <c r="AH23" s="63">
        <v>78</v>
      </c>
      <c r="AI23" s="63">
        <v>59</v>
      </c>
      <c r="AJ23" s="23">
        <f>SUM(AF23:AI23)</f>
        <v>291</v>
      </c>
      <c r="AK23" s="63">
        <v>75</v>
      </c>
      <c r="AL23" s="63">
        <v>79</v>
      </c>
      <c r="AM23" s="261">
        <v>71</v>
      </c>
      <c r="AN23" s="63">
        <v>69</v>
      </c>
      <c r="AO23" s="23">
        <f>SUM(AK23:AN23)</f>
        <v>294</v>
      </c>
      <c r="AP23" s="63">
        <v>68</v>
      </c>
      <c r="AQ23" s="261">
        <v>69</v>
      </c>
      <c r="AR23" s="261">
        <v>63</v>
      </c>
      <c r="AS23" s="63">
        <v>57</v>
      </c>
      <c r="AT23" s="23">
        <f>SUM(AP23:AS23)</f>
        <v>257</v>
      </c>
      <c r="AU23" s="63">
        <v>72</v>
      </c>
      <c r="AV23" s="261">
        <v>72</v>
      </c>
      <c r="AW23" s="41">
        <v>80</v>
      </c>
      <c r="AX23" s="63">
        <v>69</v>
      </c>
      <c r="AY23" s="23">
        <f>SUM(AU23:AX23)</f>
        <v>293</v>
      </c>
      <c r="AZ23" s="63">
        <v>69</v>
      </c>
      <c r="BA23" s="261">
        <v>60</v>
      </c>
      <c r="BB23" s="41">
        <v>70</v>
      </c>
      <c r="BC23" s="63">
        <v>62</v>
      </c>
      <c r="BD23" s="23">
        <f>SUM(AZ23:BC23)</f>
        <v>261</v>
      </c>
      <c r="BE23" s="41">
        <f t="shared" si="26"/>
        <v>65</v>
      </c>
      <c r="BF23" s="41">
        <f t="shared" si="26"/>
        <v>65</v>
      </c>
      <c r="BG23" s="41">
        <f t="shared" si="26"/>
        <v>65</v>
      </c>
      <c r="BH23" s="22">
        <f>BI23-SUM(BE23:BG23)</f>
        <v>65</v>
      </c>
      <c r="BI23" s="43">
        <v>260</v>
      </c>
      <c r="BL23" s="109"/>
    </row>
    <row r="24" spans="1:74">
      <c r="A24" s="5" t="s">
        <v>43</v>
      </c>
      <c r="B24" s="77">
        <f>+SUM(B22:B23)</f>
        <v>-113</v>
      </c>
      <c r="C24" s="77">
        <f>+SUM(C22:C23)</f>
        <v>-30</v>
      </c>
      <c r="D24" s="77">
        <f>+SUM(D22:D23)</f>
        <v>-57</v>
      </c>
      <c r="E24" s="77">
        <f t="shared" si="21"/>
        <v>-98</v>
      </c>
      <c r="F24" s="78">
        <f>+SUM(F22:F23)</f>
        <v>-298</v>
      </c>
      <c r="G24" s="77">
        <f>+SUM(G22:G23)</f>
        <v>94</v>
      </c>
      <c r="H24" s="77">
        <f>+SUM(H22:H23)</f>
        <v>69</v>
      </c>
      <c r="I24" s="77">
        <f>+SUM(I22:I23)</f>
        <v>88</v>
      </c>
      <c r="J24" s="77">
        <f t="shared" si="22"/>
        <v>119</v>
      </c>
      <c r="K24" s="78">
        <f>+SUM(K22:K23)</f>
        <v>370</v>
      </c>
      <c r="L24" s="77">
        <f>+SUM(L22:L23)</f>
        <v>346</v>
      </c>
      <c r="M24" s="77">
        <f>+SUM(M22:M23)</f>
        <v>357</v>
      </c>
      <c r="N24" s="77">
        <f>+SUM(N22:N23)</f>
        <v>346</v>
      </c>
      <c r="O24" s="77">
        <f t="shared" si="23"/>
        <v>389</v>
      </c>
      <c r="P24" s="78">
        <f>+SUM(P22:P23)</f>
        <v>1438</v>
      </c>
      <c r="Q24" s="77">
        <f>+SUM(Q22:Q23)</f>
        <v>365</v>
      </c>
      <c r="R24" s="77">
        <f>+SUM(R22:R23)</f>
        <v>317</v>
      </c>
      <c r="S24" s="77">
        <f>+SUM(S22:S23)</f>
        <v>337</v>
      </c>
      <c r="T24" s="77">
        <f t="shared" si="24"/>
        <v>308</v>
      </c>
      <c r="U24" s="78">
        <f>+SUM(U22:U23)</f>
        <v>1327</v>
      </c>
      <c r="V24" s="77">
        <f>+SUM(V22:V23)</f>
        <v>364</v>
      </c>
      <c r="W24" s="77">
        <f>+SUM(W22:W23)</f>
        <v>365</v>
      </c>
      <c r="X24" s="77">
        <f>+SUM(X22:X23)</f>
        <v>364</v>
      </c>
      <c r="Y24" s="77">
        <f t="shared" si="25"/>
        <v>322</v>
      </c>
      <c r="Z24" s="78">
        <f>+SUM(Z22:Z23)</f>
        <v>1415</v>
      </c>
      <c r="AA24" s="77">
        <f>+SUM(AA22:AA23)</f>
        <v>347</v>
      </c>
      <c r="AB24" s="77">
        <f>+SUM(AB22:AB23)</f>
        <v>355</v>
      </c>
      <c r="AC24" s="77">
        <f>+SUM(AC22:AC23)</f>
        <v>353</v>
      </c>
      <c r="AD24" s="77">
        <f>+AE24-SUM(AA24:AC24)</f>
        <v>328</v>
      </c>
      <c r="AE24" s="78">
        <f>+SUM(AE22:AE23)</f>
        <v>1383</v>
      </c>
      <c r="AF24" s="77">
        <f>+SUM(AF22:AF23)</f>
        <v>270</v>
      </c>
      <c r="AG24" s="77">
        <f>+SUM(AG22:AG23)</f>
        <v>268</v>
      </c>
      <c r="AH24" s="77">
        <f>+SUM(AH22:AH23)</f>
        <v>270</v>
      </c>
      <c r="AI24" s="77">
        <f>+AJ24-SUM(AF24:AH24)</f>
        <v>365</v>
      </c>
      <c r="AJ24" s="78">
        <f t="shared" ref="AJ24:AM24" si="27">+SUM(AJ22:AJ23)</f>
        <v>1173</v>
      </c>
      <c r="AK24" s="77">
        <f t="shared" si="27"/>
        <v>283</v>
      </c>
      <c r="AL24" s="77">
        <f t="shared" si="27"/>
        <v>284</v>
      </c>
      <c r="AM24" s="77">
        <f t="shared" si="27"/>
        <v>279</v>
      </c>
      <c r="AN24" s="77">
        <f>+AO24-SUM(AK24:AM24)</f>
        <v>297</v>
      </c>
      <c r="AO24" s="78">
        <f t="shared" ref="AO24" si="28">+SUM(AO22:AO23)</f>
        <v>1143</v>
      </c>
      <c r="AP24" s="77">
        <f t="shared" ref="AP24" si="29">+SUM(AP22:AP23)</f>
        <v>291</v>
      </c>
      <c r="AQ24" s="77">
        <f t="shared" ref="AQ24" si="30">+SUM(AQ22:AQ23)</f>
        <v>291</v>
      </c>
      <c r="AR24" s="77">
        <f t="shared" ref="AR24" si="31">+SUM(AR22:AR23)</f>
        <v>281</v>
      </c>
      <c r="AS24" s="77">
        <f>+AT24-SUM(AP24:AR24)</f>
        <v>193</v>
      </c>
      <c r="AT24" s="78">
        <f t="shared" ref="AT24" si="32">+SUM(AT22:AT23)</f>
        <v>1056</v>
      </c>
      <c r="AU24" s="77">
        <f t="shared" ref="AU24" si="33">+SUM(AU22:AU23)</f>
        <v>302</v>
      </c>
      <c r="AV24" s="77">
        <f t="shared" ref="AV24" si="34">+SUM(AV22:AV23)</f>
        <v>302</v>
      </c>
      <c r="AW24" s="77">
        <f t="shared" ref="AW24" si="35">+SUM(AW22:AW23)</f>
        <v>228</v>
      </c>
      <c r="AX24" s="77">
        <f>+AY24-SUM(AU24:AW24)</f>
        <v>272</v>
      </c>
      <c r="AY24" s="78">
        <f t="shared" ref="AY24" si="36">+SUM(AY22:AY23)</f>
        <v>1104</v>
      </c>
      <c r="AZ24" s="77">
        <f t="shared" ref="AZ24" si="37">+SUM(AZ22:AZ23)</f>
        <v>262</v>
      </c>
      <c r="BA24" s="77">
        <f t="shared" ref="BA24:BB24" si="38">+SUM(BA22:BA23)</f>
        <v>257</v>
      </c>
      <c r="BB24" s="77">
        <f t="shared" si="38"/>
        <v>268</v>
      </c>
      <c r="BC24" s="77">
        <f>+BD24-SUM(AZ24:BB24)</f>
        <v>258</v>
      </c>
      <c r="BD24" s="78">
        <f t="shared" ref="BD24" si="39">+SUM(BD22:BD23)</f>
        <v>1045</v>
      </c>
      <c r="BE24" s="77">
        <f t="shared" ref="BE24:BG24" si="40">+SUM(BE22:BE23)</f>
        <v>277.5</v>
      </c>
      <c r="BF24" s="77">
        <f t="shared" si="40"/>
        <v>277.5</v>
      </c>
      <c r="BG24" s="77">
        <f t="shared" si="40"/>
        <v>277.5</v>
      </c>
      <c r="BH24" s="77">
        <f t="shared" ref="BH24:BI24" si="41">+SUM(BH22:BH23)</f>
        <v>277.5</v>
      </c>
      <c r="BI24" s="78">
        <f t="shared" si="41"/>
        <v>1110</v>
      </c>
      <c r="BL24" s="109"/>
    </row>
    <row r="25" spans="1:74">
      <c r="A25" s="1" t="s">
        <v>283</v>
      </c>
      <c r="B25" s="62">
        <v>-21</v>
      </c>
      <c r="C25" s="63">
        <v>-16</v>
      </c>
      <c r="D25" s="63">
        <v>-20</v>
      </c>
      <c r="E25" s="67">
        <f t="shared" si="21"/>
        <v>-19</v>
      </c>
      <c r="F25" s="64">
        <v>-76</v>
      </c>
      <c r="G25" s="62">
        <v>-23</v>
      </c>
      <c r="H25" s="63">
        <v>-18</v>
      </c>
      <c r="I25" s="261">
        <v>-9</v>
      </c>
      <c r="J25" s="61">
        <f t="shared" si="22"/>
        <v>-16</v>
      </c>
      <c r="K25" s="260">
        <v>-66</v>
      </c>
      <c r="L25" s="251">
        <v>-21</v>
      </c>
      <c r="M25" s="63">
        <v>-25</v>
      </c>
      <c r="N25" s="63">
        <v>-21</v>
      </c>
      <c r="O25" s="61">
        <f t="shared" si="23"/>
        <v>-10</v>
      </c>
      <c r="P25" s="260">
        <v>-77</v>
      </c>
      <c r="Q25" s="62">
        <v>-18</v>
      </c>
      <c r="R25" s="63">
        <v>-18</v>
      </c>
      <c r="S25" s="63">
        <v>-24</v>
      </c>
      <c r="T25" s="61">
        <f t="shared" si="24"/>
        <v>-16</v>
      </c>
      <c r="U25" s="64">
        <v>-76</v>
      </c>
      <c r="V25" s="62">
        <v>-14</v>
      </c>
      <c r="W25" s="63">
        <v>-22</v>
      </c>
      <c r="X25" s="63">
        <v>-21</v>
      </c>
      <c r="Y25" s="61">
        <f t="shared" si="25"/>
        <v>-8</v>
      </c>
      <c r="Z25" s="64">
        <v>-65</v>
      </c>
      <c r="AA25" s="62">
        <v>-18</v>
      </c>
      <c r="AB25" s="63">
        <v>-25</v>
      </c>
      <c r="AC25" s="63">
        <v>-37</v>
      </c>
      <c r="AD25" s="63">
        <v>-40</v>
      </c>
      <c r="AE25" s="23">
        <f t="shared" ref="AE25:AE30" si="42">SUM(AA25:AD25)</f>
        <v>-120</v>
      </c>
      <c r="AF25" s="63">
        <v>-128</v>
      </c>
      <c r="AG25" s="63">
        <v>-14</v>
      </c>
      <c r="AH25" s="63">
        <v>-29</v>
      </c>
      <c r="AI25" s="63">
        <v>-3</v>
      </c>
      <c r="AJ25" s="23">
        <f t="shared" ref="AJ25:AJ30" si="43">SUM(AF25:AI25)</f>
        <v>-174</v>
      </c>
      <c r="AK25" s="63">
        <v>-83</v>
      </c>
      <c r="AL25" s="63">
        <v>-25</v>
      </c>
      <c r="AM25" s="63">
        <v>44</v>
      </c>
      <c r="AN25" s="63">
        <v>-50</v>
      </c>
      <c r="AO25" s="23">
        <f t="shared" ref="AO25:AO30" si="44">SUM(AK25:AN25)</f>
        <v>-114</v>
      </c>
      <c r="AP25" s="63">
        <v>-52</v>
      </c>
      <c r="AQ25" s="261">
        <v>14</v>
      </c>
      <c r="AR25" s="261">
        <v>5</v>
      </c>
      <c r="AS25" s="63">
        <v>95</v>
      </c>
      <c r="AT25" s="23">
        <f t="shared" ref="AT25:AT30" si="45">SUM(AP25:AS25)</f>
        <v>62</v>
      </c>
      <c r="AU25" s="63">
        <v>10</v>
      </c>
      <c r="AV25" s="261">
        <v>43</v>
      </c>
      <c r="AW25" s="261">
        <v>65</v>
      </c>
      <c r="AX25" s="63">
        <v>53</v>
      </c>
      <c r="AY25" s="23">
        <f t="shared" ref="AY25:AY30" si="46">SUM(AU25:AX25)</f>
        <v>171</v>
      </c>
      <c r="AZ25" s="63">
        <v>-30</v>
      </c>
      <c r="BA25" s="261">
        <v>-21</v>
      </c>
      <c r="BB25" s="261">
        <v>11</v>
      </c>
      <c r="BC25" s="63">
        <v>-9</v>
      </c>
      <c r="BD25" s="23">
        <f t="shared" ref="BD25:BD30" si="47">SUM(AZ25:BC25)</f>
        <v>-49</v>
      </c>
      <c r="BE25" s="41">
        <f t="shared" ref="BE25:BG30" si="48">$BI25/4</f>
        <v>12.625</v>
      </c>
      <c r="BF25" s="41">
        <f t="shared" si="48"/>
        <v>12.625</v>
      </c>
      <c r="BG25" s="41">
        <f t="shared" si="48"/>
        <v>12.625</v>
      </c>
      <c r="BH25" s="22">
        <f t="shared" ref="BH25:BH30" si="49">BI25-SUM(BE25:BG25)</f>
        <v>12.625</v>
      </c>
      <c r="BI25" s="43">
        <v>50.5</v>
      </c>
      <c r="BL25" s="109"/>
    </row>
    <row r="26" spans="1:74">
      <c r="A26" s="1" t="s">
        <v>284</v>
      </c>
      <c r="B26" s="62">
        <v>-58</v>
      </c>
      <c r="C26" s="63">
        <v>10</v>
      </c>
      <c r="D26" s="63">
        <v>38</v>
      </c>
      <c r="E26" s="67">
        <f t="shared" si="21"/>
        <v>-53</v>
      </c>
      <c r="F26" s="64">
        <v>-63</v>
      </c>
      <c r="G26" s="62">
        <v>16</v>
      </c>
      <c r="H26" s="63">
        <v>-21</v>
      </c>
      <c r="I26" s="63">
        <v>-33</v>
      </c>
      <c r="J26" s="61">
        <f t="shared" si="22"/>
        <v>-8</v>
      </c>
      <c r="K26" s="64">
        <v>-46</v>
      </c>
      <c r="L26" s="62">
        <v>-50</v>
      </c>
      <c r="M26" s="63">
        <v>-46</v>
      </c>
      <c r="N26" s="63">
        <v>-78</v>
      </c>
      <c r="O26" s="61">
        <f t="shared" si="23"/>
        <v>-66</v>
      </c>
      <c r="P26" s="64">
        <v>-240</v>
      </c>
      <c r="Q26" s="62">
        <v>-29</v>
      </c>
      <c r="R26" s="63">
        <v>-27</v>
      </c>
      <c r="S26" s="63">
        <v>-56</v>
      </c>
      <c r="T26" s="61">
        <f t="shared" si="24"/>
        <v>93</v>
      </c>
      <c r="U26" s="64">
        <v>-19</v>
      </c>
      <c r="V26" s="62">
        <v>-102</v>
      </c>
      <c r="W26" s="63">
        <v>-27</v>
      </c>
      <c r="X26" s="63">
        <v>-25</v>
      </c>
      <c r="Y26" s="61">
        <f t="shared" si="25"/>
        <v>-20</v>
      </c>
      <c r="Z26" s="64">
        <v>-174</v>
      </c>
      <c r="AA26" s="62">
        <v>193</v>
      </c>
      <c r="AB26" s="63">
        <v>-120</v>
      </c>
      <c r="AC26" s="63">
        <v>-39</v>
      </c>
      <c r="AD26" s="63">
        <v>-127</v>
      </c>
      <c r="AE26" s="23">
        <f t="shared" si="42"/>
        <v>-93</v>
      </c>
      <c r="AF26" s="63">
        <v>-52</v>
      </c>
      <c r="AG26" s="63">
        <v>-42</v>
      </c>
      <c r="AH26" s="63">
        <v>8</v>
      </c>
      <c r="AI26" s="63">
        <v>-40</v>
      </c>
      <c r="AJ26" s="23">
        <f t="shared" si="43"/>
        <v>-126</v>
      </c>
      <c r="AK26" s="63">
        <v>42</v>
      </c>
      <c r="AL26" s="63">
        <v>124</v>
      </c>
      <c r="AM26" s="63">
        <v>38</v>
      </c>
      <c r="AN26" s="63">
        <v>-87</v>
      </c>
      <c r="AO26" s="23">
        <f t="shared" si="44"/>
        <v>117</v>
      </c>
      <c r="AP26" s="63">
        <v>-54</v>
      </c>
      <c r="AQ26" s="261">
        <v>-42</v>
      </c>
      <c r="AR26" s="261">
        <v>25</v>
      </c>
      <c r="AS26" s="63">
        <v>-117</v>
      </c>
      <c r="AT26" s="23">
        <f t="shared" si="45"/>
        <v>-188</v>
      </c>
      <c r="AU26" s="63">
        <v>-30</v>
      </c>
      <c r="AV26" s="261">
        <v>-19</v>
      </c>
      <c r="AW26" s="261">
        <v>-51</v>
      </c>
      <c r="AX26" s="63">
        <v>-14</v>
      </c>
      <c r="AY26" s="23">
        <f t="shared" si="46"/>
        <v>-114</v>
      </c>
      <c r="AZ26" s="63">
        <v>5</v>
      </c>
      <c r="BA26" s="261">
        <v>-85</v>
      </c>
      <c r="BB26" s="261">
        <v>-70</v>
      </c>
      <c r="BC26" s="63">
        <v>-32</v>
      </c>
      <c r="BD26" s="23">
        <f t="shared" si="47"/>
        <v>-182</v>
      </c>
      <c r="BE26" s="41">
        <f t="shared" si="48"/>
        <v>-32.5</v>
      </c>
      <c r="BF26" s="41">
        <f t="shared" si="48"/>
        <v>-32.5</v>
      </c>
      <c r="BG26" s="41">
        <f t="shared" si="48"/>
        <v>-32.5</v>
      </c>
      <c r="BH26" s="22">
        <f t="shared" si="49"/>
        <v>-32.5</v>
      </c>
      <c r="BI26" s="43">
        <v>-130</v>
      </c>
      <c r="BL26" s="109"/>
    </row>
    <row r="27" spans="1:74">
      <c r="A27" s="1" t="s">
        <v>285</v>
      </c>
      <c r="B27" s="62">
        <v>-29</v>
      </c>
      <c r="C27" s="63">
        <v>-20</v>
      </c>
      <c r="D27" s="63">
        <v>-21</v>
      </c>
      <c r="E27" s="67">
        <f t="shared" si="21"/>
        <v>-20</v>
      </c>
      <c r="F27" s="64">
        <v>-90</v>
      </c>
      <c r="G27" s="62">
        <v>-30</v>
      </c>
      <c r="H27" s="63">
        <v>-18</v>
      </c>
      <c r="I27" s="63">
        <v>-23</v>
      </c>
      <c r="J27" s="61">
        <f t="shared" si="22"/>
        <v>-23</v>
      </c>
      <c r="K27" s="64">
        <v>-94</v>
      </c>
      <c r="L27" s="62">
        <v>-24</v>
      </c>
      <c r="M27" s="63">
        <v>-22</v>
      </c>
      <c r="N27" s="63">
        <v>-22</v>
      </c>
      <c r="O27" s="61">
        <f t="shared" si="23"/>
        <v>-28</v>
      </c>
      <c r="P27" s="64">
        <v>-96</v>
      </c>
      <c r="Q27" s="62">
        <v>-25</v>
      </c>
      <c r="R27" s="63">
        <v>-23</v>
      </c>
      <c r="S27" s="63">
        <v>-19</v>
      </c>
      <c r="T27" s="61">
        <f t="shared" si="24"/>
        <v>-25</v>
      </c>
      <c r="U27" s="64">
        <v>-92</v>
      </c>
      <c r="V27" s="62">
        <v>-24</v>
      </c>
      <c r="W27" s="63">
        <v>-21</v>
      </c>
      <c r="X27" s="63">
        <v>-23</v>
      </c>
      <c r="Y27" s="61">
        <f t="shared" si="25"/>
        <v>-21</v>
      </c>
      <c r="Z27" s="64">
        <v>-89</v>
      </c>
      <c r="AA27" s="62">
        <v>-23</v>
      </c>
      <c r="AB27" s="63">
        <v>-27</v>
      </c>
      <c r="AC27" s="63">
        <v>-19</v>
      </c>
      <c r="AD27" s="63">
        <v>-26</v>
      </c>
      <c r="AE27" s="23">
        <f t="shared" si="42"/>
        <v>-95</v>
      </c>
      <c r="AF27" s="63">
        <v>-22</v>
      </c>
      <c r="AG27" s="63">
        <v>-22</v>
      </c>
      <c r="AH27" s="63">
        <v>-22</v>
      </c>
      <c r="AI27" s="63">
        <v>-41</v>
      </c>
      <c r="AJ27" s="23">
        <f t="shared" si="43"/>
        <v>-107</v>
      </c>
      <c r="AK27" s="63">
        <v>-23</v>
      </c>
      <c r="AL27" s="63">
        <v>-24</v>
      </c>
      <c r="AM27" s="63">
        <v>-24</v>
      </c>
      <c r="AN27" s="63">
        <v>-24</v>
      </c>
      <c r="AO27" s="23">
        <f t="shared" si="44"/>
        <v>-95</v>
      </c>
      <c r="AP27" s="63">
        <v>-23</v>
      </c>
      <c r="AQ27" s="261">
        <v>-24</v>
      </c>
      <c r="AR27" s="261">
        <v>-24</v>
      </c>
      <c r="AS27" s="63">
        <v>-24</v>
      </c>
      <c r="AT27" s="23">
        <f t="shared" si="45"/>
        <v>-95</v>
      </c>
      <c r="AU27" s="63">
        <v>-23</v>
      </c>
      <c r="AV27" s="261">
        <v>-23</v>
      </c>
      <c r="AW27" s="261">
        <v>-24</v>
      </c>
      <c r="AX27" s="63">
        <v>-23</v>
      </c>
      <c r="AY27" s="23">
        <f t="shared" si="46"/>
        <v>-93</v>
      </c>
      <c r="AZ27" s="63">
        <v>-21</v>
      </c>
      <c r="BA27" s="261">
        <v>-21</v>
      </c>
      <c r="BB27" s="261">
        <v>-22</v>
      </c>
      <c r="BC27" s="63">
        <v>-28</v>
      </c>
      <c r="BD27" s="23">
        <f t="shared" si="47"/>
        <v>-92</v>
      </c>
      <c r="BE27" s="41">
        <f t="shared" si="48"/>
        <v>-25</v>
      </c>
      <c r="BF27" s="41">
        <f t="shared" si="48"/>
        <v>-25</v>
      </c>
      <c r="BG27" s="41">
        <f t="shared" si="48"/>
        <v>-25</v>
      </c>
      <c r="BH27" s="22">
        <f t="shared" si="49"/>
        <v>-25</v>
      </c>
      <c r="BI27" s="43">
        <v>-100</v>
      </c>
      <c r="BK27" s="41"/>
      <c r="BL27" s="109"/>
    </row>
    <row r="28" spans="1:74">
      <c r="A28" s="1" t="s">
        <v>286</v>
      </c>
      <c r="B28" s="62">
        <v>0</v>
      </c>
      <c r="C28" s="63">
        <v>0</v>
      </c>
      <c r="D28" s="63">
        <v>0</v>
      </c>
      <c r="E28" s="67">
        <f t="shared" si="21"/>
        <v>0</v>
      </c>
      <c r="F28" s="64">
        <v>0</v>
      </c>
      <c r="G28" s="62">
        <v>0</v>
      </c>
      <c r="H28" s="63">
        <v>0</v>
      </c>
      <c r="I28" s="63">
        <v>0</v>
      </c>
      <c r="J28" s="61">
        <f t="shared" si="22"/>
        <v>0</v>
      </c>
      <c r="K28" s="64">
        <v>0</v>
      </c>
      <c r="L28" s="62">
        <v>0</v>
      </c>
      <c r="M28" s="63">
        <v>0</v>
      </c>
      <c r="N28" s="63">
        <v>0</v>
      </c>
      <c r="O28" s="61">
        <f t="shared" si="23"/>
        <v>0</v>
      </c>
      <c r="P28" s="64">
        <v>0</v>
      </c>
      <c r="Q28" s="62">
        <v>0</v>
      </c>
      <c r="R28" s="63">
        <v>0</v>
      </c>
      <c r="S28" s="63">
        <v>0</v>
      </c>
      <c r="T28" s="61">
        <f t="shared" si="24"/>
        <v>0</v>
      </c>
      <c r="U28" s="64">
        <v>0</v>
      </c>
      <c r="V28" s="62">
        <v>-250</v>
      </c>
      <c r="W28" s="63">
        <v>0</v>
      </c>
      <c r="X28" s="63">
        <v>0</v>
      </c>
      <c r="Y28" s="61">
        <f t="shared" si="25"/>
        <v>0</v>
      </c>
      <c r="Z28" s="64">
        <v>-250</v>
      </c>
      <c r="AA28" s="62">
        <v>0</v>
      </c>
      <c r="AB28" s="63">
        <f>AA28</f>
        <v>0</v>
      </c>
      <c r="AC28" s="63">
        <f>AB28</f>
        <v>0</v>
      </c>
      <c r="AD28" s="63">
        <f>AC28</f>
        <v>0</v>
      </c>
      <c r="AE28" s="23">
        <f t="shared" si="42"/>
        <v>0</v>
      </c>
      <c r="AF28" s="63">
        <v>0</v>
      </c>
      <c r="AG28" s="63">
        <v>0</v>
      </c>
      <c r="AH28" s="63">
        <v>0</v>
      </c>
      <c r="AI28" s="63">
        <v>0</v>
      </c>
      <c r="AJ28" s="23">
        <f t="shared" si="43"/>
        <v>0</v>
      </c>
      <c r="AK28" s="63">
        <v>0</v>
      </c>
      <c r="AL28" s="63">
        <v>0</v>
      </c>
      <c r="AM28" s="63">
        <v>0</v>
      </c>
      <c r="AN28" s="63">
        <v>0</v>
      </c>
      <c r="AO28" s="23">
        <f t="shared" si="44"/>
        <v>0</v>
      </c>
      <c r="AP28" s="63">
        <v>0</v>
      </c>
      <c r="AQ28" s="261">
        <v>0</v>
      </c>
      <c r="AR28" s="261">
        <v>0</v>
      </c>
      <c r="AS28" s="63">
        <v>0</v>
      </c>
      <c r="AT28" s="23">
        <f t="shared" si="45"/>
        <v>0</v>
      </c>
      <c r="AU28" s="63">
        <v>0</v>
      </c>
      <c r="AV28" s="261">
        <v>0</v>
      </c>
      <c r="AW28" s="261">
        <v>0</v>
      </c>
      <c r="AX28" s="63">
        <v>0</v>
      </c>
      <c r="AY28" s="23">
        <f t="shared" si="46"/>
        <v>0</v>
      </c>
      <c r="AZ28" s="63">
        <v>0</v>
      </c>
      <c r="BA28" s="261">
        <v>0</v>
      </c>
      <c r="BB28" s="261">
        <v>0</v>
      </c>
      <c r="BC28" s="63">
        <v>0</v>
      </c>
      <c r="BD28" s="23">
        <f t="shared" si="47"/>
        <v>0</v>
      </c>
      <c r="BE28" s="41">
        <f t="shared" si="48"/>
        <v>0</v>
      </c>
      <c r="BF28" s="41">
        <f t="shared" si="48"/>
        <v>0</v>
      </c>
      <c r="BG28" s="41">
        <f t="shared" si="48"/>
        <v>0</v>
      </c>
      <c r="BH28" s="22">
        <f t="shared" si="49"/>
        <v>0</v>
      </c>
      <c r="BI28" s="43">
        <v>0</v>
      </c>
      <c r="BL28" s="109"/>
    </row>
    <row r="29" spans="1:74">
      <c r="A29" s="1" t="s">
        <v>287</v>
      </c>
      <c r="B29" s="62">
        <v>0</v>
      </c>
      <c r="C29" s="63">
        <v>0</v>
      </c>
      <c r="D29" s="63">
        <v>0</v>
      </c>
      <c r="E29" s="67">
        <f t="shared" si="21"/>
        <v>0</v>
      </c>
      <c r="F29" s="64">
        <v>0</v>
      </c>
      <c r="G29" s="62">
        <v>0</v>
      </c>
      <c r="H29" s="63">
        <v>0</v>
      </c>
      <c r="I29" s="63">
        <v>0</v>
      </c>
      <c r="J29" s="61">
        <f t="shared" si="22"/>
        <v>0</v>
      </c>
      <c r="K29" s="64">
        <v>0</v>
      </c>
      <c r="L29" s="62">
        <v>0</v>
      </c>
      <c r="M29" s="63">
        <v>0</v>
      </c>
      <c r="N29" s="63">
        <v>0</v>
      </c>
      <c r="O29" s="61">
        <f t="shared" si="23"/>
        <v>0</v>
      </c>
      <c r="P29" s="64">
        <v>0</v>
      </c>
      <c r="Q29" s="62">
        <v>2</v>
      </c>
      <c r="R29" s="63">
        <v>-21</v>
      </c>
      <c r="S29" s="63">
        <v>-50</v>
      </c>
      <c r="T29" s="61">
        <f t="shared" si="24"/>
        <v>-63</v>
      </c>
      <c r="U29" s="64">
        <v>-132</v>
      </c>
      <c r="V29" s="62">
        <v>-78</v>
      </c>
      <c r="W29" s="63">
        <v>-99</v>
      </c>
      <c r="X29" s="63">
        <v>-97</v>
      </c>
      <c r="Y29" s="61">
        <f t="shared" si="25"/>
        <v>-110</v>
      </c>
      <c r="Z29" s="64">
        <v>-384</v>
      </c>
      <c r="AA29" s="62">
        <v>-54</v>
      </c>
      <c r="AB29" s="63">
        <v>-62</v>
      </c>
      <c r="AC29" s="63">
        <v>-44</v>
      </c>
      <c r="AD29" s="63">
        <v>-80</v>
      </c>
      <c r="AE29" s="23">
        <f t="shared" si="42"/>
        <v>-240</v>
      </c>
      <c r="AF29" s="63">
        <v>-42</v>
      </c>
      <c r="AG29" s="63">
        <v>-43</v>
      </c>
      <c r="AH29" s="63">
        <v>-59</v>
      </c>
      <c r="AI29" s="63">
        <v>-40</v>
      </c>
      <c r="AJ29" s="23">
        <f t="shared" si="43"/>
        <v>-184</v>
      </c>
      <c r="AK29" s="63">
        <v>-52</v>
      </c>
      <c r="AL29" s="63">
        <v>-66</v>
      </c>
      <c r="AM29" s="63">
        <v>-43</v>
      </c>
      <c r="AN29" s="63">
        <v>-117</v>
      </c>
      <c r="AO29" s="23">
        <f t="shared" si="44"/>
        <v>-278</v>
      </c>
      <c r="AP29" s="63">
        <v>-76</v>
      </c>
      <c r="AQ29" s="261">
        <v>-73</v>
      </c>
      <c r="AR29" s="261">
        <v>-73</v>
      </c>
      <c r="AS29" s="63">
        <v>-93</v>
      </c>
      <c r="AT29" s="23">
        <f t="shared" si="45"/>
        <v>-315</v>
      </c>
      <c r="AU29" s="63">
        <v>-89</v>
      </c>
      <c r="AV29" s="261">
        <v>-99</v>
      </c>
      <c r="AW29" s="261">
        <v>-105</v>
      </c>
      <c r="AX29" s="63">
        <v>-84</v>
      </c>
      <c r="AY29" s="23">
        <f t="shared" si="46"/>
        <v>-377</v>
      </c>
      <c r="AZ29" s="63">
        <v>-82</v>
      </c>
      <c r="BA29" s="261">
        <v>-101</v>
      </c>
      <c r="BB29" s="261">
        <v>-102</v>
      </c>
      <c r="BC29" s="63">
        <v>-126</v>
      </c>
      <c r="BD29" s="23">
        <f t="shared" si="47"/>
        <v>-411</v>
      </c>
      <c r="BE29" s="41">
        <f t="shared" si="48"/>
        <v>-93.75</v>
      </c>
      <c r="BF29" s="41">
        <f t="shared" si="48"/>
        <v>-93.75</v>
      </c>
      <c r="BG29" s="41">
        <f t="shared" si="48"/>
        <v>-93.75</v>
      </c>
      <c r="BH29" s="22">
        <f t="shared" si="49"/>
        <v>-93.75</v>
      </c>
      <c r="BI29" s="43">
        <v>-375</v>
      </c>
      <c r="BL29" s="109"/>
    </row>
    <row r="30" spans="1:74">
      <c r="A30" s="1" t="s">
        <v>288</v>
      </c>
      <c r="B30" s="62">
        <v>-140</v>
      </c>
      <c r="C30" s="63">
        <v>-24</v>
      </c>
      <c r="D30" s="63">
        <v>-160</v>
      </c>
      <c r="E30" s="67">
        <f t="shared" si="21"/>
        <v>-187</v>
      </c>
      <c r="F30" s="64">
        <v>-511</v>
      </c>
      <c r="G30" s="62">
        <v>-129</v>
      </c>
      <c r="H30" s="63">
        <v>-69</v>
      </c>
      <c r="I30" s="261">
        <v>-135</v>
      </c>
      <c r="J30" s="61">
        <f t="shared" si="22"/>
        <v>-194</v>
      </c>
      <c r="K30" s="260">
        <v>-527</v>
      </c>
      <c r="L30" s="251">
        <v>-126</v>
      </c>
      <c r="M30" s="63">
        <v>-224</v>
      </c>
      <c r="N30" s="63">
        <v>-112</v>
      </c>
      <c r="O30" s="61">
        <f>+P30-SUM(L30:N30)</f>
        <v>-224</v>
      </c>
      <c r="P30" s="260">
        <v>-686</v>
      </c>
      <c r="Q30" s="62">
        <v>-256</v>
      </c>
      <c r="R30" s="63">
        <v>-307</v>
      </c>
      <c r="S30" s="63">
        <f>+-322</f>
        <v>-322</v>
      </c>
      <c r="T30" s="61">
        <f t="shared" si="24"/>
        <v>-238</v>
      </c>
      <c r="U30" s="64">
        <v>-1123</v>
      </c>
      <c r="V30" s="62">
        <v>-244</v>
      </c>
      <c r="W30" s="63">
        <v>-329</v>
      </c>
      <c r="X30" s="63">
        <v>-356</v>
      </c>
      <c r="Y30" s="61">
        <f t="shared" si="25"/>
        <v>-175</v>
      </c>
      <c r="Z30" s="64">
        <v>-1104</v>
      </c>
      <c r="AA30" s="62">
        <v>-271</v>
      </c>
      <c r="AB30" s="63">
        <v>-244</v>
      </c>
      <c r="AC30" s="63">
        <v>-175</v>
      </c>
      <c r="AD30" s="63">
        <v>-1117</v>
      </c>
      <c r="AE30" s="23">
        <f t="shared" si="42"/>
        <v>-1807</v>
      </c>
      <c r="AF30" s="63">
        <v>-120</v>
      </c>
      <c r="AG30" s="63">
        <v>-177</v>
      </c>
      <c r="AH30" s="63">
        <v>-268</v>
      </c>
      <c r="AI30" s="63">
        <v>-111</v>
      </c>
      <c r="AJ30" s="23">
        <f t="shared" si="43"/>
        <v>-676</v>
      </c>
      <c r="AK30" s="63">
        <v>-144</v>
      </c>
      <c r="AL30" s="63">
        <v>-103</v>
      </c>
      <c r="AM30" s="63">
        <v>-408</v>
      </c>
      <c r="AN30" s="63">
        <v>-507</v>
      </c>
      <c r="AO30" s="23">
        <f t="shared" si="44"/>
        <v>-1162</v>
      </c>
      <c r="AP30" s="63">
        <v>-255</v>
      </c>
      <c r="AQ30" s="261">
        <v>-211</v>
      </c>
      <c r="AR30" s="261">
        <v>-204</v>
      </c>
      <c r="AS30" s="63">
        <v>-553</v>
      </c>
      <c r="AT30" s="23">
        <f t="shared" si="45"/>
        <v>-1223</v>
      </c>
      <c r="AU30" s="63">
        <v>-180</v>
      </c>
      <c r="AV30" s="261">
        <v>-536</v>
      </c>
      <c r="AW30" s="261">
        <v>-303</v>
      </c>
      <c r="AX30" s="63">
        <v>-615</v>
      </c>
      <c r="AY30" s="23">
        <f t="shared" si="46"/>
        <v>-1634</v>
      </c>
      <c r="AZ30" s="63">
        <v>-234</v>
      </c>
      <c r="BA30" s="261">
        <v>-807</v>
      </c>
      <c r="BB30" s="261">
        <v>-565</v>
      </c>
      <c r="BC30" s="63">
        <v>-691</v>
      </c>
      <c r="BD30" s="23">
        <f t="shared" si="47"/>
        <v>-2297</v>
      </c>
      <c r="BE30" s="41">
        <f t="shared" si="48"/>
        <v>-516.0573071942697</v>
      </c>
      <c r="BF30" s="41">
        <f t="shared" si="48"/>
        <v>-516.0573071942697</v>
      </c>
      <c r="BG30" s="41">
        <f t="shared" si="48"/>
        <v>-516.0573071942697</v>
      </c>
      <c r="BH30" s="22">
        <f t="shared" si="49"/>
        <v>-516.0573071942697</v>
      </c>
      <c r="BI30" s="43">
        <f>(BD30+445)*(1+BI11)</f>
        <v>-2064.2292287770788</v>
      </c>
      <c r="BL30" s="109"/>
    </row>
    <row r="31" spans="1:74">
      <c r="A31" s="5" t="s">
        <v>45</v>
      </c>
      <c r="B31" s="77">
        <f>SUM(B24:B30)</f>
        <v>-361</v>
      </c>
      <c r="C31" s="77">
        <f>SUM(C24:C30)</f>
        <v>-80</v>
      </c>
      <c r="D31" s="77">
        <f>SUM(D24:D30)</f>
        <v>-220</v>
      </c>
      <c r="E31" s="77">
        <f>+F31-SUM(B31:D31)</f>
        <v>-377</v>
      </c>
      <c r="F31" s="78">
        <f>SUM(F24:F30)</f>
        <v>-1038</v>
      </c>
      <c r="G31" s="77">
        <f>SUM(G24:G30)</f>
        <v>-72</v>
      </c>
      <c r="H31" s="77">
        <f>SUM(H24:H30)</f>
        <v>-57</v>
      </c>
      <c r="I31" s="77">
        <f>SUM(I24:I30)</f>
        <v>-112</v>
      </c>
      <c r="J31" s="77">
        <f t="shared" si="22"/>
        <v>-122</v>
      </c>
      <c r="K31" s="78">
        <f>SUM(K24:K30)</f>
        <v>-363</v>
      </c>
      <c r="L31" s="77">
        <f>SUM(L24:L30)</f>
        <v>125</v>
      </c>
      <c r="M31" s="77">
        <f>SUM(M24:M30)</f>
        <v>40</v>
      </c>
      <c r="N31" s="77">
        <f>SUM(N24:N30)</f>
        <v>113</v>
      </c>
      <c r="O31" s="77">
        <f>+P31-SUM(L31:N31)</f>
        <v>61</v>
      </c>
      <c r="P31" s="78">
        <f>SUM(P24:P30)</f>
        <v>339</v>
      </c>
      <c r="Q31" s="77">
        <f>SUM(Q24:Q30)</f>
        <v>39</v>
      </c>
      <c r="R31" s="77">
        <f>SUM(R24:R30)</f>
        <v>-79</v>
      </c>
      <c r="S31" s="77">
        <f>SUM(S24:S30)</f>
        <v>-134</v>
      </c>
      <c r="T31" s="77">
        <f t="shared" si="24"/>
        <v>59</v>
      </c>
      <c r="U31" s="78">
        <f>SUM(U24:U30)</f>
        <v>-115</v>
      </c>
      <c r="V31" s="77">
        <f>SUM(V24:V30)</f>
        <v>-348</v>
      </c>
      <c r="W31" s="77">
        <f>SUM(W24:W30)</f>
        <v>-133</v>
      </c>
      <c r="X31" s="77">
        <f>SUM(X24:X30)</f>
        <v>-158</v>
      </c>
      <c r="Y31" s="77">
        <f t="shared" si="25"/>
        <v>-12</v>
      </c>
      <c r="Z31" s="78">
        <f>SUM(Z24:Z30)</f>
        <v>-651</v>
      </c>
      <c r="AA31" s="77">
        <f>SUM(AA24:AA30)</f>
        <v>174</v>
      </c>
      <c r="AB31" s="77">
        <f>SUM(AB24:AB30)</f>
        <v>-123</v>
      </c>
      <c r="AC31" s="77">
        <f>SUM(AC24:AC30)</f>
        <v>39</v>
      </c>
      <c r="AD31" s="77">
        <f>+AE31-SUM(AA31:AC31)</f>
        <v>-1062</v>
      </c>
      <c r="AE31" s="78">
        <f>SUM(AE24:AE30)</f>
        <v>-972</v>
      </c>
      <c r="AF31" s="77">
        <f>SUM(AF24:AF30)</f>
        <v>-94</v>
      </c>
      <c r="AG31" s="77">
        <f>SUM(AG24:AG30)</f>
        <v>-30</v>
      </c>
      <c r="AH31" s="77">
        <f>SUM(AH24:AH30)</f>
        <v>-100</v>
      </c>
      <c r="AI31" s="77">
        <f>+AJ31-SUM(AF31:AH31)</f>
        <v>130</v>
      </c>
      <c r="AJ31" s="78">
        <f t="shared" ref="AJ31:AM31" si="50">SUM(AJ24:AJ30)</f>
        <v>-94</v>
      </c>
      <c r="AK31" s="77">
        <f t="shared" si="50"/>
        <v>23</v>
      </c>
      <c r="AL31" s="77">
        <f t="shared" si="50"/>
        <v>190</v>
      </c>
      <c r="AM31" s="77">
        <f t="shared" si="50"/>
        <v>-114</v>
      </c>
      <c r="AN31" s="77">
        <f>+AO31-SUM(AK31:AM31)</f>
        <v>-488</v>
      </c>
      <c r="AO31" s="78">
        <f t="shared" ref="AO31" si="51">SUM(AO24:AO30)</f>
        <v>-389</v>
      </c>
      <c r="AP31" s="77">
        <f>SUM(AP24:AP30)</f>
        <v>-169</v>
      </c>
      <c r="AQ31" s="77">
        <f t="shared" ref="AQ31:AR31" si="52">SUM(AQ24:AQ30)</f>
        <v>-45</v>
      </c>
      <c r="AR31" s="77">
        <f t="shared" si="52"/>
        <v>10</v>
      </c>
      <c r="AS31" s="77">
        <f>+AT31-SUM(AP31:AR31)</f>
        <v>-499</v>
      </c>
      <c r="AT31" s="78">
        <f t="shared" ref="AT31" si="53">SUM(AT24:AT30)</f>
        <v>-703</v>
      </c>
      <c r="AU31" s="77">
        <f>SUM(AU24:AU30)</f>
        <v>-10</v>
      </c>
      <c r="AV31" s="77">
        <f t="shared" ref="AV31" si="54">SUM(AV24:AV30)</f>
        <v>-332</v>
      </c>
      <c r="AW31" s="77">
        <f>SUM(AW24:AW30)</f>
        <v>-190</v>
      </c>
      <c r="AX31" s="77">
        <f>+AY31-SUM(AU31:AW31)</f>
        <v>-411</v>
      </c>
      <c r="AY31" s="78">
        <f t="shared" ref="AY31" si="55">SUM(AY24:AY30)</f>
        <v>-943</v>
      </c>
      <c r="AZ31" s="77">
        <f>SUM(AZ24:AZ30)</f>
        <v>-100</v>
      </c>
      <c r="BA31" s="77">
        <f>SUM(BA24:BA30)</f>
        <v>-778</v>
      </c>
      <c r="BB31" s="77">
        <f>SUM(BB24:BB30)</f>
        <v>-480</v>
      </c>
      <c r="BC31" s="77">
        <f>SUM(BC24:BC30)</f>
        <v>-628</v>
      </c>
      <c r="BD31" s="78">
        <f t="shared" ref="BD31" si="56">SUM(BD24:BD30)</f>
        <v>-1986</v>
      </c>
      <c r="BE31" s="77">
        <f t="shared" ref="BE31:BG31" si="57">SUM(BE24:BE30)</f>
        <v>-377.1823071942697</v>
      </c>
      <c r="BF31" s="77">
        <f t="shared" si="57"/>
        <v>-377.1823071942697</v>
      </c>
      <c r="BG31" s="77">
        <f t="shared" si="57"/>
        <v>-377.1823071942697</v>
      </c>
      <c r="BH31" s="77">
        <f t="shared" ref="BH31:BI31" si="58">SUM(BH24:BH30)</f>
        <v>-377.1823071942697</v>
      </c>
      <c r="BI31" s="78">
        <f t="shared" si="58"/>
        <v>-1508.7292287770788</v>
      </c>
      <c r="BL31" s="109"/>
    </row>
    <row r="32" spans="1:74" s="267" customFormat="1">
      <c r="A32" t="s">
        <v>307</v>
      </c>
      <c r="B32" s="62">
        <v>0</v>
      </c>
      <c r="C32" s="63">
        <v>0</v>
      </c>
      <c r="D32" s="63">
        <v>0</v>
      </c>
      <c r="E32" s="67">
        <f>+F32-SUM(B32:D32)</f>
        <v>0</v>
      </c>
      <c r="F32" s="64">
        <v>0</v>
      </c>
      <c r="G32" s="62">
        <v>0</v>
      </c>
      <c r="H32" s="63">
        <v>0</v>
      </c>
      <c r="I32" s="63">
        <v>0</v>
      </c>
      <c r="J32" s="67">
        <f t="shared" si="22"/>
        <v>0</v>
      </c>
      <c r="K32" s="64">
        <v>0</v>
      </c>
      <c r="L32" s="62">
        <v>0</v>
      </c>
      <c r="M32" s="63">
        <v>0</v>
      </c>
      <c r="N32" s="63">
        <v>0</v>
      </c>
      <c r="O32" s="67">
        <f>+P32-SUM(L32:N32)</f>
        <v>0</v>
      </c>
      <c r="P32" s="64">
        <v>0</v>
      </c>
      <c r="Q32" s="62">
        <v>0</v>
      </c>
      <c r="R32" s="63">
        <v>0</v>
      </c>
      <c r="S32" s="63">
        <v>0</v>
      </c>
      <c r="T32" s="67">
        <f t="shared" si="24"/>
        <v>0</v>
      </c>
      <c r="U32" s="64">
        <v>0</v>
      </c>
      <c r="V32" s="62">
        <v>0</v>
      </c>
      <c r="W32" s="63">
        <v>0</v>
      </c>
      <c r="X32" s="63">
        <v>0</v>
      </c>
      <c r="Y32" s="67">
        <f t="shared" si="25"/>
        <v>0</v>
      </c>
      <c r="Z32" s="64">
        <v>0</v>
      </c>
      <c r="AA32" s="62">
        <v>0</v>
      </c>
      <c r="AB32" s="63">
        <v>0</v>
      </c>
      <c r="AC32" s="63">
        <v>0</v>
      </c>
      <c r="AD32" s="63">
        <v>0</v>
      </c>
      <c r="AE32" s="23">
        <f>SUM(AA32:AD32)</f>
        <v>0</v>
      </c>
      <c r="AF32" s="62">
        <v>0</v>
      </c>
      <c r="AG32" s="63">
        <v>0</v>
      </c>
      <c r="AH32" s="63">
        <v>0</v>
      </c>
      <c r="AI32" s="63">
        <v>0</v>
      </c>
      <c r="AJ32" s="23">
        <f>SUM(AF32:AI32)</f>
        <v>0</v>
      </c>
      <c r="AK32" s="62">
        <v>0</v>
      </c>
      <c r="AL32" s="63">
        <v>0</v>
      </c>
      <c r="AM32" s="63">
        <v>0</v>
      </c>
      <c r="AN32" s="63">
        <v>0</v>
      </c>
      <c r="AO32" s="23">
        <f>SUM(AK32:AN32)</f>
        <v>0</v>
      </c>
      <c r="AP32" s="62">
        <v>0</v>
      </c>
      <c r="AQ32" s="63">
        <v>0</v>
      </c>
      <c r="AR32" s="63">
        <v>0</v>
      </c>
      <c r="AS32" s="63">
        <v>0</v>
      </c>
      <c r="AT32" s="23">
        <f>SUM(AP32:AS32)</f>
        <v>0</v>
      </c>
      <c r="AU32" s="62">
        <v>0</v>
      </c>
      <c r="AV32" s="63"/>
      <c r="AW32" s="63">
        <v>0</v>
      </c>
      <c r="AX32" s="63">
        <v>0</v>
      </c>
      <c r="AY32" s="23">
        <f>SUM(AU32:AX32)</f>
        <v>0</v>
      </c>
      <c r="AZ32" s="62">
        <v>0</v>
      </c>
      <c r="BA32" s="63">
        <v>0</v>
      </c>
      <c r="BB32" s="63">
        <v>0</v>
      </c>
      <c r="BC32" s="63">
        <v>0</v>
      </c>
      <c r="BD32" s="23">
        <f>SUM(AZ32:BC32)</f>
        <v>0</v>
      </c>
      <c r="BE32" s="63">
        <v>0</v>
      </c>
      <c r="BF32" s="63">
        <v>0</v>
      </c>
      <c r="BG32" s="63">
        <v>0</v>
      </c>
      <c r="BH32" s="63">
        <v>0</v>
      </c>
      <c r="BI32" s="23">
        <f>SUM(BE32:BH32)</f>
        <v>0</v>
      </c>
      <c r="BL32" s="109"/>
      <c r="BQ32"/>
      <c r="BR32"/>
      <c r="BS32"/>
      <c r="BT32"/>
      <c r="BU32"/>
      <c r="BV32"/>
    </row>
    <row r="33" spans="1:74">
      <c r="A33" s="1"/>
      <c r="B33" s="41"/>
      <c r="C33" s="41"/>
      <c r="D33" s="41"/>
      <c r="E33" s="42"/>
      <c r="F33" s="43"/>
      <c r="G33" s="41"/>
      <c r="H33" s="41"/>
      <c r="I33" s="41"/>
      <c r="J33" s="42"/>
      <c r="K33" s="43"/>
      <c r="L33" s="41"/>
      <c r="M33" s="41"/>
      <c r="N33" s="41"/>
      <c r="O33" s="42"/>
      <c r="P33" s="43"/>
      <c r="Q33" s="41"/>
      <c r="R33" s="41"/>
      <c r="S33" s="41"/>
      <c r="T33" s="42"/>
      <c r="U33" s="43"/>
      <c r="V33" s="41"/>
      <c r="W33" s="41"/>
      <c r="X33" s="41"/>
      <c r="Y33" s="42"/>
      <c r="Z33" s="43"/>
      <c r="AA33" s="41"/>
      <c r="AB33" s="41"/>
      <c r="AC33" s="41"/>
      <c r="AD33" s="42"/>
      <c r="AE33" s="43"/>
      <c r="AF33" s="41"/>
      <c r="AG33" s="41"/>
      <c r="AH33" s="41"/>
      <c r="AI33" s="42"/>
      <c r="AJ33" s="43"/>
      <c r="AK33" s="41"/>
      <c r="AL33" s="41"/>
      <c r="AM33" s="41"/>
      <c r="AN33" s="42"/>
      <c r="AO33" s="43"/>
      <c r="AP33" s="41"/>
      <c r="AQ33" s="41"/>
      <c r="AR33" s="41"/>
      <c r="AS33" s="42"/>
      <c r="AT33" s="43"/>
      <c r="AU33" s="41"/>
      <c r="AV33" s="41"/>
      <c r="AW33" s="41"/>
      <c r="AX33" s="42"/>
      <c r="AY33" s="43"/>
      <c r="AZ33" s="41"/>
      <c r="BA33" s="41"/>
      <c r="BB33" s="41"/>
      <c r="BC33" s="42"/>
      <c r="BD33" s="43"/>
      <c r="BE33" s="41"/>
      <c r="BF33" s="41"/>
      <c r="BG33" s="41"/>
      <c r="BH33" s="42"/>
      <c r="BI33" s="43"/>
      <c r="BL33" s="109"/>
    </row>
    <row r="34" spans="1:74">
      <c r="A34" s="9" t="s">
        <v>9</v>
      </c>
      <c r="B34" s="24">
        <f>+B20+B31+B32</f>
        <v>2019</v>
      </c>
      <c r="C34" s="24">
        <f t="shared" ref="C34:AH34" si="59">+C20+C31+C32</f>
        <v>1683</v>
      </c>
      <c r="D34" s="24">
        <f t="shared" si="59"/>
        <v>2580</v>
      </c>
      <c r="E34" s="24">
        <f t="shared" si="59"/>
        <v>1161</v>
      </c>
      <c r="F34" s="25">
        <f t="shared" si="59"/>
        <v>7443</v>
      </c>
      <c r="G34" s="24">
        <f t="shared" si="59"/>
        <v>1788</v>
      </c>
      <c r="H34" s="24">
        <f t="shared" si="59"/>
        <v>-419</v>
      </c>
      <c r="I34" s="24">
        <f t="shared" si="59"/>
        <v>2282</v>
      </c>
      <c r="J34" s="24">
        <f t="shared" si="59"/>
        <v>2183</v>
      </c>
      <c r="K34" s="25">
        <f t="shared" si="59"/>
        <v>5834</v>
      </c>
      <c r="L34" s="24">
        <f t="shared" si="59"/>
        <v>2206</v>
      </c>
      <c r="M34" s="24">
        <f t="shared" si="59"/>
        <v>2530</v>
      </c>
      <c r="N34" s="24">
        <f t="shared" si="59"/>
        <v>2630</v>
      </c>
      <c r="O34" s="24">
        <f t="shared" si="59"/>
        <v>2978</v>
      </c>
      <c r="P34" s="25">
        <f t="shared" si="59"/>
        <v>10344</v>
      </c>
      <c r="Q34" s="24">
        <f t="shared" si="59"/>
        <v>2875</v>
      </c>
      <c r="R34" s="24">
        <f t="shared" si="59"/>
        <v>2710</v>
      </c>
      <c r="S34" s="24">
        <f t="shared" si="59"/>
        <v>2227</v>
      </c>
      <c r="T34" s="24">
        <f t="shared" si="59"/>
        <v>4175</v>
      </c>
      <c r="U34" s="25">
        <f t="shared" si="59"/>
        <v>11987</v>
      </c>
      <c r="V34" s="24">
        <f t="shared" si="59"/>
        <v>2350</v>
      </c>
      <c r="W34" s="24">
        <f t="shared" si="59"/>
        <v>-3380</v>
      </c>
      <c r="X34" s="24">
        <f t="shared" si="59"/>
        <v>1259</v>
      </c>
      <c r="Y34" s="24">
        <f t="shared" si="59"/>
        <v>-2204</v>
      </c>
      <c r="Z34" s="25">
        <f t="shared" si="59"/>
        <v>-1975</v>
      </c>
      <c r="AA34" s="24">
        <f t="shared" si="59"/>
        <v>-1353</v>
      </c>
      <c r="AB34" s="24">
        <f t="shared" si="59"/>
        <v>-2964</v>
      </c>
      <c r="AC34" s="24">
        <f t="shared" si="59"/>
        <v>-401</v>
      </c>
      <c r="AD34" s="24">
        <f t="shared" si="59"/>
        <v>-8049</v>
      </c>
      <c r="AE34" s="25">
        <f t="shared" si="59"/>
        <v>-12767</v>
      </c>
      <c r="AF34" s="24">
        <f t="shared" si="59"/>
        <v>-83</v>
      </c>
      <c r="AG34" s="24">
        <f>+AG20+AG31+AG32</f>
        <v>1023</v>
      </c>
      <c r="AH34" s="24">
        <f t="shared" si="59"/>
        <v>329</v>
      </c>
      <c r="AI34" s="24">
        <f t="shared" ref="AI34:AM34" si="60">+AI20+AI31+AI32</f>
        <v>-4171</v>
      </c>
      <c r="AJ34" s="25">
        <f t="shared" si="60"/>
        <v>-2902</v>
      </c>
      <c r="AK34" s="24">
        <f t="shared" si="60"/>
        <v>-1169</v>
      </c>
      <c r="AL34" s="24">
        <f t="shared" si="60"/>
        <v>774</v>
      </c>
      <c r="AM34" s="24">
        <f t="shared" si="60"/>
        <v>-2799</v>
      </c>
      <c r="AN34" s="24">
        <f t="shared" ref="AN34:AR34" si="61">+AN20+AN31+AN32</f>
        <v>-353</v>
      </c>
      <c r="AO34" s="25">
        <f t="shared" si="61"/>
        <v>-3547</v>
      </c>
      <c r="AP34" s="24">
        <f t="shared" si="61"/>
        <v>-149</v>
      </c>
      <c r="AQ34" s="24">
        <f t="shared" si="61"/>
        <v>-99</v>
      </c>
      <c r="AR34" s="24">
        <f t="shared" si="61"/>
        <v>-808</v>
      </c>
      <c r="AS34" s="24">
        <f t="shared" ref="AS34:AW34" si="62">+AS20+AS31+AS32</f>
        <v>283</v>
      </c>
      <c r="AT34" s="25">
        <f t="shared" si="62"/>
        <v>-773</v>
      </c>
      <c r="AU34" s="24">
        <f t="shared" si="62"/>
        <v>-86</v>
      </c>
      <c r="AV34" s="24">
        <f t="shared" si="62"/>
        <v>-1090</v>
      </c>
      <c r="AW34" s="24">
        <f t="shared" si="62"/>
        <v>-5761</v>
      </c>
      <c r="AX34" s="24">
        <f t="shared" ref="AX34:BB34" si="63">+AX20+AX31+AX32</f>
        <v>-3770</v>
      </c>
      <c r="AY34" s="25">
        <f t="shared" si="63"/>
        <v>-10707</v>
      </c>
      <c r="AZ34" s="24">
        <f t="shared" si="63"/>
        <v>461</v>
      </c>
      <c r="BA34" s="24">
        <f t="shared" si="63"/>
        <v>-176</v>
      </c>
      <c r="BB34" s="24">
        <f t="shared" si="63"/>
        <v>-4781</v>
      </c>
      <c r="BC34" s="24">
        <f t="shared" ref="BC34:BG34" si="64">+BC20+BC31+BC32</f>
        <v>8777</v>
      </c>
      <c r="BD34" s="25">
        <f t="shared" si="64"/>
        <v>4281</v>
      </c>
      <c r="BE34" s="24">
        <f t="shared" si="64"/>
        <v>180.32818204005434</v>
      </c>
      <c r="BF34" s="24">
        <f t="shared" si="64"/>
        <v>481.04703581214608</v>
      </c>
      <c r="BG34" s="24">
        <f t="shared" si="64"/>
        <v>687.65126116425859</v>
      </c>
      <c r="BH34" s="24">
        <f t="shared" ref="BH34:BI34" si="65">+BH20+BH31+BH32</f>
        <v>762.96727623815627</v>
      </c>
      <c r="BI34" s="25">
        <f t="shared" si="65"/>
        <v>2111.9937552546153</v>
      </c>
      <c r="BL34" s="109"/>
    </row>
    <row r="35" spans="1:74">
      <c r="A35" s="1" t="s">
        <v>2</v>
      </c>
      <c r="B35" s="110">
        <f t="shared" ref="B35:AH35" si="66">B34/B10</f>
        <v>9.1155356900988763E-2</v>
      </c>
      <c r="C35" s="111">
        <f t="shared" si="66"/>
        <v>6.8573524019068577E-2</v>
      </c>
      <c r="D35" s="111">
        <f t="shared" si="66"/>
        <v>9.9810437541104108E-2</v>
      </c>
      <c r="E35" s="111">
        <f t="shared" si="66"/>
        <v>4.9251262037076318E-2</v>
      </c>
      <c r="F35" s="112">
        <f t="shared" si="66"/>
        <v>7.7439290842124975E-2</v>
      </c>
      <c r="G35" s="110">
        <f t="shared" si="66"/>
        <v>7.9003181336161188E-2</v>
      </c>
      <c r="H35" s="111">
        <f t="shared" si="66"/>
        <v>-1.6925873560896788E-2</v>
      </c>
      <c r="I35" s="111">
        <f t="shared" si="66"/>
        <v>9.5489162272993561E-2</v>
      </c>
      <c r="J35" s="111">
        <f t="shared" si="66"/>
        <v>9.3747315983852955E-2</v>
      </c>
      <c r="K35" s="112">
        <f t="shared" si="66"/>
        <v>6.1689101310126782E-2</v>
      </c>
      <c r="L35" s="110">
        <f t="shared" si="66"/>
        <v>0.10045079914393698</v>
      </c>
      <c r="M35" s="111">
        <f t="shared" si="66"/>
        <v>0.1097566266105592</v>
      </c>
      <c r="N35" s="111">
        <f t="shared" si="66"/>
        <v>0.10857449531437063</v>
      </c>
      <c r="O35" s="111">
        <f t="shared" si="66"/>
        <v>0.12022607993540574</v>
      </c>
      <c r="P35" s="112">
        <f t="shared" si="66"/>
        <v>0.11003670017552258</v>
      </c>
      <c r="Q35" s="110">
        <f t="shared" si="66"/>
        <v>0.1229578308100248</v>
      </c>
      <c r="R35" s="111">
        <f t="shared" si="66"/>
        <v>0.11171572264819853</v>
      </c>
      <c r="S35" s="111">
        <f t="shared" si="66"/>
        <v>8.8562793287202735E-2</v>
      </c>
      <c r="T35" s="111">
        <f t="shared" si="66"/>
        <v>0.14731307999012033</v>
      </c>
      <c r="U35" s="112">
        <f t="shared" si="66"/>
        <v>0.11853412046238888</v>
      </c>
      <c r="V35" s="110">
        <f t="shared" si="66"/>
        <v>0.10254396299690187</v>
      </c>
      <c r="W35" s="111">
        <f t="shared" si="66"/>
        <v>-0.21458954986984954</v>
      </c>
      <c r="X35" s="111">
        <f t="shared" si="66"/>
        <v>6.3013013013013014E-2</v>
      </c>
      <c r="Y35" s="111">
        <f t="shared" si="66"/>
        <v>-0.12305287253643013</v>
      </c>
      <c r="Z35" s="112">
        <f t="shared" si="66"/>
        <v>-2.5797097663240117E-2</v>
      </c>
      <c r="AA35" s="110">
        <f t="shared" si="66"/>
        <v>-8.0021291696238464E-2</v>
      </c>
      <c r="AB35" s="110">
        <f>AB34/AB10</f>
        <v>-0.25103752011518593</v>
      </c>
      <c r="AC35" s="111">
        <f t="shared" si="66"/>
        <v>-2.836127024542047E-2</v>
      </c>
      <c r="AD35" s="111">
        <f t="shared" si="66"/>
        <v>-0.52594093047569268</v>
      </c>
      <c r="AE35" s="112">
        <f t="shared" si="66"/>
        <v>-0.21952267959696001</v>
      </c>
      <c r="AF35" s="111">
        <f t="shared" si="66"/>
        <v>-5.4544259709535386E-3</v>
      </c>
      <c r="AG35" s="110">
        <f>AG34/AG10</f>
        <v>6.0183551006000709E-2</v>
      </c>
      <c r="AH35" s="111">
        <f t="shared" si="66"/>
        <v>2.1534232229349391E-2</v>
      </c>
      <c r="AI35" s="111">
        <f t="shared" ref="AI35:AM35" si="67">AI34/AI10</f>
        <v>-0.28195768268775773</v>
      </c>
      <c r="AJ35" s="112">
        <f t="shared" si="67"/>
        <v>-4.6591529396654147E-2</v>
      </c>
      <c r="AK35" s="111">
        <f t="shared" si="67"/>
        <v>-8.3553713101279389E-2</v>
      </c>
      <c r="AL35" s="110">
        <f t="shared" si="67"/>
        <v>4.6400095917510938E-2</v>
      </c>
      <c r="AM35" s="111">
        <f t="shared" si="67"/>
        <v>-0.17541990473802957</v>
      </c>
      <c r="AN35" s="111">
        <f t="shared" ref="AN35:AR35" si="68">AN34/AN10</f>
        <v>-1.7667667667667669E-2</v>
      </c>
      <c r="AO35" s="112">
        <f t="shared" si="68"/>
        <v>-5.3251861638241652E-2</v>
      </c>
      <c r="AP35" s="111">
        <f t="shared" si="68"/>
        <v>-8.3142681769990522E-3</v>
      </c>
      <c r="AQ35" s="110">
        <f t="shared" si="68"/>
        <v>-5.0124044352184696E-3</v>
      </c>
      <c r="AR35" s="111">
        <f t="shared" si="68"/>
        <v>-4.4631020768890854E-2</v>
      </c>
      <c r="AS35" s="111">
        <f t="shared" ref="AS35:AW35" si="69">AS34/AS10</f>
        <v>1.2853120174402762E-2</v>
      </c>
      <c r="AT35" s="112">
        <f t="shared" si="69"/>
        <v>-9.9364989587885956E-3</v>
      </c>
      <c r="AU35" s="111">
        <f t="shared" si="69"/>
        <v>-5.1904158368036692E-3</v>
      </c>
      <c r="AV35" s="110">
        <f t="shared" si="69"/>
        <v>-6.4627060358116925E-2</v>
      </c>
      <c r="AW35" s="111">
        <f t="shared" si="69"/>
        <v>-0.32292600896860985</v>
      </c>
      <c r="AX35" s="111">
        <f t="shared" ref="AX35:BB35" si="70">AX34/AX10</f>
        <v>-0.24734286838997507</v>
      </c>
      <c r="AY35" s="112">
        <f t="shared" si="70"/>
        <v>-0.16096636949952645</v>
      </c>
      <c r="AZ35" s="111">
        <f t="shared" si="70"/>
        <v>2.364587607714403E-2</v>
      </c>
      <c r="BA35" s="110">
        <f t="shared" si="70"/>
        <v>-7.7366038067607371E-3</v>
      </c>
      <c r="BB35" s="111">
        <f t="shared" si="70"/>
        <v>-0.2054576708207993</v>
      </c>
      <c r="BC35" s="111">
        <f t="shared" ref="BC35:BG35" si="71">BC34/BC10</f>
        <v>0.36650242191414734</v>
      </c>
      <c r="BD35" s="112">
        <f t="shared" si="71"/>
        <v>4.78521847020556E-2</v>
      </c>
      <c r="BE35" s="111">
        <f t="shared" si="71"/>
        <v>7.2827519834066387E-3</v>
      </c>
      <c r="BF35" s="111">
        <f t="shared" si="71"/>
        <v>1.9258062416932606E-2</v>
      </c>
      <c r="BG35" s="111">
        <f t="shared" si="71"/>
        <v>2.7431442921476892E-2</v>
      </c>
      <c r="BH35" s="111">
        <f t="shared" ref="BH35:BI35" si="72">BH34/BH10</f>
        <v>3.0632651211837763E-2</v>
      </c>
      <c r="BI35" s="112">
        <f t="shared" si="72"/>
        <v>2.118030605724831E-2</v>
      </c>
      <c r="BL35" s="109"/>
    </row>
    <row r="36" spans="1:74" ht="3" customHeight="1">
      <c r="F36" s="27"/>
      <c r="K36" s="27"/>
      <c r="P36" s="27"/>
      <c r="U36" s="27"/>
      <c r="Z36" s="27"/>
      <c r="AE36" s="27"/>
      <c r="AJ36" s="27"/>
      <c r="AO36" s="27"/>
      <c r="AT36" s="27"/>
      <c r="AY36" s="27"/>
      <c r="BD36" s="27"/>
      <c r="BI36" s="27"/>
      <c r="BL36" s="109"/>
    </row>
    <row r="37" spans="1:74">
      <c r="A37" s="1" t="s">
        <v>289</v>
      </c>
      <c r="B37" s="41">
        <v>-61</v>
      </c>
      <c r="C37" s="41">
        <v>-75</v>
      </c>
      <c r="D37" s="41">
        <v>-67</v>
      </c>
      <c r="E37" s="42">
        <f>F37-SUM(B37:D37)</f>
        <v>-72</v>
      </c>
      <c r="F37" s="43">
        <v>-275</v>
      </c>
      <c r="G37" s="41">
        <v>-73</v>
      </c>
      <c r="H37" s="41">
        <v>-73</v>
      </c>
      <c r="I37" s="41">
        <v>-81</v>
      </c>
      <c r="J37" s="42">
        <f>K37-SUM(G37:I37)</f>
        <v>-79</v>
      </c>
      <c r="K37" s="43">
        <v>-306</v>
      </c>
      <c r="L37" s="41">
        <v>-87</v>
      </c>
      <c r="M37" s="41">
        <v>-93</v>
      </c>
      <c r="N37" s="41">
        <v>-87</v>
      </c>
      <c r="O37" s="42">
        <f>P37-SUM(L37:N37)</f>
        <v>-93</v>
      </c>
      <c r="P37" s="43">
        <v>-360</v>
      </c>
      <c r="Q37" s="41">
        <v>-102</v>
      </c>
      <c r="R37" s="41">
        <v>-109</v>
      </c>
      <c r="S37" s="41">
        <v>-106</v>
      </c>
      <c r="T37" s="42">
        <f>U37-SUM(Q37:S37)</f>
        <v>-158</v>
      </c>
      <c r="U37" s="43">
        <v>-475</v>
      </c>
      <c r="V37" s="41">
        <v>-123</v>
      </c>
      <c r="W37" s="41">
        <v>-154</v>
      </c>
      <c r="X37" s="41">
        <v>-203</v>
      </c>
      <c r="Y37" s="42">
        <f>Z37-SUM(V37:X37)</f>
        <v>-242</v>
      </c>
      <c r="Z37" s="43">
        <v>-722</v>
      </c>
      <c r="AA37" s="41">
        <v>-262</v>
      </c>
      <c r="AB37" s="41">
        <v>-553</v>
      </c>
      <c r="AC37" s="41">
        <v>-643</v>
      </c>
      <c r="AD37" s="63">
        <v>-698</v>
      </c>
      <c r="AE37" s="23">
        <f>SUM(AA37:AD37)</f>
        <v>-2156</v>
      </c>
      <c r="AF37" s="41">
        <v>-679</v>
      </c>
      <c r="AG37" s="41">
        <v>-673</v>
      </c>
      <c r="AH37" s="41">
        <v>-669</v>
      </c>
      <c r="AI37" s="63">
        <v>-661</v>
      </c>
      <c r="AJ37" s="23">
        <f>SUM(AF37:AI37)</f>
        <v>-2682</v>
      </c>
      <c r="AK37" s="41">
        <v>-630</v>
      </c>
      <c r="AL37" s="41">
        <v>-650</v>
      </c>
      <c r="AM37" s="41">
        <v>-621</v>
      </c>
      <c r="AN37" s="63">
        <v>-632</v>
      </c>
      <c r="AO37" s="23">
        <f>SUM(AK37:AN37)</f>
        <v>-2533</v>
      </c>
      <c r="AP37" s="41">
        <v>-649</v>
      </c>
      <c r="AQ37" s="41">
        <v>-621</v>
      </c>
      <c r="AR37" s="41">
        <v>-589</v>
      </c>
      <c r="AS37" s="63">
        <v>-600</v>
      </c>
      <c r="AT37" s="23">
        <f>SUM(AP37:AS37)</f>
        <v>-2459</v>
      </c>
      <c r="AU37" s="41">
        <v>-569</v>
      </c>
      <c r="AV37" s="41">
        <v>-673</v>
      </c>
      <c r="AW37" s="41">
        <v>-728</v>
      </c>
      <c r="AX37" s="63">
        <v>-755</v>
      </c>
      <c r="AY37" s="23">
        <f>SUM(AU37:AX37)</f>
        <v>-2725</v>
      </c>
      <c r="AZ37" s="41">
        <v>-708</v>
      </c>
      <c r="BA37" s="41">
        <v>-710</v>
      </c>
      <c r="BB37" s="41">
        <v>-694</v>
      </c>
      <c r="BC37" s="41">
        <v>-659</v>
      </c>
      <c r="BD37" s="23">
        <f>SUM(AZ37:BC37)</f>
        <v>-2771</v>
      </c>
      <c r="BE37" s="37">
        <f>-'Debt_Qtr '!BE202</f>
        <v>-691.95753124999999</v>
      </c>
      <c r="BF37" s="37">
        <f>-'Debt_Qtr '!BF202</f>
        <v>-683.06428125000002</v>
      </c>
      <c r="BG37" s="37">
        <f>-'Debt_Qtr '!BG202</f>
        <v>-670.01790625000001</v>
      </c>
      <c r="BH37" s="37">
        <f>-'Debt_Qtr '!BH202</f>
        <v>-664.10853124999994</v>
      </c>
      <c r="BI37" s="23">
        <f>SUM(BE37:BH37)</f>
        <v>-2709.1482500000002</v>
      </c>
      <c r="BL37" s="109"/>
    </row>
    <row r="38" spans="1:74">
      <c r="A38" s="1" t="s">
        <v>47</v>
      </c>
      <c r="B38" s="41">
        <v>0</v>
      </c>
      <c r="C38" s="41">
        <v>0</v>
      </c>
      <c r="D38" s="41">
        <v>0</v>
      </c>
      <c r="E38" s="67">
        <f>+F38-SUM(B38:D38)</f>
        <v>0</v>
      </c>
      <c r="F38" s="43">
        <v>0</v>
      </c>
      <c r="G38" s="41">
        <v>0</v>
      </c>
      <c r="H38" s="41">
        <v>0</v>
      </c>
      <c r="I38" s="41">
        <v>0</v>
      </c>
      <c r="J38" s="67">
        <f>+K38-SUM(G38:I38)</f>
        <v>0</v>
      </c>
      <c r="K38" s="43">
        <v>0</v>
      </c>
      <c r="L38" s="41">
        <v>0</v>
      </c>
      <c r="M38" s="41">
        <v>0</v>
      </c>
      <c r="N38" s="41">
        <v>0</v>
      </c>
      <c r="O38" s="67">
        <f>+P38-SUM(L38:N38)</f>
        <v>0</v>
      </c>
      <c r="P38" s="43">
        <v>0</v>
      </c>
      <c r="Q38" s="41">
        <v>0</v>
      </c>
      <c r="R38" s="41">
        <v>0</v>
      </c>
      <c r="S38" s="41">
        <v>0</v>
      </c>
      <c r="T38" s="67">
        <f>+U38-SUM(Q38:S38)</f>
        <v>0</v>
      </c>
      <c r="U38" s="43">
        <v>0</v>
      </c>
      <c r="V38" s="41">
        <v>0</v>
      </c>
      <c r="W38" s="41">
        <v>0</v>
      </c>
      <c r="X38" s="41">
        <v>0</v>
      </c>
      <c r="Y38" s="67">
        <f>+Z38-SUM(V38:X38)</f>
        <v>0</v>
      </c>
      <c r="Z38" s="43">
        <v>0</v>
      </c>
      <c r="AA38" s="41">
        <v>0</v>
      </c>
      <c r="AB38" s="41">
        <v>0</v>
      </c>
      <c r="AC38" s="41">
        <v>0</v>
      </c>
      <c r="AD38" s="63">
        <f>AC38</f>
        <v>0</v>
      </c>
      <c r="AE38" s="23">
        <f>SUM(AA38:AD38)</f>
        <v>0</v>
      </c>
      <c r="AF38" s="261">
        <v>0</v>
      </c>
      <c r="AG38" s="41">
        <v>0</v>
      </c>
      <c r="AH38" s="41">
        <v>0</v>
      </c>
      <c r="AI38" s="63">
        <f>AH38</f>
        <v>0</v>
      </c>
      <c r="AJ38" s="23">
        <f>SUM(AF38:AI38)</f>
        <v>0</v>
      </c>
      <c r="AK38" s="261">
        <v>0</v>
      </c>
      <c r="AL38" s="41">
        <v>0</v>
      </c>
      <c r="AM38" s="41">
        <v>0</v>
      </c>
      <c r="AN38" s="63">
        <f>AM38</f>
        <v>0</v>
      </c>
      <c r="AO38" s="23">
        <f>SUM(AK38:AN38)</f>
        <v>0</v>
      </c>
      <c r="AP38" s="261">
        <v>0</v>
      </c>
      <c r="AQ38" s="41">
        <v>0</v>
      </c>
      <c r="AR38" s="41">
        <v>0</v>
      </c>
      <c r="AS38" s="63">
        <v>0</v>
      </c>
      <c r="AT38" s="23">
        <f>SUM(AP38:AS38)</f>
        <v>0</v>
      </c>
      <c r="AU38" s="261">
        <v>0</v>
      </c>
      <c r="AV38" s="41">
        <v>0</v>
      </c>
      <c r="AW38" s="41">
        <v>0</v>
      </c>
      <c r="AX38" s="63">
        <v>0</v>
      </c>
      <c r="AY38" s="23">
        <f>SUM(AU38:AX38)</f>
        <v>0</v>
      </c>
      <c r="AZ38" s="261">
        <v>0</v>
      </c>
      <c r="BA38" s="41">
        <v>0</v>
      </c>
      <c r="BB38" s="41">
        <v>0</v>
      </c>
      <c r="BC38" s="41">
        <v>0</v>
      </c>
      <c r="BD38" s="23">
        <f>SUM(AZ38:BC38)</f>
        <v>0</v>
      </c>
      <c r="BE38" s="41">
        <v>0</v>
      </c>
      <c r="BF38" s="41">
        <v>0</v>
      </c>
      <c r="BG38" s="41">
        <v>0</v>
      </c>
      <c r="BH38" s="41">
        <v>0</v>
      </c>
      <c r="BI38" s="23">
        <f>SUM(BE38:BH38)</f>
        <v>0</v>
      </c>
      <c r="BL38" s="109"/>
    </row>
    <row r="39" spans="1:74">
      <c r="A39" s="1" t="s">
        <v>290</v>
      </c>
      <c r="B39" s="41">
        <v>-12</v>
      </c>
      <c r="C39" s="41">
        <v>15</v>
      </c>
      <c r="D39" s="41">
        <v>-26</v>
      </c>
      <c r="E39" s="42">
        <f>+F39-SUM(B39:D39)</f>
        <v>10</v>
      </c>
      <c r="F39" s="43">
        <v>-13</v>
      </c>
      <c r="G39" s="41">
        <v>26</v>
      </c>
      <c r="H39" s="41">
        <v>13</v>
      </c>
      <c r="I39" s="41">
        <v>2</v>
      </c>
      <c r="J39" s="42">
        <f>+K39-SUM(G39:I39)</f>
        <v>-1</v>
      </c>
      <c r="K39" s="43">
        <v>40</v>
      </c>
      <c r="L39" s="41">
        <v>26</v>
      </c>
      <c r="M39" s="41">
        <v>25</v>
      </c>
      <c r="N39" s="41">
        <v>40</v>
      </c>
      <c r="O39" s="42">
        <f>+P39-SUM(L39:N39)</f>
        <v>32</v>
      </c>
      <c r="P39" s="43">
        <v>123</v>
      </c>
      <c r="Q39" s="41">
        <v>66</v>
      </c>
      <c r="R39" s="41">
        <v>-15</v>
      </c>
      <c r="S39" s="41">
        <v>12</v>
      </c>
      <c r="T39" s="42">
        <f>+U39-SUM(Q39:S39)</f>
        <v>29</v>
      </c>
      <c r="U39" s="43">
        <v>92</v>
      </c>
      <c r="V39" s="41">
        <v>106</v>
      </c>
      <c r="W39" s="41">
        <v>107</v>
      </c>
      <c r="X39" s="41">
        <v>121</v>
      </c>
      <c r="Y39" s="42">
        <f>+Z39-SUM(V39:X39)</f>
        <v>104</v>
      </c>
      <c r="Z39" s="43">
        <v>438</v>
      </c>
      <c r="AA39" s="41">
        <f>112</f>
        <v>112</v>
      </c>
      <c r="AB39" s="41">
        <v>94</v>
      </c>
      <c r="AC39" s="41">
        <v>119</v>
      </c>
      <c r="AD39" s="63">
        <v>122</v>
      </c>
      <c r="AE39" s="23">
        <f>SUM(AA39:AD39)</f>
        <v>447</v>
      </c>
      <c r="AF39" s="261">
        <v>190</v>
      </c>
      <c r="AG39" s="41">
        <v>199</v>
      </c>
      <c r="AH39" s="41">
        <v>30</v>
      </c>
      <c r="AI39" s="63">
        <v>132</v>
      </c>
      <c r="AJ39" s="23">
        <f>SUM(AF39:AI39)</f>
        <v>551</v>
      </c>
      <c r="AK39" s="261">
        <v>181</v>
      </c>
      <c r="AL39" s="41">
        <v>253</v>
      </c>
      <c r="AM39" s="41">
        <v>288</v>
      </c>
      <c r="AN39" s="63">
        <v>336</v>
      </c>
      <c r="AO39" s="23">
        <f>SUM(AK39:AN39)</f>
        <v>1058</v>
      </c>
      <c r="AP39" s="261">
        <v>302</v>
      </c>
      <c r="AQ39" s="41">
        <v>320</v>
      </c>
      <c r="AR39" s="41">
        <v>297</v>
      </c>
      <c r="AS39" s="63">
        <v>308</v>
      </c>
      <c r="AT39" s="23">
        <f>SUM(AP39:AS39)</f>
        <v>1227</v>
      </c>
      <c r="AU39" s="261">
        <v>277</v>
      </c>
      <c r="AV39" s="41">
        <v>248</v>
      </c>
      <c r="AW39" s="41">
        <v>265</v>
      </c>
      <c r="AX39" s="63">
        <v>432</v>
      </c>
      <c r="AY39" s="23">
        <f>SUM(AU39:AX39)</f>
        <v>1222</v>
      </c>
      <c r="AZ39" s="261">
        <v>323</v>
      </c>
      <c r="BA39" s="41">
        <v>325</v>
      </c>
      <c r="BB39" s="41">
        <v>276</v>
      </c>
      <c r="BC39" s="63">
        <v>201</v>
      </c>
      <c r="BD39" s="23">
        <f>SUM(AZ39:BC39)</f>
        <v>1125</v>
      </c>
      <c r="BE39" s="425">
        <v>250</v>
      </c>
      <c r="BF39" s="425">
        <v>250</v>
      </c>
      <c r="BG39" s="425">
        <v>250</v>
      </c>
      <c r="BH39" s="425">
        <f>BI39-SUM(BE39:BG39)</f>
        <v>375</v>
      </c>
      <c r="BI39" s="43">
        <v>1125</v>
      </c>
      <c r="BJ39" s="109"/>
      <c r="BL39" s="109"/>
    </row>
    <row r="40" spans="1:74">
      <c r="A40" s="9" t="s">
        <v>48</v>
      </c>
      <c r="B40" s="24">
        <f>B34+B37+B38+B39</f>
        <v>1946</v>
      </c>
      <c r="C40" s="24">
        <f>C34+C37+C38+C39</f>
        <v>1623</v>
      </c>
      <c r="D40" s="24">
        <f>D34+D37+D38+D39</f>
        <v>2487</v>
      </c>
      <c r="E40" s="24">
        <f>F40-SUM(B40:D40)</f>
        <v>1099</v>
      </c>
      <c r="F40" s="25">
        <f>F34+F37+F38+F39</f>
        <v>7155</v>
      </c>
      <c r="G40" s="24">
        <f>G34+G37+G38+G39</f>
        <v>1741</v>
      </c>
      <c r="H40" s="24">
        <f>H34+H37+H38+H39</f>
        <v>-479</v>
      </c>
      <c r="I40" s="24">
        <f>I34+I37+I38+I39</f>
        <v>2203</v>
      </c>
      <c r="J40" s="24">
        <f>K40-SUM(G40:I40)</f>
        <v>2103</v>
      </c>
      <c r="K40" s="25">
        <f>K34+K37+K38+K39</f>
        <v>5568</v>
      </c>
      <c r="L40" s="24">
        <f>L34+L37+L38+L39</f>
        <v>2145</v>
      </c>
      <c r="M40" s="24">
        <f>M34+M37+M38+M39</f>
        <v>2462</v>
      </c>
      <c r="N40" s="24">
        <f>N34+N37+N38+N39</f>
        <v>2583</v>
      </c>
      <c r="O40" s="24">
        <f>P40-SUM(L40:N40)</f>
        <v>2917</v>
      </c>
      <c r="P40" s="25">
        <f>P34+P37+P38+P39</f>
        <v>10107</v>
      </c>
      <c r="Q40" s="24">
        <f>Q34+Q37+Q38+Q39</f>
        <v>2839</v>
      </c>
      <c r="R40" s="24">
        <f>R34+R37+R38+R39</f>
        <v>2586</v>
      </c>
      <c r="S40" s="24">
        <f>S34+S37+S38+S39</f>
        <v>2133</v>
      </c>
      <c r="T40" s="24">
        <f>U40-SUM(Q40:S40)</f>
        <v>4046</v>
      </c>
      <c r="U40" s="25">
        <f>U34+U37+U38+U39</f>
        <v>11604</v>
      </c>
      <c r="V40" s="24">
        <f>V34+V37+V38+V39</f>
        <v>2333</v>
      </c>
      <c r="W40" s="24">
        <f>W34+W37+W38+W39</f>
        <v>-3427</v>
      </c>
      <c r="X40" s="24">
        <f>X34+X37+X38+X39</f>
        <v>1177</v>
      </c>
      <c r="Y40" s="24">
        <f>Z40-SUM(V40:X40)</f>
        <v>-2342</v>
      </c>
      <c r="Z40" s="25">
        <f t="shared" ref="Z40:AL40" si="73">Z34+Z37+Z38+Z39</f>
        <v>-2259</v>
      </c>
      <c r="AA40" s="24">
        <f t="shared" si="73"/>
        <v>-1503</v>
      </c>
      <c r="AB40" s="24">
        <f t="shared" ref="AB40:AG40" si="74">AB34+AB37+AB38+AB39</f>
        <v>-3423</v>
      </c>
      <c r="AC40" s="24">
        <f t="shared" si="74"/>
        <v>-925</v>
      </c>
      <c r="AD40" s="24">
        <f t="shared" si="74"/>
        <v>-8625</v>
      </c>
      <c r="AE40" s="25">
        <f t="shared" si="74"/>
        <v>-14476</v>
      </c>
      <c r="AF40" s="24">
        <f t="shared" si="74"/>
        <v>-572</v>
      </c>
      <c r="AG40" s="24">
        <f t="shared" si="74"/>
        <v>549</v>
      </c>
      <c r="AH40" s="24">
        <f t="shared" si="73"/>
        <v>-310</v>
      </c>
      <c r="AI40" s="24">
        <f t="shared" si="73"/>
        <v>-4700</v>
      </c>
      <c r="AJ40" s="25">
        <f t="shared" si="73"/>
        <v>-5033</v>
      </c>
      <c r="AK40" s="24">
        <f t="shared" si="73"/>
        <v>-1618</v>
      </c>
      <c r="AL40" s="24">
        <f t="shared" si="73"/>
        <v>377</v>
      </c>
      <c r="AM40" s="24">
        <f>AM34+AM37+AM38+AM39</f>
        <v>-3132</v>
      </c>
      <c r="AN40" s="24">
        <f t="shared" ref="AN40:AQ40" si="75">AN34+AN37+AN38+AN39</f>
        <v>-649</v>
      </c>
      <c r="AO40" s="25">
        <f t="shared" si="75"/>
        <v>-5022</v>
      </c>
      <c r="AP40" s="24">
        <f t="shared" si="75"/>
        <v>-496</v>
      </c>
      <c r="AQ40" s="24">
        <f t="shared" si="75"/>
        <v>-400</v>
      </c>
      <c r="AR40" s="24">
        <f>AR34+AR37+AR38+AR39</f>
        <v>-1100</v>
      </c>
      <c r="AS40" s="24">
        <f t="shared" ref="AS40:AV40" si="76">AS34+AS37+AS38+AS39</f>
        <v>-9</v>
      </c>
      <c r="AT40" s="25">
        <f t="shared" si="76"/>
        <v>-2005</v>
      </c>
      <c r="AU40" s="24">
        <f t="shared" si="76"/>
        <v>-378</v>
      </c>
      <c r="AV40" s="24">
        <f t="shared" si="76"/>
        <v>-1515</v>
      </c>
      <c r="AW40" s="24">
        <f t="shared" ref="AW40:BG40" si="77">AW34+AW37+AW38+AW39</f>
        <v>-6224</v>
      </c>
      <c r="AX40" s="24">
        <f t="shared" si="77"/>
        <v>-4093</v>
      </c>
      <c r="AY40" s="25">
        <f t="shared" si="77"/>
        <v>-12210</v>
      </c>
      <c r="AZ40" s="24">
        <f t="shared" si="77"/>
        <v>76</v>
      </c>
      <c r="BA40" s="24">
        <f t="shared" si="77"/>
        <v>-561</v>
      </c>
      <c r="BB40" s="24">
        <f t="shared" ref="BB40" si="78">BB34+BB37+BB38+BB39</f>
        <v>-5199</v>
      </c>
      <c r="BC40" s="24">
        <f t="shared" si="77"/>
        <v>8319</v>
      </c>
      <c r="BD40" s="25">
        <f t="shared" si="77"/>
        <v>2635</v>
      </c>
      <c r="BE40" s="24">
        <f t="shared" si="77"/>
        <v>-261.62934920994564</v>
      </c>
      <c r="BF40" s="24">
        <f t="shared" si="77"/>
        <v>47.982754562146056</v>
      </c>
      <c r="BG40" s="24">
        <f t="shared" si="77"/>
        <v>267.63335491425858</v>
      </c>
      <c r="BH40" s="24">
        <f t="shared" ref="BH40:BI40" si="79">BH34+BH37+BH38+BH39</f>
        <v>473.85874498815633</v>
      </c>
      <c r="BI40" s="25">
        <f t="shared" si="79"/>
        <v>527.84550525461509</v>
      </c>
      <c r="BL40" s="109"/>
    </row>
    <row r="41" spans="1:74">
      <c r="A41" s="1" t="s">
        <v>4</v>
      </c>
      <c r="B41" s="34"/>
      <c r="C41" s="35"/>
      <c r="D41" s="35"/>
      <c r="E41" s="35"/>
      <c r="F41" s="36">
        <f>F40/Income_Statement_Annual!P40-1</f>
        <v>2.5220680958386588E-3</v>
      </c>
      <c r="G41" s="34">
        <f t="shared" ref="G41:AH41" si="80">G40/B40-1</f>
        <v>-0.10534429599177797</v>
      </c>
      <c r="H41" s="35">
        <f t="shared" si="80"/>
        <v>-1.2951324707332101</v>
      </c>
      <c r="I41" s="35">
        <f t="shared" si="80"/>
        <v>-0.11419380780056287</v>
      </c>
      <c r="J41" s="35">
        <f t="shared" si="80"/>
        <v>0.913557779799818</v>
      </c>
      <c r="K41" s="36">
        <f t="shared" si="80"/>
        <v>-0.22180293501048221</v>
      </c>
      <c r="L41" s="34">
        <f t="shared" si="80"/>
        <v>0.23205054566341188</v>
      </c>
      <c r="M41" s="35">
        <f t="shared" si="80"/>
        <v>-6.1398747390396657</v>
      </c>
      <c r="N41" s="35">
        <f t="shared" si="80"/>
        <v>0.17249205628688147</v>
      </c>
      <c r="O41" s="35">
        <f t="shared" si="80"/>
        <v>0.38706609605325726</v>
      </c>
      <c r="P41" s="36">
        <f t="shared" si="80"/>
        <v>0.81519396551724133</v>
      </c>
      <c r="Q41" s="34">
        <f t="shared" si="80"/>
        <v>0.32354312354312365</v>
      </c>
      <c r="R41" s="35">
        <f t="shared" si="80"/>
        <v>5.0365556458163985E-2</v>
      </c>
      <c r="S41" s="35">
        <f t="shared" si="80"/>
        <v>-0.17421602787456447</v>
      </c>
      <c r="T41" s="35">
        <f t="shared" si="80"/>
        <v>0.38704148097360291</v>
      </c>
      <c r="U41" s="36">
        <f t="shared" si="80"/>
        <v>0.14811516770555055</v>
      </c>
      <c r="V41" s="34">
        <f t="shared" si="80"/>
        <v>-0.17823177175061644</v>
      </c>
      <c r="W41" s="35">
        <f t="shared" si="80"/>
        <v>-2.3252126836813609</v>
      </c>
      <c r="X41" s="35">
        <f t="shared" si="80"/>
        <v>-0.4481950304735115</v>
      </c>
      <c r="Y41" s="35">
        <f t="shared" si="80"/>
        <v>-1.578843302026693</v>
      </c>
      <c r="Z41" s="36">
        <f t="shared" si="80"/>
        <v>-1.1946742502585315</v>
      </c>
      <c r="AA41" s="34">
        <f t="shared" si="80"/>
        <v>-1.6442348906986712</v>
      </c>
      <c r="AB41" s="34">
        <f t="shared" si="80"/>
        <v>-1.1672016340822378E-3</v>
      </c>
      <c r="AC41" s="34">
        <f t="shared" si="80"/>
        <v>-1.7858963466440101</v>
      </c>
      <c r="AD41" s="35">
        <f t="shared" si="80"/>
        <v>2.6827497865072587</v>
      </c>
      <c r="AE41" s="36">
        <f t="shared" si="80"/>
        <v>5.4081451969898184</v>
      </c>
      <c r="AF41" s="35">
        <f t="shared" si="80"/>
        <v>-0.61942781104457745</v>
      </c>
      <c r="AG41" s="34">
        <f t="shared" si="80"/>
        <v>-1.1603856266432953</v>
      </c>
      <c r="AH41" s="35">
        <f t="shared" si="80"/>
        <v>-0.66486486486486485</v>
      </c>
      <c r="AI41" s="35">
        <f t="shared" ref="AI41:AR41" si="81">AI40/AD40-1</f>
        <v>-0.45507246376811594</v>
      </c>
      <c r="AJ41" s="36">
        <f t="shared" si="81"/>
        <v>-0.65232108317214699</v>
      </c>
      <c r="AK41" s="35">
        <f t="shared" si="81"/>
        <v>1.8286713286713288</v>
      </c>
      <c r="AL41" s="34">
        <f t="shared" si="81"/>
        <v>-0.31329690346083794</v>
      </c>
      <c r="AM41" s="35">
        <f t="shared" si="81"/>
        <v>9.1032258064516132</v>
      </c>
      <c r="AN41" s="35">
        <f t="shared" ref="AN41" si="82">AN40/AI40-1</f>
        <v>-0.86191489361702134</v>
      </c>
      <c r="AO41" s="36">
        <f t="shared" ref="AO41" si="83">AO40/AJ40-1</f>
        <v>-2.1855752036559206E-3</v>
      </c>
      <c r="AP41" s="35">
        <f t="shared" si="81"/>
        <v>-0.69344870210135978</v>
      </c>
      <c r="AQ41" s="34">
        <f t="shared" si="81"/>
        <v>-2.0610079575596818</v>
      </c>
      <c r="AR41" s="35">
        <f t="shared" si="81"/>
        <v>-0.64878671775223506</v>
      </c>
      <c r="AS41" s="35">
        <f t="shared" ref="AS41" si="84">AS40/AN40-1</f>
        <v>-0.98613251155624038</v>
      </c>
      <c r="AT41" s="36">
        <f t="shared" ref="AT41:AW41" si="85">AT40/AO40-1</f>
        <v>-0.60075667064914384</v>
      </c>
      <c r="AU41" s="35">
        <f t="shared" si="85"/>
        <v>-0.23790322580645162</v>
      </c>
      <c r="AV41" s="34">
        <f t="shared" si="85"/>
        <v>2.7875000000000001</v>
      </c>
      <c r="AW41" s="35">
        <f t="shared" si="85"/>
        <v>4.6581818181818182</v>
      </c>
      <c r="AX41" s="35">
        <f t="shared" ref="AX41" si="86">AX40/AS40-1</f>
        <v>453.77777777777777</v>
      </c>
      <c r="AY41" s="36">
        <f t="shared" ref="AY41:BB41" si="87">AY40/AT40-1</f>
        <v>5.089775561097257</v>
      </c>
      <c r="AZ41" s="35">
        <f t="shared" si="87"/>
        <v>-1.2010582010582009</v>
      </c>
      <c r="BA41" s="34">
        <f t="shared" si="87"/>
        <v>-0.62970297029702971</v>
      </c>
      <c r="BB41" s="35">
        <f t="shared" si="87"/>
        <v>-0.1646850899742931</v>
      </c>
      <c r="BC41" s="35">
        <f t="shared" ref="BC41" si="88">BC40/AX40-1</f>
        <v>-3.032494502809675</v>
      </c>
      <c r="BD41" s="36">
        <f t="shared" ref="BD41:BG41" si="89">BD40/AY40-1</f>
        <v>-1.2158067158067158</v>
      </c>
      <c r="BE41" s="35">
        <f t="shared" si="89"/>
        <v>-4.4424914369729684</v>
      </c>
      <c r="BF41" s="35">
        <f t="shared" si="89"/>
        <v>-1.0855307567952692</v>
      </c>
      <c r="BG41" s="35">
        <f t="shared" si="89"/>
        <v>-1.0514778524551374</v>
      </c>
      <c r="BH41" s="35">
        <f t="shared" ref="BH41" si="90">BH40/BC40-1</f>
        <v>-0.94303897764296718</v>
      </c>
      <c r="BI41" s="36">
        <f t="shared" ref="BI41" si="91">BI40/BD40-1</f>
        <v>-0.7996791251405635</v>
      </c>
      <c r="BL41" s="109"/>
    </row>
    <row r="42" spans="1:74" ht="6.75" customHeight="1">
      <c r="A42" s="1"/>
      <c r="B42" s="34"/>
      <c r="C42" s="35"/>
      <c r="D42" s="35"/>
      <c r="E42" s="35"/>
      <c r="F42" s="36"/>
      <c r="G42" s="34"/>
      <c r="H42" s="35"/>
      <c r="I42" s="35"/>
      <c r="J42" s="35"/>
      <c r="K42" s="36"/>
      <c r="L42" s="34"/>
      <c r="M42" s="35"/>
      <c r="N42" s="35"/>
      <c r="O42" s="35"/>
      <c r="P42" s="36"/>
      <c r="Q42" s="34"/>
      <c r="R42" s="35"/>
      <c r="S42" s="35"/>
      <c r="T42" s="35"/>
      <c r="U42" s="36"/>
      <c r="V42" s="34"/>
      <c r="W42" s="35"/>
      <c r="X42" s="35"/>
      <c r="Y42" s="35"/>
      <c r="Z42" s="36"/>
      <c r="AA42" s="34"/>
      <c r="AB42" s="34"/>
      <c r="AC42" s="34"/>
      <c r="AD42" s="35"/>
      <c r="AE42" s="36"/>
      <c r="AF42" s="35"/>
      <c r="AG42" s="34"/>
      <c r="AH42" s="34"/>
      <c r="AI42" s="35"/>
      <c r="AJ42" s="36"/>
      <c r="AK42" s="35"/>
      <c r="AL42" s="34"/>
      <c r="AM42" s="34"/>
      <c r="AN42" s="35"/>
      <c r="AO42" s="36"/>
      <c r="AP42" s="35"/>
      <c r="AQ42" s="34"/>
      <c r="AR42" s="34"/>
      <c r="AS42" s="35"/>
      <c r="AT42" s="36"/>
      <c r="AU42" s="35"/>
      <c r="AV42" s="34"/>
      <c r="AW42" s="34"/>
      <c r="AX42" s="35"/>
      <c r="AY42" s="36"/>
      <c r="AZ42" s="35"/>
      <c r="BA42" s="34"/>
      <c r="BB42" s="34"/>
      <c r="BC42" s="35"/>
      <c r="BD42" s="36"/>
      <c r="BE42" s="34"/>
      <c r="BF42" s="34"/>
      <c r="BG42" s="34"/>
      <c r="BH42" s="35"/>
      <c r="BI42" s="36"/>
      <c r="BL42" s="109"/>
    </row>
    <row r="43" spans="1:74" s="5" customFormat="1">
      <c r="A43" s="14" t="s">
        <v>441</v>
      </c>
      <c r="B43" s="81">
        <v>-610</v>
      </c>
      <c r="C43" s="81">
        <v>-513</v>
      </c>
      <c r="D43" s="81">
        <v>-783</v>
      </c>
      <c r="E43" s="39">
        <f>+F43-SUM(B43:D43)</f>
        <v>-73</v>
      </c>
      <c r="F43" s="82">
        <v>-1979</v>
      </c>
      <c r="G43" s="81">
        <v>-522</v>
      </c>
      <c r="H43" s="81">
        <v>245</v>
      </c>
      <c r="I43" s="81">
        <v>76</v>
      </c>
      <c r="J43" s="39">
        <f>+K43-SUM(G43:I43)</f>
        <v>-472</v>
      </c>
      <c r="K43" s="82">
        <v>-673</v>
      </c>
      <c r="L43" s="81">
        <v>-566</v>
      </c>
      <c r="M43" s="81">
        <v>-713</v>
      </c>
      <c r="N43" s="81">
        <v>-773</v>
      </c>
      <c r="O43" s="39">
        <f>+P43-SUM(L43:N43)</f>
        <v>403</v>
      </c>
      <c r="P43" s="82">
        <v>-1649</v>
      </c>
      <c r="Q43" s="81">
        <v>-362</v>
      </c>
      <c r="R43" s="81">
        <v>-390</v>
      </c>
      <c r="S43" s="81">
        <v>230</v>
      </c>
      <c r="T43" s="39">
        <f>+U43-SUM(Q43:S43)</f>
        <v>-622</v>
      </c>
      <c r="U43" s="82">
        <v>-1144</v>
      </c>
      <c r="V43" s="81">
        <v>-184</v>
      </c>
      <c r="W43" s="81">
        <v>485</v>
      </c>
      <c r="X43" s="81">
        <v>-10</v>
      </c>
      <c r="Y43" s="39">
        <f>+Z43-SUM(V43:X43)</f>
        <v>1332</v>
      </c>
      <c r="Z43" s="82">
        <v>1623</v>
      </c>
      <c r="AA43" s="81">
        <f>862</f>
        <v>862</v>
      </c>
      <c r="AB43" s="81">
        <v>1028</v>
      </c>
      <c r="AC43" s="81">
        <v>459</v>
      </c>
      <c r="AD43" s="81">
        <v>186</v>
      </c>
      <c r="AE43" s="40">
        <f>SUM(AA43:AD43)</f>
        <v>2535</v>
      </c>
      <c r="AF43" s="81">
        <v>11</v>
      </c>
      <c r="AG43" s="81">
        <v>18</v>
      </c>
      <c r="AH43" s="81">
        <v>178</v>
      </c>
      <c r="AI43" s="81">
        <v>536</v>
      </c>
      <c r="AJ43" s="40">
        <f>SUM(AF43:AI43)</f>
        <v>743</v>
      </c>
      <c r="AK43" s="81">
        <v>376</v>
      </c>
      <c r="AL43" s="81">
        <v>-217</v>
      </c>
      <c r="AM43" s="81">
        <v>-176</v>
      </c>
      <c r="AN43" s="81">
        <v>-14</v>
      </c>
      <c r="AO43" s="40">
        <f>SUM(AK43:AN43)</f>
        <v>-31</v>
      </c>
      <c r="AP43" s="81">
        <v>71</v>
      </c>
      <c r="AQ43" s="81">
        <v>251</v>
      </c>
      <c r="AR43" s="81">
        <v>-538</v>
      </c>
      <c r="AS43" s="81">
        <v>-21</v>
      </c>
      <c r="AT43" s="40">
        <f>SUM(AP43:AS43)</f>
        <v>-237</v>
      </c>
      <c r="AU43" s="81">
        <v>23</v>
      </c>
      <c r="AV43" s="81">
        <v>76</v>
      </c>
      <c r="AW43" s="81">
        <v>50</v>
      </c>
      <c r="AX43" s="81">
        <v>232</v>
      </c>
      <c r="AY43" s="40">
        <f>SUM(AU43:AX43)</f>
        <v>381</v>
      </c>
      <c r="AZ43" s="81">
        <v>-107</v>
      </c>
      <c r="BA43" s="81">
        <v>-51</v>
      </c>
      <c r="BB43" s="81">
        <v>-140</v>
      </c>
      <c r="BC43" s="81">
        <v>-99</v>
      </c>
      <c r="BD43" s="40">
        <f>SUM(AZ43:BC43)</f>
        <v>-397</v>
      </c>
      <c r="BE43" s="104">
        <f t="shared" ref="BE43:BG43" si="92">-BE40*BE44</f>
        <v>26.162934920994566</v>
      </c>
      <c r="BF43" s="104">
        <f t="shared" si="92"/>
        <v>-4.7982754562146059</v>
      </c>
      <c r="BG43" s="104">
        <f t="shared" si="92"/>
        <v>-26.76333549142586</v>
      </c>
      <c r="BH43" s="39">
        <f>BI43-SUM(BE43:BG43)</f>
        <v>-47.38587449881561</v>
      </c>
      <c r="BI43" s="108">
        <f>-BI40*BI44</f>
        <v>-52.784550525461512</v>
      </c>
      <c r="BL43" s="109"/>
      <c r="BQ43"/>
      <c r="BR43"/>
      <c r="BS43"/>
      <c r="BT43"/>
      <c r="BU43"/>
      <c r="BV43"/>
    </row>
    <row r="44" spans="1:74">
      <c r="A44" s="1" t="s">
        <v>49</v>
      </c>
      <c r="B44" s="34">
        <f>IF(B43&gt;0,"NM",-B43/B40)</f>
        <v>0.31346351490236385</v>
      </c>
      <c r="C44" s="34">
        <f t="shared" ref="C44:AB44" si="93">IF(C43&gt;0,"NM",-C43/C40)</f>
        <v>0.31608133086876156</v>
      </c>
      <c r="D44" s="34">
        <f t="shared" si="93"/>
        <v>0.31483715319662242</v>
      </c>
      <c r="E44" s="34">
        <f t="shared" si="93"/>
        <v>6.6424021838034572E-2</v>
      </c>
      <c r="F44" s="36">
        <f t="shared" si="93"/>
        <v>0.27658979734451433</v>
      </c>
      <c r="G44" s="34">
        <f t="shared" si="93"/>
        <v>0.29982768523836878</v>
      </c>
      <c r="H44" s="34" t="str">
        <f t="shared" si="93"/>
        <v>NM</v>
      </c>
      <c r="I44" s="34" t="str">
        <f t="shared" si="93"/>
        <v>NM</v>
      </c>
      <c r="J44" s="34">
        <f t="shared" si="93"/>
        <v>0.22444127436994771</v>
      </c>
      <c r="K44" s="36">
        <f t="shared" si="93"/>
        <v>0.12086925287356322</v>
      </c>
      <c r="L44" s="34">
        <f t="shared" si="93"/>
        <v>0.26386946386946386</v>
      </c>
      <c r="M44" s="34">
        <f t="shared" si="93"/>
        <v>0.28960194963444352</v>
      </c>
      <c r="N44" s="34">
        <f t="shared" si="93"/>
        <v>0.29926442121564073</v>
      </c>
      <c r="O44" s="34" t="str">
        <f t="shared" si="93"/>
        <v>NM</v>
      </c>
      <c r="P44" s="36">
        <f t="shared" si="93"/>
        <v>0.16315424953002869</v>
      </c>
      <c r="Q44" s="34">
        <f t="shared" si="93"/>
        <v>0.12750968650933428</v>
      </c>
      <c r="R44" s="34">
        <f t="shared" si="93"/>
        <v>0.15081206496519722</v>
      </c>
      <c r="S44" s="34" t="str">
        <f t="shared" si="93"/>
        <v>NM</v>
      </c>
      <c r="T44" s="34">
        <f t="shared" si="93"/>
        <v>0.15373208106772121</v>
      </c>
      <c r="U44" s="36">
        <f t="shared" si="93"/>
        <v>9.8586694243364359E-2</v>
      </c>
      <c r="V44" s="34">
        <f t="shared" si="93"/>
        <v>7.8868409772824694E-2</v>
      </c>
      <c r="W44" s="34" t="str">
        <f t="shared" si="93"/>
        <v>NM</v>
      </c>
      <c r="X44" s="34">
        <f t="shared" si="93"/>
        <v>8.4961767204757861E-3</v>
      </c>
      <c r="Y44" s="34" t="str">
        <f t="shared" si="93"/>
        <v>NM</v>
      </c>
      <c r="Z44" s="36" t="str">
        <f t="shared" si="93"/>
        <v>NM</v>
      </c>
      <c r="AA44" s="34" t="str">
        <f t="shared" si="93"/>
        <v>NM</v>
      </c>
      <c r="AB44" s="34" t="str">
        <f t="shared" si="93"/>
        <v>NM</v>
      </c>
      <c r="AC44" s="34" t="str">
        <f t="shared" ref="AC44:AH44" si="94">IF(AC43&gt;0,"NM",-AC43/AC40)</f>
        <v>NM</v>
      </c>
      <c r="AD44" s="34" t="str">
        <f t="shared" si="94"/>
        <v>NM</v>
      </c>
      <c r="AE44" s="36" t="str">
        <f t="shared" si="94"/>
        <v>NM</v>
      </c>
      <c r="AF44" s="34" t="str">
        <f t="shared" si="94"/>
        <v>NM</v>
      </c>
      <c r="AG44" s="34" t="str">
        <f t="shared" si="94"/>
        <v>NM</v>
      </c>
      <c r="AH44" s="34" t="str">
        <f t="shared" si="94"/>
        <v>NM</v>
      </c>
      <c r="AI44" s="34">
        <f>-AI43/AI40</f>
        <v>0.11404255319148936</v>
      </c>
      <c r="AJ44" s="36" t="str">
        <f>IF(AJ43&gt;0,"NM",-AJ43/AJ40)</f>
        <v>NM</v>
      </c>
      <c r="AK44" s="34" t="str">
        <f>IF(AK43&gt;0,"NM",-AK43/AK40)</f>
        <v>NM</v>
      </c>
      <c r="AL44" s="34">
        <f>IF(AL43&gt;0,"NM",-AL43/AL40)</f>
        <v>0.5755968169761273</v>
      </c>
      <c r="AM44" s="34">
        <f>IF(AM43&gt;0,"NM",-AM43/AM40)</f>
        <v>-5.6194125159642401E-2</v>
      </c>
      <c r="AN44" s="34">
        <f>-AN43/AN40</f>
        <v>-2.1571648690292759E-2</v>
      </c>
      <c r="AO44" s="36">
        <f t="shared" ref="AO44:AR44" si="95">IF(AO43&gt;0,"NM",-AO43/AO40)</f>
        <v>-6.1728395061728392E-3</v>
      </c>
      <c r="AP44" s="34" t="str">
        <f t="shared" si="95"/>
        <v>NM</v>
      </c>
      <c r="AQ44" s="34" t="str">
        <f t="shared" si="95"/>
        <v>NM</v>
      </c>
      <c r="AR44" s="34">
        <f t="shared" si="95"/>
        <v>-0.48909090909090908</v>
      </c>
      <c r="AS44" s="34">
        <f>-AS43/AS40</f>
        <v>-2.3333333333333335</v>
      </c>
      <c r="AT44" s="36">
        <f t="shared" ref="AT44:AW44" si="96">IF(AT43&gt;0,"NM",-AT43/AT40)</f>
        <v>-0.11820448877805487</v>
      </c>
      <c r="AU44" s="34" t="str">
        <f t="shared" si="96"/>
        <v>NM</v>
      </c>
      <c r="AV44" s="34" t="str">
        <f t="shared" si="96"/>
        <v>NM</v>
      </c>
      <c r="AW44" s="34" t="str">
        <f t="shared" si="96"/>
        <v>NM</v>
      </c>
      <c r="AX44" s="34">
        <f>-AX43/AX40</f>
        <v>5.6682140239433181E-2</v>
      </c>
      <c r="AY44" s="36" t="str">
        <f t="shared" ref="AY44:BB44" si="97">IF(AY43&gt;0,"NM",-AY43/AY40)</f>
        <v>NM</v>
      </c>
      <c r="AZ44" s="34">
        <f t="shared" si="97"/>
        <v>1.4078947368421053</v>
      </c>
      <c r="BA44" s="34">
        <f t="shared" si="97"/>
        <v>-9.0909090909090912E-2</v>
      </c>
      <c r="BB44" s="34">
        <f t="shared" si="97"/>
        <v>-2.6928255433737256E-2</v>
      </c>
      <c r="BC44" s="110">
        <f t="shared" ref="BC44" si="98">IF(BC43&gt;0,"NM",-BC43/BC40)</f>
        <v>1.1900468806346917E-2</v>
      </c>
      <c r="BD44" s="226">
        <v>-5.9150000000000001E-2</v>
      </c>
      <c r="BE44" s="275">
        <f>$BI44</f>
        <v>0.1</v>
      </c>
      <c r="BF44" s="275">
        <f t="shared" ref="BF44:BG44" si="99">$BI44</f>
        <v>0.1</v>
      </c>
      <c r="BG44" s="275">
        <f t="shared" si="99"/>
        <v>0.1</v>
      </c>
      <c r="BH44" s="578">
        <f t="shared" ref="BH44" si="100">IF(BH43&gt;0,"NM",-BH43/BH40)</f>
        <v>9.999999999999995E-2</v>
      </c>
      <c r="BI44" s="276">
        <v>0.1</v>
      </c>
      <c r="BK44" s="444"/>
      <c r="BL44" s="109"/>
    </row>
    <row r="45" spans="1:74">
      <c r="A45" s="4"/>
      <c r="B45" s="34"/>
      <c r="C45" s="34"/>
      <c r="D45" s="34"/>
      <c r="E45" s="34"/>
      <c r="F45" s="36"/>
      <c r="G45" s="34"/>
      <c r="H45" s="34"/>
      <c r="I45" s="34"/>
      <c r="J45" s="34"/>
      <c r="K45" s="36"/>
      <c r="L45" s="34"/>
      <c r="M45" s="34"/>
      <c r="N45" s="34"/>
      <c r="O45" s="34"/>
      <c r="P45" s="36"/>
      <c r="Q45" s="34"/>
      <c r="R45" s="34"/>
      <c r="S45" s="34"/>
      <c r="T45" s="34"/>
      <c r="U45" s="36"/>
      <c r="V45" s="34"/>
      <c r="W45" s="34"/>
      <c r="X45" s="34"/>
      <c r="Y45" s="34"/>
      <c r="Z45" s="36"/>
      <c r="AA45" s="34"/>
      <c r="AB45" s="34"/>
      <c r="AC45" s="34"/>
      <c r="AD45" s="34"/>
      <c r="AE45" s="36"/>
      <c r="AF45" s="34"/>
      <c r="AG45" s="34"/>
      <c r="AH45" s="34"/>
      <c r="AI45" s="34"/>
      <c r="AJ45" s="36"/>
      <c r="AK45" s="34"/>
      <c r="AL45" s="34"/>
      <c r="AM45" s="34"/>
      <c r="AN45" s="34"/>
      <c r="AO45" s="36"/>
      <c r="AP45" s="34"/>
      <c r="AQ45" s="34"/>
      <c r="AR45" s="34"/>
      <c r="AS45" s="34"/>
      <c r="AT45" s="36"/>
      <c r="AU45" s="34"/>
      <c r="AV45" s="34"/>
      <c r="AW45" s="34"/>
      <c r="AX45" s="34"/>
      <c r="AY45" s="36"/>
      <c r="AZ45" s="34"/>
      <c r="BA45" s="34"/>
      <c r="BB45" s="34"/>
      <c r="BC45" s="34"/>
      <c r="BD45" s="36"/>
      <c r="BE45" s="34"/>
      <c r="BF45" s="34"/>
      <c r="BG45" s="34"/>
      <c r="BH45" s="34"/>
      <c r="BI45" s="36"/>
      <c r="BL45" s="109"/>
    </row>
    <row r="46" spans="1:74">
      <c r="A46" s="9" t="s">
        <v>576</v>
      </c>
      <c r="B46" s="24">
        <f>B40+B43</f>
        <v>1336</v>
      </c>
      <c r="C46" s="24">
        <f t="shared" ref="C46:AH46" si="101">C40+C43</f>
        <v>1110</v>
      </c>
      <c r="D46" s="24">
        <f t="shared" si="101"/>
        <v>1704</v>
      </c>
      <c r="E46" s="24">
        <f t="shared" si="101"/>
        <v>1026</v>
      </c>
      <c r="F46" s="25">
        <f t="shared" si="101"/>
        <v>5176</v>
      </c>
      <c r="G46" s="24">
        <f t="shared" si="101"/>
        <v>1219</v>
      </c>
      <c r="H46" s="24">
        <f t="shared" si="101"/>
        <v>-234</v>
      </c>
      <c r="I46" s="24">
        <f t="shared" si="101"/>
        <v>2279</v>
      </c>
      <c r="J46" s="24">
        <f t="shared" si="101"/>
        <v>1631</v>
      </c>
      <c r="K46" s="25">
        <f t="shared" si="101"/>
        <v>4895</v>
      </c>
      <c r="L46" s="24">
        <f t="shared" si="101"/>
        <v>1579</v>
      </c>
      <c r="M46" s="24">
        <f t="shared" si="101"/>
        <v>1749</v>
      </c>
      <c r="N46" s="24">
        <f t="shared" si="101"/>
        <v>1810</v>
      </c>
      <c r="O46" s="24">
        <f t="shared" si="101"/>
        <v>3320</v>
      </c>
      <c r="P46" s="25">
        <f t="shared" si="101"/>
        <v>8458</v>
      </c>
      <c r="Q46" s="24">
        <f t="shared" si="101"/>
        <v>2477</v>
      </c>
      <c r="R46" s="24">
        <f t="shared" si="101"/>
        <v>2196</v>
      </c>
      <c r="S46" s="24">
        <f t="shared" si="101"/>
        <v>2363</v>
      </c>
      <c r="T46" s="24">
        <f t="shared" si="101"/>
        <v>3424</v>
      </c>
      <c r="U46" s="25">
        <f t="shared" si="101"/>
        <v>10460</v>
      </c>
      <c r="V46" s="24">
        <f t="shared" si="101"/>
        <v>2149</v>
      </c>
      <c r="W46" s="24">
        <f t="shared" si="101"/>
        <v>-2942</v>
      </c>
      <c r="X46" s="24">
        <f t="shared" si="101"/>
        <v>1167</v>
      </c>
      <c r="Y46" s="24">
        <f t="shared" si="101"/>
        <v>-1010</v>
      </c>
      <c r="Z46" s="25">
        <f t="shared" si="101"/>
        <v>-636</v>
      </c>
      <c r="AA46" s="24">
        <f t="shared" si="101"/>
        <v>-641</v>
      </c>
      <c r="AB46" s="24">
        <f t="shared" si="101"/>
        <v>-2395</v>
      </c>
      <c r="AC46" s="24">
        <f>AC40+AC43</f>
        <v>-466</v>
      </c>
      <c r="AD46" s="24">
        <f>AD40+AD43</f>
        <v>-8439</v>
      </c>
      <c r="AE46" s="25">
        <f t="shared" si="101"/>
        <v>-11941</v>
      </c>
      <c r="AF46" s="24">
        <f t="shared" si="101"/>
        <v>-561</v>
      </c>
      <c r="AG46" s="24">
        <f>AG40+AG43</f>
        <v>567</v>
      </c>
      <c r="AH46" s="24">
        <f t="shared" si="101"/>
        <v>-132</v>
      </c>
      <c r="AI46" s="24">
        <f t="shared" ref="AI46:AM46" si="102">AI40+AI43</f>
        <v>-4164</v>
      </c>
      <c r="AJ46" s="25">
        <f t="shared" si="102"/>
        <v>-4290</v>
      </c>
      <c r="AK46" s="24">
        <f t="shared" si="102"/>
        <v>-1242</v>
      </c>
      <c r="AL46" s="24">
        <f t="shared" si="102"/>
        <v>160</v>
      </c>
      <c r="AM46" s="24">
        <f t="shared" si="102"/>
        <v>-3308</v>
      </c>
      <c r="AN46" s="24">
        <f t="shared" ref="AN46:AR46" si="103">AN40+AN43</f>
        <v>-663</v>
      </c>
      <c r="AO46" s="25">
        <f t="shared" si="103"/>
        <v>-5053</v>
      </c>
      <c r="AP46" s="24">
        <f t="shared" si="103"/>
        <v>-425</v>
      </c>
      <c r="AQ46" s="24">
        <f t="shared" si="103"/>
        <v>-149</v>
      </c>
      <c r="AR46" s="24">
        <f t="shared" si="103"/>
        <v>-1638</v>
      </c>
      <c r="AS46" s="24">
        <f t="shared" ref="AS46:AW46" si="104">AS40+AS43</f>
        <v>-30</v>
      </c>
      <c r="AT46" s="25">
        <f t="shared" si="104"/>
        <v>-2242</v>
      </c>
      <c r="AU46" s="24">
        <f t="shared" si="104"/>
        <v>-355</v>
      </c>
      <c r="AV46" s="24">
        <f t="shared" si="104"/>
        <v>-1439</v>
      </c>
      <c r="AW46" s="24">
        <f t="shared" si="104"/>
        <v>-6174</v>
      </c>
      <c r="AX46" s="24">
        <f t="shared" ref="AX46:BB46" si="105">AX40+AX43</f>
        <v>-3861</v>
      </c>
      <c r="AY46" s="25">
        <f t="shared" si="105"/>
        <v>-11829</v>
      </c>
      <c r="AZ46" s="24">
        <f t="shared" si="105"/>
        <v>-31</v>
      </c>
      <c r="BA46" s="24">
        <f t="shared" si="105"/>
        <v>-612</v>
      </c>
      <c r="BB46" s="24">
        <f t="shared" si="105"/>
        <v>-5339</v>
      </c>
      <c r="BC46" s="24">
        <f t="shared" ref="BC46:BG46" si="106">BC40+BC43</f>
        <v>8220</v>
      </c>
      <c r="BD46" s="25">
        <f t="shared" si="106"/>
        <v>2238</v>
      </c>
      <c r="BE46" s="24">
        <f t="shared" si="106"/>
        <v>-235.46641428895109</v>
      </c>
      <c r="BF46" s="24">
        <f t="shared" si="106"/>
        <v>43.184479105931452</v>
      </c>
      <c r="BG46" s="24">
        <f t="shared" si="106"/>
        <v>240.87001942283271</v>
      </c>
      <c r="BH46" s="24">
        <f t="shared" ref="BH46:BI46" si="107">BH40+BH43</f>
        <v>426.47287048934072</v>
      </c>
      <c r="BI46" s="25">
        <f t="shared" si="107"/>
        <v>475.06095472915359</v>
      </c>
      <c r="BL46" s="109"/>
    </row>
    <row r="47" spans="1:74">
      <c r="A47" s="4"/>
      <c r="B47" s="34"/>
      <c r="C47" s="34"/>
      <c r="D47" s="34"/>
      <c r="E47" s="34"/>
      <c r="F47" s="36"/>
      <c r="G47" s="34"/>
      <c r="H47" s="34"/>
      <c r="I47" s="34"/>
      <c r="J47" s="34"/>
      <c r="K47" s="36"/>
      <c r="L47" s="34"/>
      <c r="M47" s="34"/>
      <c r="N47" s="34"/>
      <c r="O47" s="34"/>
      <c r="P47" s="36"/>
      <c r="Q47" s="34"/>
      <c r="R47" s="34"/>
      <c r="S47" s="34"/>
      <c r="T47" s="34"/>
      <c r="U47" s="36"/>
      <c r="V47" s="34"/>
      <c r="W47" s="34"/>
      <c r="X47" s="34"/>
      <c r="Y47" s="34"/>
      <c r="Z47" s="36"/>
      <c r="AA47" s="34"/>
      <c r="AB47" s="34"/>
      <c r="AC47" s="34"/>
      <c r="AD47" s="34"/>
      <c r="AE47" s="36"/>
      <c r="AF47" s="34"/>
      <c r="AG47" s="34"/>
      <c r="AH47" s="34"/>
      <c r="AI47" s="34"/>
      <c r="AJ47" s="36"/>
      <c r="AK47" s="34"/>
      <c r="AL47" s="34"/>
      <c r="AM47" s="34"/>
      <c r="AN47" s="34"/>
      <c r="AO47" s="36"/>
      <c r="AP47" s="34"/>
      <c r="AQ47" s="34"/>
      <c r="AR47" s="34"/>
      <c r="AS47" s="34"/>
      <c r="AT47" s="36"/>
      <c r="AU47" s="34"/>
      <c r="AV47" s="34"/>
      <c r="AW47" s="34"/>
      <c r="AX47" s="34"/>
      <c r="AY47" s="36"/>
      <c r="AZ47" s="34"/>
      <c r="BA47" s="34"/>
      <c r="BB47" s="34"/>
      <c r="BC47" s="34"/>
      <c r="BD47" s="36"/>
      <c r="BE47" s="34"/>
      <c r="BF47" s="34"/>
      <c r="BG47" s="34"/>
      <c r="BH47" s="34"/>
      <c r="BI47" s="36"/>
      <c r="BL47" s="109"/>
    </row>
    <row r="48" spans="1:74">
      <c r="A48" s="1" t="s">
        <v>291</v>
      </c>
      <c r="B48" s="41">
        <v>0</v>
      </c>
      <c r="C48" s="41">
        <v>0</v>
      </c>
      <c r="D48" s="41">
        <v>0</v>
      </c>
      <c r="E48" s="22">
        <f>+F48-SUM(B48:D48)</f>
        <v>0</v>
      </c>
      <c r="F48" s="43">
        <v>0</v>
      </c>
      <c r="G48" s="41">
        <v>0</v>
      </c>
      <c r="H48" s="41">
        <v>0</v>
      </c>
      <c r="I48" s="41">
        <v>0</v>
      </c>
      <c r="J48" s="22">
        <f>+K48-SUM(G48:I48)</f>
        <v>0</v>
      </c>
      <c r="K48" s="43">
        <v>0</v>
      </c>
      <c r="L48" s="41">
        <v>0</v>
      </c>
      <c r="M48" s="41">
        <v>0</v>
      </c>
      <c r="N48" s="41">
        <v>0</v>
      </c>
      <c r="O48" s="22">
        <f>+P48-SUM(L48:N48)</f>
        <v>0</v>
      </c>
      <c r="P48" s="43">
        <v>0</v>
      </c>
      <c r="Q48" s="41">
        <v>0</v>
      </c>
      <c r="R48" s="41">
        <v>0</v>
      </c>
      <c r="S48" s="41">
        <v>0</v>
      </c>
      <c r="T48" s="22">
        <f>+U48-SUM(Q48:S48)</f>
        <v>0</v>
      </c>
      <c r="U48" s="43">
        <v>0</v>
      </c>
      <c r="V48" s="41">
        <v>0</v>
      </c>
      <c r="W48" s="41">
        <v>0</v>
      </c>
      <c r="X48" s="41">
        <v>0</v>
      </c>
      <c r="Y48" s="22">
        <f>+Z48-SUM(V48:X48)</f>
        <v>0</v>
      </c>
      <c r="Z48" s="43">
        <v>0</v>
      </c>
      <c r="AA48" s="41">
        <v>13</v>
      </c>
      <c r="AB48" s="41">
        <v>19</v>
      </c>
      <c r="AC48" s="41">
        <v>17</v>
      </c>
      <c r="AD48" s="41">
        <v>19</v>
      </c>
      <c r="AE48" s="23">
        <f>SUM(AA48:AD48)</f>
        <v>68</v>
      </c>
      <c r="AF48" s="41">
        <v>24</v>
      </c>
      <c r="AG48" s="41">
        <v>20</v>
      </c>
      <c r="AH48" s="41">
        <v>23</v>
      </c>
      <c r="AI48" s="41">
        <v>21</v>
      </c>
      <c r="AJ48" s="23">
        <f>SUM(AF48:AI48)</f>
        <v>88</v>
      </c>
      <c r="AK48" s="41">
        <v>23</v>
      </c>
      <c r="AL48" s="41">
        <v>33</v>
      </c>
      <c r="AM48" s="41">
        <v>33</v>
      </c>
      <c r="AN48" s="41">
        <v>29</v>
      </c>
      <c r="AO48" s="23">
        <f>SUM(AK48:AN48)</f>
        <v>118</v>
      </c>
      <c r="AP48" s="41">
        <v>10.8</v>
      </c>
      <c r="AQ48" s="41">
        <v>0</v>
      </c>
      <c r="AR48" s="41">
        <v>2</v>
      </c>
      <c r="AS48" s="41">
        <v>7</v>
      </c>
      <c r="AT48" s="23">
        <f>SUM(AP48:AS48)</f>
        <v>19.8</v>
      </c>
      <c r="AU48" s="41">
        <v>12</v>
      </c>
      <c r="AV48" s="41">
        <v>0</v>
      </c>
      <c r="AW48" s="41">
        <v>4</v>
      </c>
      <c r="AX48" s="41">
        <v>-4</v>
      </c>
      <c r="AY48" s="23">
        <f>SUM(AU48:AX48)</f>
        <v>12</v>
      </c>
      <c r="AZ48" s="41">
        <v>-6</v>
      </c>
      <c r="BA48" s="41">
        <v>1</v>
      </c>
      <c r="BB48" s="41">
        <v>2</v>
      </c>
      <c r="BC48" s="41">
        <v>0</v>
      </c>
      <c r="BD48" s="23">
        <f>SUM(AZ48:BC48)</f>
        <v>-3</v>
      </c>
      <c r="BE48" s="41">
        <v>0</v>
      </c>
      <c r="BF48" s="41">
        <v>0</v>
      </c>
      <c r="BG48" s="41">
        <v>0</v>
      </c>
      <c r="BH48" s="41">
        <v>0</v>
      </c>
      <c r="BI48" s="23">
        <f>SUM(BE48:BH48)</f>
        <v>0</v>
      </c>
      <c r="BL48" s="109"/>
    </row>
    <row r="49" spans="1:66">
      <c r="A49" s="1" t="s">
        <v>657</v>
      </c>
      <c r="B49" s="41"/>
      <c r="C49" s="41"/>
      <c r="D49" s="41"/>
      <c r="E49" s="22"/>
      <c r="F49" s="43"/>
      <c r="G49" s="41"/>
      <c r="H49" s="41"/>
      <c r="I49" s="41"/>
      <c r="J49" s="22"/>
      <c r="K49" s="43"/>
      <c r="L49" s="41"/>
      <c r="M49" s="41"/>
      <c r="N49" s="41"/>
      <c r="O49" s="22"/>
      <c r="P49" s="43"/>
      <c r="Q49" s="41"/>
      <c r="R49" s="41"/>
      <c r="S49" s="41"/>
      <c r="T49" s="22"/>
      <c r="U49" s="43"/>
      <c r="V49" s="41"/>
      <c r="W49" s="41"/>
      <c r="X49" s="41"/>
      <c r="Y49" s="22"/>
      <c r="Z49" s="43"/>
      <c r="AA49" s="41"/>
      <c r="AB49" s="41"/>
      <c r="AC49" s="41"/>
      <c r="AD49" s="41"/>
      <c r="AE49" s="23"/>
      <c r="AF49" s="41"/>
      <c r="AG49" s="41"/>
      <c r="AH49" s="41"/>
      <c r="AI49" s="41"/>
      <c r="AJ49" s="23"/>
      <c r="AK49" s="41"/>
      <c r="AL49" s="41"/>
      <c r="AM49" s="41"/>
      <c r="AN49" s="41"/>
      <c r="AO49" s="23"/>
      <c r="AP49" s="41"/>
      <c r="AQ49" s="41"/>
      <c r="AR49" s="41"/>
      <c r="AS49" s="41"/>
      <c r="AT49" s="23"/>
      <c r="AU49" s="41"/>
      <c r="AV49" s="41"/>
      <c r="AW49" s="41"/>
      <c r="AX49" s="41">
        <v>-58</v>
      </c>
      <c r="AY49" s="23">
        <f>SUM(AU49:AX49)</f>
        <v>-58</v>
      </c>
      <c r="AZ49" s="41">
        <v>-86</v>
      </c>
      <c r="BA49" s="41">
        <v>-86</v>
      </c>
      <c r="BB49" s="41">
        <v>-87</v>
      </c>
      <c r="BC49" s="41">
        <v>-86</v>
      </c>
      <c r="BD49" s="23">
        <f>SUM(AZ49:BC49)</f>
        <v>-345</v>
      </c>
      <c r="BE49" s="41">
        <v>-86.5</v>
      </c>
      <c r="BF49" s="41">
        <v>-86.5</v>
      </c>
      <c r="BG49" s="41">
        <v>-86.5</v>
      </c>
      <c r="BH49" s="41">
        <v>-86.5</v>
      </c>
      <c r="BI49" s="23">
        <f>SUM(BE49:BH49)</f>
        <v>-346</v>
      </c>
      <c r="BL49" s="109"/>
    </row>
    <row r="50" spans="1:66">
      <c r="A50" s="9" t="s">
        <v>574</v>
      </c>
      <c r="B50" s="24">
        <f>B46+B48</f>
        <v>1336</v>
      </c>
      <c r="C50" s="24">
        <f t="shared" ref="C50:AH50" si="108">C46+C48</f>
        <v>1110</v>
      </c>
      <c r="D50" s="24">
        <f t="shared" si="108"/>
        <v>1704</v>
      </c>
      <c r="E50" s="24">
        <f t="shared" si="108"/>
        <v>1026</v>
      </c>
      <c r="F50" s="25">
        <f t="shared" si="108"/>
        <v>5176</v>
      </c>
      <c r="G50" s="24">
        <f t="shared" si="108"/>
        <v>1219</v>
      </c>
      <c r="H50" s="24">
        <f t="shared" si="108"/>
        <v>-234</v>
      </c>
      <c r="I50" s="24">
        <f t="shared" si="108"/>
        <v>2279</v>
      </c>
      <c r="J50" s="24">
        <f t="shared" si="108"/>
        <v>1631</v>
      </c>
      <c r="K50" s="25">
        <f t="shared" si="108"/>
        <v>4895</v>
      </c>
      <c r="L50" s="24">
        <f t="shared" si="108"/>
        <v>1579</v>
      </c>
      <c r="M50" s="24">
        <f t="shared" si="108"/>
        <v>1749</v>
      </c>
      <c r="N50" s="24">
        <f t="shared" si="108"/>
        <v>1810</v>
      </c>
      <c r="O50" s="24">
        <f t="shared" si="108"/>
        <v>3320</v>
      </c>
      <c r="P50" s="25">
        <f t="shared" si="108"/>
        <v>8458</v>
      </c>
      <c r="Q50" s="24">
        <f t="shared" si="108"/>
        <v>2477</v>
      </c>
      <c r="R50" s="24">
        <f t="shared" si="108"/>
        <v>2196</v>
      </c>
      <c r="S50" s="24">
        <f t="shared" si="108"/>
        <v>2363</v>
      </c>
      <c r="T50" s="24">
        <f t="shared" si="108"/>
        <v>3424</v>
      </c>
      <c r="U50" s="25">
        <f t="shared" si="108"/>
        <v>10460</v>
      </c>
      <c r="V50" s="24">
        <f t="shared" si="108"/>
        <v>2149</v>
      </c>
      <c r="W50" s="24">
        <f t="shared" si="108"/>
        <v>-2942</v>
      </c>
      <c r="X50" s="24">
        <f t="shared" si="108"/>
        <v>1167</v>
      </c>
      <c r="Y50" s="24">
        <f t="shared" si="108"/>
        <v>-1010</v>
      </c>
      <c r="Z50" s="25">
        <f t="shared" si="108"/>
        <v>-636</v>
      </c>
      <c r="AA50" s="24">
        <f t="shared" si="108"/>
        <v>-628</v>
      </c>
      <c r="AB50" s="24">
        <f t="shared" si="108"/>
        <v>-2376</v>
      </c>
      <c r="AC50" s="24">
        <f>AC46+AC48</f>
        <v>-449</v>
      </c>
      <c r="AD50" s="24">
        <f t="shared" si="108"/>
        <v>-8420</v>
      </c>
      <c r="AE50" s="25">
        <f t="shared" si="108"/>
        <v>-11873</v>
      </c>
      <c r="AF50" s="24">
        <f t="shared" si="108"/>
        <v>-537</v>
      </c>
      <c r="AG50" s="24">
        <f>AG46+AG48</f>
        <v>587</v>
      </c>
      <c r="AH50" s="24">
        <f t="shared" si="108"/>
        <v>-109</v>
      </c>
      <c r="AI50" s="24">
        <f t="shared" ref="AI50:AM50" si="109">AI46+AI48</f>
        <v>-4143</v>
      </c>
      <c r="AJ50" s="25">
        <f t="shared" si="109"/>
        <v>-4202</v>
      </c>
      <c r="AK50" s="24">
        <f t="shared" si="109"/>
        <v>-1219</v>
      </c>
      <c r="AL50" s="24">
        <f t="shared" si="109"/>
        <v>193</v>
      </c>
      <c r="AM50" s="24">
        <f t="shared" si="109"/>
        <v>-3275</v>
      </c>
      <c r="AN50" s="24">
        <f t="shared" ref="AN50:AR50" si="110">AN46+AN48</f>
        <v>-634</v>
      </c>
      <c r="AO50" s="25">
        <f t="shared" si="110"/>
        <v>-4935</v>
      </c>
      <c r="AP50" s="24">
        <f t="shared" si="110"/>
        <v>-414.2</v>
      </c>
      <c r="AQ50" s="24">
        <f t="shared" si="110"/>
        <v>-149</v>
      </c>
      <c r="AR50" s="24">
        <f t="shared" si="110"/>
        <v>-1636</v>
      </c>
      <c r="AS50" s="24">
        <f t="shared" ref="AS50:AT50" si="111">AS46+AS48</f>
        <v>-23</v>
      </c>
      <c r="AT50" s="25">
        <f t="shared" si="111"/>
        <v>-2222.1999999999998</v>
      </c>
      <c r="AU50" s="24">
        <f>AU46+AU48+AU49</f>
        <v>-343</v>
      </c>
      <c r="AV50" s="24">
        <f t="shared" ref="AV50:AY50" si="112">AV46+AV48+AV49</f>
        <v>-1439</v>
      </c>
      <c r="AW50" s="24">
        <f t="shared" si="112"/>
        <v>-6170</v>
      </c>
      <c r="AX50" s="24">
        <f t="shared" si="112"/>
        <v>-3923</v>
      </c>
      <c r="AY50" s="25">
        <f t="shared" si="112"/>
        <v>-11875</v>
      </c>
      <c r="AZ50" s="24">
        <f>AZ46+AZ48+AZ49</f>
        <v>-123</v>
      </c>
      <c r="BA50" s="24">
        <f t="shared" ref="BA50:BB50" si="113">BA46+BA48+BA49</f>
        <v>-697</v>
      </c>
      <c r="BB50" s="24">
        <f t="shared" si="113"/>
        <v>-5424</v>
      </c>
      <c r="BC50" s="24">
        <f t="shared" ref="BC50:BG50" si="114">BC46+BC48+BC49</f>
        <v>8134</v>
      </c>
      <c r="BD50" s="25">
        <f t="shared" si="114"/>
        <v>1890</v>
      </c>
      <c r="BE50" s="24">
        <f t="shared" si="114"/>
        <v>-321.96641428895111</v>
      </c>
      <c r="BF50" s="24">
        <f t="shared" si="114"/>
        <v>-43.315520894068548</v>
      </c>
      <c r="BG50" s="24">
        <f t="shared" si="114"/>
        <v>154.37001942283271</v>
      </c>
      <c r="BH50" s="24">
        <f t="shared" ref="BH50:BI50" si="115">BH46+BH48+BH49</f>
        <v>339.97287048934072</v>
      </c>
      <c r="BI50" s="25">
        <f t="shared" si="115"/>
        <v>129.06095472915359</v>
      </c>
      <c r="BL50" s="109"/>
    </row>
    <row r="51" spans="1:66">
      <c r="A51" s="1" t="s">
        <v>4</v>
      </c>
      <c r="B51" s="34"/>
      <c r="C51" s="35"/>
      <c r="D51" s="35"/>
      <c r="E51" s="35"/>
      <c r="F51" s="36">
        <f>F50/Income_Statement_Annual!P50-1</f>
        <v>-4.9577671685640867E-2</v>
      </c>
      <c r="G51" s="34">
        <f t="shared" ref="G51:AH51" si="116">G50/B50-1</f>
        <v>-8.7574850299401152E-2</v>
      </c>
      <c r="H51" s="35">
        <f t="shared" si="116"/>
        <v>-1.2108108108108109</v>
      </c>
      <c r="I51" s="35">
        <f t="shared" si="116"/>
        <v>0.33744131455399051</v>
      </c>
      <c r="J51" s="35">
        <f t="shared" si="116"/>
        <v>0.58966861598440556</v>
      </c>
      <c r="K51" s="36">
        <f t="shared" si="116"/>
        <v>-5.4289026275115893E-2</v>
      </c>
      <c r="L51" s="34">
        <f t="shared" si="116"/>
        <v>0.29532403609515989</v>
      </c>
      <c r="M51" s="35">
        <f t="shared" si="116"/>
        <v>-8.4743589743589745</v>
      </c>
      <c r="N51" s="35">
        <f t="shared" si="116"/>
        <v>-0.20579201404124614</v>
      </c>
      <c r="O51" s="35">
        <f t="shared" si="116"/>
        <v>1.0355610055180873</v>
      </c>
      <c r="P51" s="36">
        <f t="shared" si="116"/>
        <v>0.727885597548519</v>
      </c>
      <c r="Q51" s="34">
        <f t="shared" si="116"/>
        <v>0.56871437618746046</v>
      </c>
      <c r="R51" s="35">
        <f t="shared" si="116"/>
        <v>0.25557461406518001</v>
      </c>
      <c r="S51" s="35">
        <f t="shared" si="116"/>
        <v>0.30552486187845296</v>
      </c>
      <c r="T51" s="35">
        <f t="shared" si="116"/>
        <v>3.1325301204819356E-2</v>
      </c>
      <c r="U51" s="36">
        <f t="shared" si="116"/>
        <v>0.23669898321116101</v>
      </c>
      <c r="V51" s="34">
        <f t="shared" si="116"/>
        <v>-0.13241824788050061</v>
      </c>
      <c r="W51" s="35">
        <f t="shared" si="116"/>
        <v>-2.3397085610200365</v>
      </c>
      <c r="X51" s="35">
        <f t="shared" si="116"/>
        <v>-0.50613626745662299</v>
      </c>
      <c r="Y51" s="35">
        <f t="shared" si="116"/>
        <v>-1.2949766355140186</v>
      </c>
      <c r="Z51" s="36">
        <f t="shared" si="116"/>
        <v>-1.0608030592734226</v>
      </c>
      <c r="AA51" s="34">
        <f t="shared" si="116"/>
        <v>-1.2922289436947416</v>
      </c>
      <c r="AB51" s="35">
        <f t="shared" si="116"/>
        <v>-0.19238613188307274</v>
      </c>
      <c r="AC51" s="35">
        <f t="shared" si="116"/>
        <v>-1.3847472150814053</v>
      </c>
      <c r="AD51" s="35">
        <f t="shared" si="116"/>
        <v>7.3366336633663369</v>
      </c>
      <c r="AE51" s="36">
        <f t="shared" si="116"/>
        <v>17.668238993710691</v>
      </c>
      <c r="AF51" s="35">
        <f t="shared" si="116"/>
        <v>-0.14490445859872614</v>
      </c>
      <c r="AG51" s="35">
        <f t="shared" si="116"/>
        <v>-1.247053872053872</v>
      </c>
      <c r="AH51" s="35">
        <f t="shared" si="116"/>
        <v>-0.75723830734966591</v>
      </c>
      <c r="AI51" s="35">
        <f t="shared" ref="AI51:AR51" si="117">AI50/AD50-1</f>
        <v>-0.50795724465558201</v>
      </c>
      <c r="AJ51" s="36">
        <f t="shared" si="117"/>
        <v>-0.64608776214941466</v>
      </c>
      <c r="AK51" s="35">
        <f t="shared" si="117"/>
        <v>1.2700186219739291</v>
      </c>
      <c r="AL51" s="35">
        <f t="shared" si="117"/>
        <v>-0.67120954003407163</v>
      </c>
      <c r="AM51" s="35">
        <f t="shared" si="117"/>
        <v>29.045871559633028</v>
      </c>
      <c r="AN51" s="35">
        <f t="shared" ref="AN51" si="118">AN50/AI50-1</f>
        <v>-0.84697079411054788</v>
      </c>
      <c r="AO51" s="36">
        <f t="shared" ref="AO51" si="119">AO50/AJ50-1</f>
        <v>0.17444074250356967</v>
      </c>
      <c r="AP51" s="35">
        <f t="shared" si="117"/>
        <v>-0.66021328958162429</v>
      </c>
      <c r="AQ51" s="35">
        <f t="shared" si="117"/>
        <v>-1.7720207253886011</v>
      </c>
      <c r="AR51" s="35">
        <f t="shared" si="117"/>
        <v>-0.50045801526717559</v>
      </c>
      <c r="AS51" s="35">
        <f t="shared" ref="AS51" si="120">AS50/AN50-1</f>
        <v>-0.9637223974763407</v>
      </c>
      <c r="AT51" s="36">
        <f t="shared" ref="AT51:AW51" si="121">AT50/AO50-1</f>
        <v>-0.54970618034447827</v>
      </c>
      <c r="AU51" s="35">
        <f t="shared" si="121"/>
        <v>-0.17189763399323998</v>
      </c>
      <c r="AV51" s="35">
        <f t="shared" si="121"/>
        <v>8.6577181208053684</v>
      </c>
      <c r="AW51" s="35">
        <f t="shared" si="121"/>
        <v>2.7713936430317849</v>
      </c>
      <c r="AX51" s="35">
        <f t="shared" ref="AX51" si="122">AX50/AS50-1</f>
        <v>169.56521739130434</v>
      </c>
      <c r="AY51" s="36">
        <f t="shared" ref="AY51:BB51" si="123">AY50/AT50-1</f>
        <v>4.3438034380343806</v>
      </c>
      <c r="AZ51" s="35">
        <f t="shared" si="123"/>
        <v>-0.64139941690962099</v>
      </c>
      <c r="BA51" s="35">
        <f t="shared" si="123"/>
        <v>-0.51563585823488534</v>
      </c>
      <c r="BB51" s="35">
        <f t="shared" si="123"/>
        <v>-0.12090761750405188</v>
      </c>
      <c r="BC51" s="35">
        <f t="shared" ref="BC51" si="124">BC50/AX50-1</f>
        <v>-3.0734132041804743</v>
      </c>
      <c r="BD51" s="36">
        <f t="shared" ref="BD51" si="125">BD50/AY50-1</f>
        <v>-1.1591578947368422</v>
      </c>
      <c r="BE51" s="35"/>
      <c r="BF51" s="35"/>
      <c r="BG51" s="35"/>
      <c r="BH51" s="35">
        <f t="shared" ref="BH51" si="126">BH50/BC50-1</f>
        <v>-0.95820348285107682</v>
      </c>
      <c r="BI51" s="36">
        <f t="shared" ref="BI51" si="127">BI50/BD50-1</f>
        <v>-0.93171378056658538</v>
      </c>
      <c r="BL51" s="109"/>
    </row>
    <row r="52" spans="1:66">
      <c r="A52" s="13"/>
      <c r="F52" s="27"/>
      <c r="K52" s="27"/>
      <c r="P52" s="27"/>
      <c r="U52" s="27"/>
      <c r="Z52" s="27"/>
      <c r="AE52" s="27"/>
      <c r="AJ52" s="27"/>
      <c r="AO52" s="27"/>
      <c r="AT52" s="27"/>
      <c r="AY52" s="27"/>
      <c r="BD52" s="27"/>
      <c r="BI52" s="27"/>
      <c r="BL52" s="109"/>
    </row>
    <row r="53" spans="1:66">
      <c r="A53" s="1" t="s">
        <v>60</v>
      </c>
      <c r="B53" s="41">
        <v>0</v>
      </c>
      <c r="C53" s="41">
        <v>0</v>
      </c>
      <c r="D53" s="41">
        <v>0</v>
      </c>
      <c r="E53" s="22">
        <f>+F53-SUM(B53:D53)</f>
        <v>0</v>
      </c>
      <c r="F53" s="43">
        <v>0</v>
      </c>
      <c r="G53" s="41">
        <v>0</v>
      </c>
      <c r="H53" s="41">
        <v>0</v>
      </c>
      <c r="I53" s="41">
        <v>0</v>
      </c>
      <c r="J53" s="22">
        <f>+K53-SUM(G53:I53)</f>
        <v>0</v>
      </c>
      <c r="K53" s="43">
        <v>0</v>
      </c>
      <c r="L53" s="41">
        <v>0</v>
      </c>
      <c r="M53" s="41">
        <v>0</v>
      </c>
      <c r="N53" s="41">
        <v>0</v>
      </c>
      <c r="O53" s="22">
        <f>+P53-SUM(L53:N53)</f>
        <v>0</v>
      </c>
      <c r="P53" s="43">
        <v>0</v>
      </c>
      <c r="Q53" s="41">
        <v>0</v>
      </c>
      <c r="R53" s="41">
        <v>0</v>
      </c>
      <c r="S53" s="41">
        <v>0</v>
      </c>
      <c r="T53" s="22">
        <f>+U53-SUM(Q53:S53)</f>
        <v>0</v>
      </c>
      <c r="U53" s="43">
        <v>0</v>
      </c>
      <c r="V53" s="41">
        <v>0</v>
      </c>
      <c r="W53" s="41">
        <v>0</v>
      </c>
      <c r="X53" s="41">
        <v>0</v>
      </c>
      <c r="Y53" s="22">
        <f>+Z53-SUM(V53:X53)</f>
        <v>0</v>
      </c>
      <c r="Z53" s="43">
        <v>0</v>
      </c>
      <c r="AA53" s="41">
        <v>0</v>
      </c>
      <c r="AB53" s="41">
        <v>0</v>
      </c>
      <c r="AC53" s="41">
        <f>AB53</f>
        <v>0</v>
      </c>
      <c r="AD53" s="41">
        <f>AC53</f>
        <v>0</v>
      </c>
      <c r="AE53" s="23">
        <f>SUM(AA53:AD53)</f>
        <v>0</v>
      </c>
      <c r="AF53" s="41">
        <f>AD53</f>
        <v>0</v>
      </c>
      <c r="AG53" s="41">
        <v>0</v>
      </c>
      <c r="AH53" s="41">
        <f>AG53</f>
        <v>0</v>
      </c>
      <c r="AI53" s="41">
        <f>AH53</f>
        <v>0</v>
      </c>
      <c r="AJ53" s="23">
        <f>SUM(AF53:AI53)</f>
        <v>0</v>
      </c>
      <c r="AK53" s="41">
        <f>AI53</f>
        <v>0</v>
      </c>
      <c r="AL53" s="41">
        <v>0</v>
      </c>
      <c r="AM53" s="41">
        <f>AL53</f>
        <v>0</v>
      </c>
      <c r="AN53" s="41">
        <f>AM53</f>
        <v>0</v>
      </c>
      <c r="AO53" s="23">
        <f>SUM(AK53:AN53)</f>
        <v>0</v>
      </c>
      <c r="AP53" s="41">
        <f>AN53</f>
        <v>0</v>
      </c>
      <c r="AQ53" s="41">
        <v>0</v>
      </c>
      <c r="AR53" s="41">
        <f>AQ53</f>
        <v>0</v>
      </c>
      <c r="AS53" s="41">
        <v>0</v>
      </c>
      <c r="AT53" s="23">
        <f>SUM(AP53:AS53)</f>
        <v>0</v>
      </c>
      <c r="AU53" s="41">
        <v>0</v>
      </c>
      <c r="AV53" s="41">
        <v>0</v>
      </c>
      <c r="AW53" s="41">
        <v>0</v>
      </c>
      <c r="AX53" s="41">
        <v>0</v>
      </c>
      <c r="AY53" s="23">
        <f>SUM(AU53:AX53)</f>
        <v>0</v>
      </c>
      <c r="AZ53" s="41">
        <v>0</v>
      </c>
      <c r="BA53" s="41">
        <v>0</v>
      </c>
      <c r="BB53" s="41">
        <v>0</v>
      </c>
      <c r="BC53" s="41">
        <v>0</v>
      </c>
      <c r="BD53" s="23">
        <f>SUM(AZ53:BC53)</f>
        <v>0</v>
      </c>
      <c r="BE53" s="41">
        <v>0</v>
      </c>
      <c r="BF53" s="41">
        <v>0</v>
      </c>
      <c r="BG53" s="41">
        <v>0</v>
      </c>
      <c r="BH53" s="22">
        <f>BI53-SUM(BE53:BG53)</f>
        <v>0</v>
      </c>
      <c r="BI53" s="43">
        <v>0</v>
      </c>
      <c r="BJ53" s="311"/>
      <c r="BL53" s="109"/>
      <c r="BN53">
        <f>55/4</f>
        <v>13.75</v>
      </c>
    </row>
    <row r="54" spans="1:66">
      <c r="A54" s="1" t="s">
        <v>50</v>
      </c>
      <c r="B54" s="41">
        <v>0</v>
      </c>
      <c r="C54" s="41">
        <v>0</v>
      </c>
      <c r="D54" s="41">
        <v>0</v>
      </c>
      <c r="E54" s="22">
        <f>+F54-SUM(B54:D54)</f>
        <v>0</v>
      </c>
      <c r="F54" s="43">
        <v>0</v>
      </c>
      <c r="G54" s="41">
        <v>0</v>
      </c>
      <c r="H54" s="41">
        <v>0</v>
      </c>
      <c r="I54" s="41">
        <v>0</v>
      </c>
      <c r="J54" s="22">
        <f>+K54-SUM(G54:I54)</f>
        <v>0</v>
      </c>
      <c r="K54" s="43">
        <v>0</v>
      </c>
      <c r="L54" s="41">
        <v>0</v>
      </c>
      <c r="M54" s="41">
        <v>0</v>
      </c>
      <c r="N54" s="41">
        <v>0</v>
      </c>
      <c r="O54" s="22">
        <f>+P54-SUM(L54:N54)</f>
        <v>0</v>
      </c>
      <c r="P54" s="43">
        <v>0</v>
      </c>
      <c r="Q54" s="41">
        <v>0</v>
      </c>
      <c r="R54" s="41">
        <v>0</v>
      </c>
      <c r="S54" s="41">
        <v>0</v>
      </c>
      <c r="T54" s="22">
        <f>+U54-SUM(Q54:S54)</f>
        <v>0</v>
      </c>
      <c r="U54" s="43">
        <v>0</v>
      </c>
      <c r="V54" s="41">
        <v>0</v>
      </c>
      <c r="W54" s="41">
        <v>0</v>
      </c>
      <c r="X54" s="41">
        <v>0</v>
      </c>
      <c r="Y54" s="22">
        <f>+Z54-SUM(V54:X54)</f>
        <v>0</v>
      </c>
      <c r="Z54" s="43">
        <v>0</v>
      </c>
      <c r="AA54" s="41">
        <v>0</v>
      </c>
      <c r="AB54" s="41">
        <v>0</v>
      </c>
      <c r="AC54" s="41">
        <f>AB54</f>
        <v>0</v>
      </c>
      <c r="AD54" s="41">
        <f>AC54</f>
        <v>0</v>
      </c>
      <c r="AE54" s="23">
        <f>SUM(AA54:AD54)</f>
        <v>0</v>
      </c>
      <c r="AF54" s="41">
        <f>AD54</f>
        <v>0</v>
      </c>
      <c r="AG54" s="41">
        <v>0</v>
      </c>
      <c r="AH54" s="41">
        <f>AG54</f>
        <v>0</v>
      </c>
      <c r="AI54" s="41">
        <f>AH54</f>
        <v>0</v>
      </c>
      <c r="AJ54" s="23">
        <f>SUM(AF54:AI54)</f>
        <v>0</v>
      </c>
      <c r="AK54" s="41">
        <f>AI54</f>
        <v>0</v>
      </c>
      <c r="AL54" s="41">
        <v>0</v>
      </c>
      <c r="AM54" s="41">
        <f>AL54</f>
        <v>0</v>
      </c>
      <c r="AN54" s="41">
        <f>AM54</f>
        <v>0</v>
      </c>
      <c r="AO54" s="23">
        <f>SUM(AK54:AN54)</f>
        <v>0</v>
      </c>
      <c r="AP54" s="41">
        <f>AN54</f>
        <v>0</v>
      </c>
      <c r="AQ54" s="41">
        <v>0</v>
      </c>
      <c r="AR54" s="41">
        <f>AQ54</f>
        <v>0</v>
      </c>
      <c r="AS54" s="41">
        <v>0</v>
      </c>
      <c r="AT54" s="23">
        <f>SUM(AP54:AS54)</f>
        <v>0</v>
      </c>
      <c r="AU54" s="41">
        <v>0</v>
      </c>
      <c r="AV54" s="41">
        <v>0</v>
      </c>
      <c r="AW54" s="41">
        <v>0</v>
      </c>
      <c r="AX54" s="41">
        <v>0</v>
      </c>
      <c r="AY54" s="23">
        <f>SUM(AU54:AX54)</f>
        <v>0</v>
      </c>
      <c r="AZ54" s="41">
        <v>0</v>
      </c>
      <c r="BA54" s="41">
        <v>0</v>
      </c>
      <c r="BB54" s="41">
        <v>0</v>
      </c>
      <c r="BC54" s="41">
        <v>0</v>
      </c>
      <c r="BD54" s="23">
        <f>SUM(AZ54:BC54)</f>
        <v>0</v>
      </c>
      <c r="BE54" s="41">
        <f t="shared" ref="BE54:BG54" si="128">BD54</f>
        <v>0</v>
      </c>
      <c r="BF54" s="41">
        <f t="shared" si="128"/>
        <v>0</v>
      </c>
      <c r="BG54" s="41">
        <f t="shared" si="128"/>
        <v>0</v>
      </c>
      <c r="BH54" s="22">
        <f>BI54-SUM(BE54:BG54)</f>
        <v>0</v>
      </c>
      <c r="BI54" s="43">
        <v>0</v>
      </c>
      <c r="BL54" s="109"/>
    </row>
    <row r="55" spans="1:66">
      <c r="A55" s="1" t="s">
        <v>309</v>
      </c>
      <c r="B55" s="41">
        <v>0</v>
      </c>
      <c r="C55" s="41">
        <v>0</v>
      </c>
      <c r="D55" s="41">
        <v>0</v>
      </c>
      <c r="E55" s="22">
        <f>+F55-SUM(B55:D55)</f>
        <v>0</v>
      </c>
      <c r="F55" s="43">
        <v>0</v>
      </c>
      <c r="G55" s="41">
        <v>0</v>
      </c>
      <c r="H55" s="41">
        <v>0</v>
      </c>
      <c r="I55" s="41">
        <v>0</v>
      </c>
      <c r="J55" s="22">
        <f>+K55-SUM(G55:I55)</f>
        <v>0</v>
      </c>
      <c r="K55" s="43">
        <v>0</v>
      </c>
      <c r="L55" s="41">
        <v>0</v>
      </c>
      <c r="M55" s="41">
        <v>0</v>
      </c>
      <c r="N55" s="41">
        <v>0</v>
      </c>
      <c r="O55" s="22">
        <f>+P55-SUM(L55:N55)</f>
        <v>0</v>
      </c>
      <c r="P55" s="43">
        <v>0</v>
      </c>
      <c r="Q55" s="41">
        <v>0</v>
      </c>
      <c r="R55" s="41">
        <v>0</v>
      </c>
      <c r="S55" s="41">
        <v>0</v>
      </c>
      <c r="T55" s="22">
        <f>+U55-SUM(Q55:S55)</f>
        <v>0</v>
      </c>
      <c r="U55" s="43">
        <v>0</v>
      </c>
      <c r="V55" s="41">
        <v>0</v>
      </c>
      <c r="W55" s="41">
        <v>0</v>
      </c>
      <c r="X55" s="41">
        <v>0</v>
      </c>
      <c r="Y55" s="22">
        <f>+Z55-SUM(V55:X55)</f>
        <v>0</v>
      </c>
      <c r="Z55" s="43">
        <v>0</v>
      </c>
      <c r="AA55" s="41">
        <v>0</v>
      </c>
      <c r="AB55" s="41">
        <v>0</v>
      </c>
      <c r="AC55" s="41">
        <v>0</v>
      </c>
      <c r="AD55" s="41">
        <f>AC55</f>
        <v>0</v>
      </c>
      <c r="AE55" s="23">
        <f>SUM(AA55:AD55)</f>
        <v>0</v>
      </c>
      <c r="AF55" s="41">
        <v>0</v>
      </c>
      <c r="AG55" s="41">
        <v>0</v>
      </c>
      <c r="AH55" s="41">
        <v>0</v>
      </c>
      <c r="AI55" s="41">
        <f>AH55</f>
        <v>0</v>
      </c>
      <c r="AJ55" s="23">
        <f>SUM(AF55:AI55)</f>
        <v>0</v>
      </c>
      <c r="AK55" s="41">
        <v>0</v>
      </c>
      <c r="AL55" s="41">
        <v>0</v>
      </c>
      <c r="AM55" s="41">
        <v>0</v>
      </c>
      <c r="AN55" s="41">
        <f>AM55</f>
        <v>0</v>
      </c>
      <c r="AO55" s="23">
        <f>SUM(AK55:AN55)</f>
        <v>0</v>
      </c>
      <c r="AP55" s="41">
        <v>0</v>
      </c>
      <c r="AQ55" s="41">
        <v>0</v>
      </c>
      <c r="AR55" s="41">
        <v>0</v>
      </c>
      <c r="AS55" s="41">
        <v>0</v>
      </c>
      <c r="AT55" s="23">
        <f>SUM(AP55:AS55)</f>
        <v>0</v>
      </c>
      <c r="AU55" s="41">
        <v>0</v>
      </c>
      <c r="AV55" s="41">
        <v>0</v>
      </c>
      <c r="AW55" s="41">
        <v>0</v>
      </c>
      <c r="AX55" s="41">
        <v>0</v>
      </c>
      <c r="AY55" s="23">
        <f>SUM(AU55:AX55)</f>
        <v>0</v>
      </c>
      <c r="AZ55" s="41">
        <v>0</v>
      </c>
      <c r="BA55" s="41">
        <v>0</v>
      </c>
      <c r="BB55" s="41">
        <v>0</v>
      </c>
      <c r="BC55" s="41">
        <v>0</v>
      </c>
      <c r="BD55" s="23">
        <f>SUM(AZ55:BC55)</f>
        <v>0</v>
      </c>
      <c r="BE55" s="41">
        <v>0</v>
      </c>
      <c r="BF55" s="41">
        <v>0</v>
      </c>
      <c r="BG55" s="41">
        <v>0</v>
      </c>
      <c r="BH55" s="22">
        <f>BI55-SUM(BE55:BG55)</f>
        <v>0</v>
      </c>
      <c r="BI55" s="43">
        <v>0</v>
      </c>
      <c r="BL55" s="109"/>
    </row>
    <row r="56" spans="1:66">
      <c r="A56" s="9" t="s">
        <v>577</v>
      </c>
      <c r="B56" s="24">
        <f>B46+B53+B54+B55</f>
        <v>1336</v>
      </c>
      <c r="C56" s="24">
        <f t="shared" ref="C56:AH56" si="129">C46+C53+C54+C55</f>
        <v>1110</v>
      </c>
      <c r="D56" s="24">
        <f t="shared" si="129"/>
        <v>1704</v>
      </c>
      <c r="E56" s="24">
        <f t="shared" si="129"/>
        <v>1026</v>
      </c>
      <c r="F56" s="25">
        <f t="shared" si="129"/>
        <v>5176</v>
      </c>
      <c r="G56" s="24">
        <f t="shared" si="129"/>
        <v>1219</v>
      </c>
      <c r="H56" s="24">
        <f t="shared" si="129"/>
        <v>-234</v>
      </c>
      <c r="I56" s="24">
        <f t="shared" si="129"/>
        <v>2279</v>
      </c>
      <c r="J56" s="24">
        <f t="shared" si="129"/>
        <v>1631</v>
      </c>
      <c r="K56" s="25">
        <f t="shared" si="129"/>
        <v>4895</v>
      </c>
      <c r="L56" s="24">
        <f t="shared" si="129"/>
        <v>1579</v>
      </c>
      <c r="M56" s="24">
        <f t="shared" si="129"/>
        <v>1749</v>
      </c>
      <c r="N56" s="24">
        <f t="shared" si="129"/>
        <v>1810</v>
      </c>
      <c r="O56" s="24">
        <f t="shared" si="129"/>
        <v>3320</v>
      </c>
      <c r="P56" s="25">
        <f t="shared" si="129"/>
        <v>8458</v>
      </c>
      <c r="Q56" s="24">
        <f t="shared" si="129"/>
        <v>2477</v>
      </c>
      <c r="R56" s="24">
        <f t="shared" si="129"/>
        <v>2196</v>
      </c>
      <c r="S56" s="24">
        <f t="shared" si="129"/>
        <v>2363</v>
      </c>
      <c r="T56" s="24">
        <f t="shared" si="129"/>
        <v>3424</v>
      </c>
      <c r="U56" s="25">
        <f t="shared" si="129"/>
        <v>10460</v>
      </c>
      <c r="V56" s="24">
        <f t="shared" si="129"/>
        <v>2149</v>
      </c>
      <c r="W56" s="24">
        <f t="shared" si="129"/>
        <v>-2942</v>
      </c>
      <c r="X56" s="24">
        <f t="shared" si="129"/>
        <v>1167</v>
      </c>
      <c r="Y56" s="24">
        <f t="shared" si="129"/>
        <v>-1010</v>
      </c>
      <c r="Z56" s="25">
        <f t="shared" si="129"/>
        <v>-636</v>
      </c>
      <c r="AA56" s="24">
        <f t="shared" si="129"/>
        <v>-641</v>
      </c>
      <c r="AB56" s="24">
        <f t="shared" si="129"/>
        <v>-2395</v>
      </c>
      <c r="AC56" s="24">
        <f t="shared" si="129"/>
        <v>-466</v>
      </c>
      <c r="AD56" s="24">
        <f t="shared" si="129"/>
        <v>-8439</v>
      </c>
      <c r="AE56" s="25">
        <f t="shared" si="129"/>
        <v>-11941</v>
      </c>
      <c r="AF56" s="24">
        <f t="shared" si="129"/>
        <v>-561</v>
      </c>
      <c r="AG56" s="24">
        <f>AG46+AG53+AG54+AG55</f>
        <v>567</v>
      </c>
      <c r="AH56" s="24">
        <f t="shared" si="129"/>
        <v>-132</v>
      </c>
      <c r="AI56" s="24">
        <f t="shared" ref="AI56:AM56" si="130">AI46+AI53+AI54+AI55</f>
        <v>-4164</v>
      </c>
      <c r="AJ56" s="25">
        <f t="shared" si="130"/>
        <v>-4290</v>
      </c>
      <c r="AK56" s="24">
        <f t="shared" si="130"/>
        <v>-1242</v>
      </c>
      <c r="AL56" s="24">
        <f t="shared" si="130"/>
        <v>160</v>
      </c>
      <c r="AM56" s="24">
        <f t="shared" si="130"/>
        <v>-3308</v>
      </c>
      <c r="AN56" s="24">
        <f t="shared" ref="AN56:AO56" si="131">AN46+AN53+AN54+AN55</f>
        <v>-663</v>
      </c>
      <c r="AO56" s="25">
        <f t="shared" si="131"/>
        <v>-5053</v>
      </c>
      <c r="AP56" s="24">
        <f>AP46+AP53+AP54+AP55</f>
        <v>-425</v>
      </c>
      <c r="AQ56" s="24">
        <f t="shared" ref="AQ56:AT56" si="132">AQ46+AQ53+AQ54+AQ55</f>
        <v>-149</v>
      </c>
      <c r="AR56" s="24">
        <f t="shared" si="132"/>
        <v>-1638</v>
      </c>
      <c r="AS56" s="24">
        <f t="shared" si="132"/>
        <v>-30</v>
      </c>
      <c r="AT56" s="25">
        <f t="shared" si="132"/>
        <v>-2242</v>
      </c>
      <c r="AU56" s="24">
        <f>AU46+AU53+AU54+AU55</f>
        <v>-355</v>
      </c>
      <c r="AV56" s="24">
        <f t="shared" ref="AV56:AY56" si="133">AV46+AV53+AV54+AV55</f>
        <v>-1439</v>
      </c>
      <c r="AW56" s="24">
        <f t="shared" si="133"/>
        <v>-6174</v>
      </c>
      <c r="AX56" s="24">
        <f t="shared" si="133"/>
        <v>-3861</v>
      </c>
      <c r="AY56" s="25">
        <f t="shared" si="133"/>
        <v>-11829</v>
      </c>
      <c r="AZ56" s="24">
        <f t="shared" ref="AZ56" si="134">AZ50+AZ53+AZ54+AZ55</f>
        <v>-123</v>
      </c>
      <c r="BA56" s="24">
        <f>BA46+BA53+BA54+BA55</f>
        <v>-612</v>
      </c>
      <c r="BB56" s="24">
        <f>BB46+BB53+BB54+BB55</f>
        <v>-5339</v>
      </c>
      <c r="BC56" s="24">
        <f>BC46+BC53+BC54+BC55</f>
        <v>8220</v>
      </c>
      <c r="BD56" s="25">
        <f>BD46+BD53+BD54+BD55</f>
        <v>2238</v>
      </c>
      <c r="BE56" s="24">
        <f>BE46-SUM(BE53:BE55)</f>
        <v>-235.46641428895109</v>
      </c>
      <c r="BF56" s="24">
        <f t="shared" ref="BF56:BI56" si="135">BF46-SUM(BF53:BF55)</f>
        <v>43.184479105931452</v>
      </c>
      <c r="BG56" s="24">
        <f t="shared" si="135"/>
        <v>240.87001942283271</v>
      </c>
      <c r="BH56" s="24">
        <f t="shared" si="135"/>
        <v>426.47287048934072</v>
      </c>
      <c r="BI56" s="25">
        <f t="shared" si="135"/>
        <v>475.06095472915359</v>
      </c>
      <c r="BL56" s="109"/>
    </row>
    <row r="57" spans="1:66">
      <c r="A57" s="1" t="s">
        <v>4</v>
      </c>
      <c r="B57" s="34"/>
      <c r="C57" s="35"/>
      <c r="E57" s="35"/>
      <c r="F57" s="36">
        <f>F56/Income_Statement_Annual!P56-1</f>
        <v>-4.9577671685640867E-2</v>
      </c>
      <c r="G57" s="34">
        <f t="shared" ref="G57:AH57" si="136">G56/B56-1</f>
        <v>-8.7574850299401152E-2</v>
      </c>
      <c r="H57" s="35">
        <f t="shared" si="136"/>
        <v>-1.2108108108108109</v>
      </c>
      <c r="I57" s="35">
        <f t="shared" si="136"/>
        <v>0.33744131455399051</v>
      </c>
      <c r="J57" s="35">
        <f t="shared" si="136"/>
        <v>0.58966861598440556</v>
      </c>
      <c r="K57" s="36">
        <f t="shared" si="136"/>
        <v>-5.4289026275115893E-2</v>
      </c>
      <c r="L57" s="34">
        <f t="shared" si="136"/>
        <v>0.29532403609515989</v>
      </c>
      <c r="M57" s="35">
        <f t="shared" si="136"/>
        <v>-8.4743589743589745</v>
      </c>
      <c r="N57" s="35">
        <f t="shared" si="136"/>
        <v>-0.20579201404124614</v>
      </c>
      <c r="O57" s="35">
        <f t="shared" si="136"/>
        <v>1.0355610055180873</v>
      </c>
      <c r="P57" s="36">
        <f t="shared" si="136"/>
        <v>0.727885597548519</v>
      </c>
      <c r="Q57" s="34">
        <f t="shared" si="136"/>
        <v>0.56871437618746046</v>
      </c>
      <c r="R57" s="35">
        <f t="shared" si="136"/>
        <v>0.25557461406518001</v>
      </c>
      <c r="S57" s="35">
        <f t="shared" si="136"/>
        <v>0.30552486187845296</v>
      </c>
      <c r="T57" s="35">
        <f t="shared" si="136"/>
        <v>3.1325301204819356E-2</v>
      </c>
      <c r="U57" s="36">
        <f t="shared" si="136"/>
        <v>0.23669898321116101</v>
      </c>
      <c r="V57" s="34">
        <f t="shared" si="136"/>
        <v>-0.13241824788050061</v>
      </c>
      <c r="W57" s="35">
        <f t="shared" si="136"/>
        <v>-2.3397085610200365</v>
      </c>
      <c r="X57" s="35">
        <f t="shared" si="136"/>
        <v>-0.50613626745662299</v>
      </c>
      <c r="Y57" s="35">
        <f t="shared" si="136"/>
        <v>-1.2949766355140186</v>
      </c>
      <c r="Z57" s="36">
        <f t="shared" si="136"/>
        <v>-1.0608030592734226</v>
      </c>
      <c r="AA57" s="34">
        <f t="shared" si="136"/>
        <v>-1.298278268962308</v>
      </c>
      <c r="AB57" s="34">
        <f t="shared" si="136"/>
        <v>-0.18592794017675052</v>
      </c>
      <c r="AC57" s="35">
        <f t="shared" si="136"/>
        <v>-1.3993144815766922</v>
      </c>
      <c r="AD57" s="35">
        <f t="shared" si="136"/>
        <v>7.3554455445544562</v>
      </c>
      <c r="AE57" s="36">
        <f t="shared" si="136"/>
        <v>17.775157232704402</v>
      </c>
      <c r="AF57" s="35">
        <f t="shared" si="136"/>
        <v>-0.12480499219968799</v>
      </c>
      <c r="AG57" s="35">
        <f t="shared" si="136"/>
        <v>-1.2367432150313151</v>
      </c>
      <c r="AH57" s="35">
        <f t="shared" si="136"/>
        <v>-0.71673819742489275</v>
      </c>
      <c r="AI57" s="35">
        <f t="shared" ref="AI57:AR57" si="137">AI56/AD56-1</f>
        <v>-0.50657660860291509</v>
      </c>
      <c r="AJ57" s="36">
        <f t="shared" si="137"/>
        <v>-0.64073360690059467</v>
      </c>
      <c r="AK57" s="35">
        <f t="shared" si="137"/>
        <v>1.213903743315508</v>
      </c>
      <c r="AL57" s="35">
        <f t="shared" si="137"/>
        <v>-0.7178130511463845</v>
      </c>
      <c r="AM57" s="35">
        <f t="shared" si="137"/>
        <v>24.060606060606062</v>
      </c>
      <c r="AN57" s="35">
        <f t="shared" ref="AN57" si="138">AN56/AI56-1</f>
        <v>-0.84077809798270897</v>
      </c>
      <c r="AO57" s="36">
        <f t="shared" ref="AO57" si="139">AO56/AJ56-1</f>
        <v>0.17785547785547795</v>
      </c>
      <c r="AP57" s="35">
        <f t="shared" si="137"/>
        <v>-0.65780998389694045</v>
      </c>
      <c r="AQ57" s="35">
        <f t="shared" si="137"/>
        <v>-1.9312499999999999</v>
      </c>
      <c r="AR57" s="35">
        <f t="shared" si="137"/>
        <v>-0.5048367593712213</v>
      </c>
      <c r="AS57" s="35">
        <f t="shared" ref="AS57" si="140">AS56/AN56-1</f>
        <v>-0.95475113122171951</v>
      </c>
      <c r="AT57" s="36">
        <f t="shared" ref="AT57:AW57" si="141">AT56/AO56-1</f>
        <v>-0.55630318622600439</v>
      </c>
      <c r="AU57" s="35">
        <f t="shared" si="141"/>
        <v>-0.16470588235294115</v>
      </c>
      <c r="AV57" s="35">
        <f t="shared" si="141"/>
        <v>8.6577181208053684</v>
      </c>
      <c r="AW57" s="35">
        <f t="shared" si="141"/>
        <v>2.7692307692307692</v>
      </c>
      <c r="AX57" s="35">
        <f t="shared" ref="AX57" si="142">AX56/AS56-1</f>
        <v>127.69999999999999</v>
      </c>
      <c r="AY57" s="36">
        <f t="shared" ref="AY57:BB57" si="143">AY56/AT56-1</f>
        <v>4.276092774308653</v>
      </c>
      <c r="AZ57" s="35">
        <f t="shared" si="143"/>
        <v>-0.6535211267605634</v>
      </c>
      <c r="BA57" s="35">
        <f t="shared" si="143"/>
        <v>-0.57470465601111886</v>
      </c>
      <c r="BB57" s="35">
        <f t="shared" si="143"/>
        <v>-0.13524457402008427</v>
      </c>
      <c r="BC57" s="35">
        <f t="shared" ref="BC57" si="144">BC56/AX56-1</f>
        <v>-3.1289821289821291</v>
      </c>
      <c r="BD57" s="36">
        <f t="shared" ref="BD57:BG57" si="145">BD56/AY56-1</f>
        <v>-1.189196043621608</v>
      </c>
      <c r="BE57" s="35">
        <f t="shared" si="145"/>
        <v>0.91436109178009017</v>
      </c>
      <c r="BF57" s="35">
        <f t="shared" si="145"/>
        <v>-1.0705628743560971</v>
      </c>
      <c r="BG57" s="35">
        <f t="shared" si="145"/>
        <v>-1.0451151937484235</v>
      </c>
      <c r="BH57" s="35">
        <f t="shared" ref="BH57" si="146">BH56/BC56-1</f>
        <v>-0.94811765565823103</v>
      </c>
      <c r="BI57" s="36">
        <f t="shared" ref="BI57" si="147">BI56/BD56-1</f>
        <v>-0.78772968957589207</v>
      </c>
      <c r="BL57" s="109"/>
    </row>
    <row r="58" spans="1:66">
      <c r="A58" s="1"/>
      <c r="B58" s="34"/>
      <c r="C58" s="35"/>
      <c r="E58" s="35"/>
      <c r="F58" s="36"/>
      <c r="G58" s="34"/>
      <c r="H58" s="35"/>
      <c r="I58" s="35"/>
      <c r="J58" s="35"/>
      <c r="K58" s="36"/>
      <c r="L58" s="34"/>
      <c r="M58" s="35"/>
      <c r="N58" s="35"/>
      <c r="O58" s="35"/>
      <c r="P58" s="36"/>
      <c r="Q58" s="34"/>
      <c r="R58" s="35"/>
      <c r="S58" s="35"/>
      <c r="T58" s="35"/>
      <c r="U58" s="36"/>
      <c r="V58" s="34"/>
      <c r="W58" s="35"/>
      <c r="X58" s="35"/>
      <c r="Y58" s="35"/>
      <c r="Z58" s="36"/>
      <c r="AA58" s="34"/>
      <c r="AB58" s="34"/>
      <c r="AC58" s="35"/>
      <c r="AD58" s="35"/>
      <c r="AE58" s="36"/>
      <c r="AF58" s="35"/>
      <c r="AG58" s="35"/>
      <c r="AH58" s="35"/>
      <c r="AI58" s="35"/>
      <c r="AJ58" s="36"/>
      <c r="AK58" s="35"/>
      <c r="AL58" s="35"/>
      <c r="AM58" s="35"/>
      <c r="AN58" s="35"/>
      <c r="AO58" s="36"/>
      <c r="AP58" s="35"/>
      <c r="AQ58" s="35"/>
      <c r="AR58" s="35"/>
      <c r="AS58" s="35"/>
      <c r="AT58" s="36"/>
      <c r="AU58" s="35"/>
      <c r="AV58" s="35"/>
      <c r="AW58" s="35"/>
      <c r="AX58" s="35"/>
      <c r="AY58" s="36"/>
      <c r="AZ58" s="35"/>
      <c r="BA58" s="35"/>
      <c r="BB58" s="35"/>
      <c r="BC58" s="35"/>
      <c r="BD58" s="36"/>
      <c r="BE58" s="35"/>
      <c r="BF58" s="35"/>
      <c r="BG58" s="35"/>
      <c r="BH58" s="35"/>
      <c r="BI58" s="36"/>
      <c r="BL58" s="109"/>
    </row>
    <row r="59" spans="1:66">
      <c r="A59" s="1" t="s">
        <v>291</v>
      </c>
      <c r="B59" s="22">
        <f>B48</f>
        <v>0</v>
      </c>
      <c r="C59" s="26">
        <f t="shared" ref="C59:AH59" si="148">C48</f>
        <v>0</v>
      </c>
      <c r="D59" s="26">
        <f t="shared" si="148"/>
        <v>0</v>
      </c>
      <c r="E59" s="26">
        <f t="shared" si="148"/>
        <v>0</v>
      </c>
      <c r="F59" s="27">
        <f t="shared" si="148"/>
        <v>0</v>
      </c>
      <c r="G59" s="26">
        <f t="shared" si="148"/>
        <v>0</v>
      </c>
      <c r="H59" s="26">
        <f t="shared" si="148"/>
        <v>0</v>
      </c>
      <c r="I59" s="26">
        <f t="shared" si="148"/>
        <v>0</v>
      </c>
      <c r="J59" s="26">
        <f t="shared" si="148"/>
        <v>0</v>
      </c>
      <c r="K59" s="27">
        <f t="shared" si="148"/>
        <v>0</v>
      </c>
      <c r="L59" s="26">
        <f t="shared" si="148"/>
        <v>0</v>
      </c>
      <c r="M59" s="26">
        <f t="shared" si="148"/>
        <v>0</v>
      </c>
      <c r="N59" s="26">
        <f t="shared" si="148"/>
        <v>0</v>
      </c>
      <c r="O59" s="26">
        <f t="shared" si="148"/>
        <v>0</v>
      </c>
      <c r="P59" s="27">
        <f t="shared" si="148"/>
        <v>0</v>
      </c>
      <c r="Q59" s="26">
        <f t="shared" si="148"/>
        <v>0</v>
      </c>
      <c r="R59" s="26">
        <f t="shared" si="148"/>
        <v>0</v>
      </c>
      <c r="S59" s="26">
        <f t="shared" si="148"/>
        <v>0</v>
      </c>
      <c r="T59" s="26">
        <f t="shared" si="148"/>
        <v>0</v>
      </c>
      <c r="U59" s="27">
        <f t="shared" si="148"/>
        <v>0</v>
      </c>
      <c r="V59" s="26">
        <f t="shared" si="148"/>
        <v>0</v>
      </c>
      <c r="W59" s="26">
        <f t="shared" si="148"/>
        <v>0</v>
      </c>
      <c r="X59" s="26">
        <f t="shared" si="148"/>
        <v>0</v>
      </c>
      <c r="Y59" s="26">
        <f t="shared" si="148"/>
        <v>0</v>
      </c>
      <c r="Z59" s="27">
        <f t="shared" si="148"/>
        <v>0</v>
      </c>
      <c r="AA59" s="26">
        <f t="shared" si="148"/>
        <v>13</v>
      </c>
      <c r="AB59" s="26">
        <f t="shared" si="148"/>
        <v>19</v>
      </c>
      <c r="AC59" s="26">
        <f t="shared" si="148"/>
        <v>17</v>
      </c>
      <c r="AD59" s="26">
        <f t="shared" si="148"/>
        <v>19</v>
      </c>
      <c r="AE59" s="27">
        <f t="shared" si="148"/>
        <v>68</v>
      </c>
      <c r="AF59" s="26">
        <f t="shared" si="148"/>
        <v>24</v>
      </c>
      <c r="AG59" s="26">
        <f t="shared" si="148"/>
        <v>20</v>
      </c>
      <c r="AH59" s="26">
        <f t="shared" si="148"/>
        <v>23</v>
      </c>
      <c r="AI59" s="26">
        <f t="shared" ref="AI59:AM59" si="149">AI48</f>
        <v>21</v>
      </c>
      <c r="AJ59" s="27">
        <f t="shared" si="149"/>
        <v>88</v>
      </c>
      <c r="AK59" s="26">
        <f t="shared" si="149"/>
        <v>23</v>
      </c>
      <c r="AL59" s="26">
        <f t="shared" si="149"/>
        <v>33</v>
      </c>
      <c r="AM59" s="26">
        <f t="shared" si="149"/>
        <v>33</v>
      </c>
      <c r="AN59" s="26">
        <f t="shared" ref="AN59:AR59" si="150">AN48</f>
        <v>29</v>
      </c>
      <c r="AO59" s="27">
        <f t="shared" si="150"/>
        <v>118</v>
      </c>
      <c r="AP59" s="26">
        <f t="shared" si="150"/>
        <v>10.8</v>
      </c>
      <c r="AQ59" s="26">
        <f t="shared" si="150"/>
        <v>0</v>
      </c>
      <c r="AR59" s="26">
        <f t="shared" si="150"/>
        <v>2</v>
      </c>
      <c r="AS59" s="26">
        <f t="shared" ref="AS59:AW59" si="151">AS48</f>
        <v>7</v>
      </c>
      <c r="AT59" s="27">
        <f t="shared" si="151"/>
        <v>19.8</v>
      </c>
      <c r="AU59" s="26">
        <f t="shared" si="151"/>
        <v>12</v>
      </c>
      <c r="AV59" s="26">
        <f t="shared" si="151"/>
        <v>0</v>
      </c>
      <c r="AW59" s="26">
        <f t="shared" si="151"/>
        <v>4</v>
      </c>
      <c r="AX59" s="22">
        <f t="shared" ref="AX59:BB59" si="152">AX48</f>
        <v>-4</v>
      </c>
      <c r="AY59" s="27">
        <f t="shared" si="152"/>
        <v>12</v>
      </c>
      <c r="AZ59" s="26">
        <f t="shared" si="152"/>
        <v>-6</v>
      </c>
      <c r="BA59" s="26">
        <f t="shared" si="152"/>
        <v>1</v>
      </c>
      <c r="BB59" s="26">
        <f t="shared" si="152"/>
        <v>2</v>
      </c>
      <c r="BC59" s="450">
        <f t="shared" ref="BC59" si="153">BC48</f>
        <v>0</v>
      </c>
      <c r="BD59" s="561">
        <f t="shared" ref="BD59:BG59" si="154">BD48</f>
        <v>-3</v>
      </c>
      <c r="BE59" s="450">
        <f t="shared" si="154"/>
        <v>0</v>
      </c>
      <c r="BF59" s="450">
        <f t="shared" si="154"/>
        <v>0</v>
      </c>
      <c r="BG59" s="450">
        <f t="shared" si="154"/>
        <v>0</v>
      </c>
      <c r="BH59" s="450">
        <f t="shared" ref="BH59:BI59" si="155">BH48</f>
        <v>0</v>
      </c>
      <c r="BI59" s="561">
        <f t="shared" si="155"/>
        <v>0</v>
      </c>
      <c r="BL59" s="109"/>
    </row>
    <row r="60" spans="1:66">
      <c r="A60" s="9" t="s">
        <v>440</v>
      </c>
      <c r="B60" s="24">
        <f>B56+B59</f>
        <v>1336</v>
      </c>
      <c r="C60" s="24">
        <f t="shared" ref="C60:AH60" si="156">C56+C59</f>
        <v>1110</v>
      </c>
      <c r="D60" s="24">
        <f t="shared" si="156"/>
        <v>1704</v>
      </c>
      <c r="E60" s="24">
        <f t="shared" si="156"/>
        <v>1026</v>
      </c>
      <c r="F60" s="25">
        <f t="shared" si="156"/>
        <v>5176</v>
      </c>
      <c r="G60" s="24">
        <f t="shared" si="156"/>
        <v>1219</v>
      </c>
      <c r="H60" s="24">
        <f t="shared" si="156"/>
        <v>-234</v>
      </c>
      <c r="I60" s="24">
        <f t="shared" si="156"/>
        <v>2279</v>
      </c>
      <c r="J60" s="24">
        <f t="shared" si="156"/>
        <v>1631</v>
      </c>
      <c r="K60" s="25">
        <f t="shared" si="156"/>
        <v>4895</v>
      </c>
      <c r="L60" s="24">
        <f t="shared" si="156"/>
        <v>1579</v>
      </c>
      <c r="M60" s="24">
        <f t="shared" si="156"/>
        <v>1749</v>
      </c>
      <c r="N60" s="24">
        <f t="shared" si="156"/>
        <v>1810</v>
      </c>
      <c r="O60" s="24">
        <f t="shared" si="156"/>
        <v>3320</v>
      </c>
      <c r="P60" s="25">
        <f t="shared" si="156"/>
        <v>8458</v>
      </c>
      <c r="Q60" s="24">
        <f t="shared" si="156"/>
        <v>2477</v>
      </c>
      <c r="R60" s="24">
        <f t="shared" si="156"/>
        <v>2196</v>
      </c>
      <c r="S60" s="24">
        <f t="shared" si="156"/>
        <v>2363</v>
      </c>
      <c r="T60" s="24">
        <f t="shared" si="156"/>
        <v>3424</v>
      </c>
      <c r="U60" s="25">
        <f t="shared" si="156"/>
        <v>10460</v>
      </c>
      <c r="V60" s="24">
        <f t="shared" si="156"/>
        <v>2149</v>
      </c>
      <c r="W60" s="24">
        <f t="shared" si="156"/>
        <v>-2942</v>
      </c>
      <c r="X60" s="24">
        <f t="shared" si="156"/>
        <v>1167</v>
      </c>
      <c r="Y60" s="24">
        <f t="shared" si="156"/>
        <v>-1010</v>
      </c>
      <c r="Z60" s="25">
        <f t="shared" si="156"/>
        <v>-636</v>
      </c>
      <c r="AA60" s="24">
        <f t="shared" si="156"/>
        <v>-628</v>
      </c>
      <c r="AB60" s="24">
        <f t="shared" si="156"/>
        <v>-2376</v>
      </c>
      <c r="AC60" s="24">
        <f t="shared" si="156"/>
        <v>-449</v>
      </c>
      <c r="AD60" s="24">
        <f t="shared" si="156"/>
        <v>-8420</v>
      </c>
      <c r="AE60" s="25">
        <f t="shared" si="156"/>
        <v>-11873</v>
      </c>
      <c r="AF60" s="24">
        <f t="shared" si="156"/>
        <v>-537</v>
      </c>
      <c r="AG60" s="24">
        <f t="shared" si="156"/>
        <v>587</v>
      </c>
      <c r="AH60" s="24">
        <f t="shared" si="156"/>
        <v>-109</v>
      </c>
      <c r="AI60" s="24">
        <f t="shared" ref="AI60:AM60" si="157">AI56+AI59</f>
        <v>-4143</v>
      </c>
      <c r="AJ60" s="25">
        <f t="shared" si="157"/>
        <v>-4202</v>
      </c>
      <c r="AK60" s="24">
        <f t="shared" si="157"/>
        <v>-1219</v>
      </c>
      <c r="AL60" s="24">
        <f t="shared" si="157"/>
        <v>193</v>
      </c>
      <c r="AM60" s="24">
        <f t="shared" si="157"/>
        <v>-3275</v>
      </c>
      <c r="AN60" s="24">
        <f t="shared" ref="AN60:AR60" si="158">AN56+AN59</f>
        <v>-634</v>
      </c>
      <c r="AO60" s="25">
        <f t="shared" si="158"/>
        <v>-4935</v>
      </c>
      <c r="AP60" s="24">
        <f t="shared" si="158"/>
        <v>-414.2</v>
      </c>
      <c r="AQ60" s="24">
        <f t="shared" si="158"/>
        <v>-149</v>
      </c>
      <c r="AR60" s="24">
        <f t="shared" si="158"/>
        <v>-1636</v>
      </c>
      <c r="AS60" s="24">
        <f t="shared" ref="AS60:AW60" si="159">AS56+AS59</f>
        <v>-23</v>
      </c>
      <c r="AT60" s="25">
        <f t="shared" si="159"/>
        <v>-2222.1999999999998</v>
      </c>
      <c r="AU60" s="24">
        <f t="shared" si="159"/>
        <v>-343</v>
      </c>
      <c r="AV60" s="24">
        <f t="shared" si="159"/>
        <v>-1439</v>
      </c>
      <c r="AW60" s="24">
        <f t="shared" si="159"/>
        <v>-6170</v>
      </c>
      <c r="AX60" s="24">
        <f t="shared" ref="AX60:BB60" si="160">AX56+AX59</f>
        <v>-3865</v>
      </c>
      <c r="AY60" s="25">
        <f t="shared" si="160"/>
        <v>-11817</v>
      </c>
      <c r="AZ60" s="24">
        <f t="shared" si="160"/>
        <v>-129</v>
      </c>
      <c r="BA60" s="24">
        <f t="shared" si="160"/>
        <v>-611</v>
      </c>
      <c r="BB60" s="24">
        <f t="shared" si="160"/>
        <v>-5337</v>
      </c>
      <c r="BC60" s="24">
        <f t="shared" ref="BC60:BG60" si="161">BC56+BC59</f>
        <v>8220</v>
      </c>
      <c r="BD60" s="25">
        <f t="shared" si="161"/>
        <v>2235</v>
      </c>
      <c r="BE60" s="24">
        <f t="shared" si="161"/>
        <v>-235.46641428895109</v>
      </c>
      <c r="BF60" s="24">
        <f t="shared" si="161"/>
        <v>43.184479105931452</v>
      </c>
      <c r="BG60" s="24">
        <f t="shared" si="161"/>
        <v>240.87001942283271</v>
      </c>
      <c r="BH60" s="24">
        <f t="shared" ref="BH60:BI60" si="162">BH56+BH59</f>
        <v>426.47287048934072</v>
      </c>
      <c r="BI60" s="25">
        <f t="shared" si="162"/>
        <v>475.06095472915359</v>
      </c>
      <c r="BL60" s="109"/>
    </row>
    <row r="61" spans="1:66">
      <c r="A61" s="1"/>
      <c r="B61" s="34"/>
      <c r="C61" s="35"/>
      <c r="E61" s="35"/>
      <c r="F61" s="36"/>
      <c r="G61" s="34"/>
      <c r="H61" s="35"/>
      <c r="I61" s="35"/>
      <c r="J61" s="35"/>
      <c r="K61" s="36"/>
      <c r="L61" s="34"/>
      <c r="M61" s="35"/>
      <c r="N61" s="35"/>
      <c r="O61" s="35"/>
      <c r="P61" s="36"/>
      <c r="Q61" s="34"/>
      <c r="R61" s="35"/>
      <c r="S61" s="35"/>
      <c r="T61" s="35"/>
      <c r="U61" s="36"/>
      <c r="V61" s="34"/>
      <c r="W61" s="35"/>
      <c r="X61" s="35"/>
      <c r="Y61" s="35"/>
      <c r="Z61" s="36"/>
      <c r="AA61" s="34"/>
      <c r="AB61" s="34"/>
      <c r="AC61" s="35"/>
      <c r="AD61" s="35"/>
      <c r="AE61" s="36"/>
      <c r="AF61" s="35"/>
      <c r="AG61" s="35"/>
      <c r="AH61" s="35"/>
      <c r="AI61" s="35"/>
      <c r="AJ61" s="36"/>
      <c r="AK61" s="35"/>
      <c r="AL61" s="35"/>
      <c r="AM61" s="35"/>
      <c r="AN61" s="35"/>
      <c r="AO61" s="36"/>
      <c r="AP61" s="35"/>
      <c r="AQ61" s="35"/>
      <c r="AR61" s="35"/>
      <c r="AS61" s="35"/>
      <c r="AT61" s="36"/>
      <c r="AU61" s="35"/>
      <c r="AV61" s="35"/>
      <c r="AW61" s="35"/>
      <c r="AX61" s="35"/>
      <c r="AY61" s="36"/>
      <c r="AZ61" s="35"/>
      <c r="BA61" s="35"/>
      <c r="BB61" s="35"/>
      <c r="BC61" s="35"/>
      <c r="BD61" s="36"/>
      <c r="BE61" s="35"/>
      <c r="BF61" s="35"/>
      <c r="BG61" s="35"/>
      <c r="BH61" s="35"/>
      <c r="BI61" s="36"/>
      <c r="BL61" s="109"/>
    </row>
    <row r="62" spans="1:66">
      <c r="A62" s="1" t="s">
        <v>420</v>
      </c>
      <c r="B62" s="22">
        <f>B130</f>
        <v>71.31</v>
      </c>
      <c r="C62" s="22">
        <f t="shared" ref="C62:AH62" si="163">C130</f>
        <v>16.044</v>
      </c>
      <c r="D62" s="22">
        <f t="shared" si="163"/>
        <v>36.366</v>
      </c>
      <c r="E62" s="22">
        <f t="shared" si="163"/>
        <v>70.03</v>
      </c>
      <c r="F62" s="23">
        <f t="shared" si="163"/>
        <v>193.75</v>
      </c>
      <c r="G62" s="22">
        <f t="shared" si="163"/>
        <v>-60.76</v>
      </c>
      <c r="H62" s="22">
        <f t="shared" si="163"/>
        <v>-43.588000000000001</v>
      </c>
      <c r="I62" s="22">
        <f t="shared" si="163"/>
        <v>-56.41</v>
      </c>
      <c r="J62" s="22">
        <f t="shared" si="163"/>
        <v>-80.682000000000002</v>
      </c>
      <c r="K62" s="23">
        <f t="shared" si="163"/>
        <v>-241.44</v>
      </c>
      <c r="L62" s="22">
        <f t="shared" si="163"/>
        <v>-228</v>
      </c>
      <c r="M62" s="22">
        <f t="shared" si="163"/>
        <v>-230</v>
      </c>
      <c r="N62" s="22">
        <f t="shared" si="163"/>
        <v>-222</v>
      </c>
      <c r="O62" s="22">
        <f t="shared" si="163"/>
        <v>-251</v>
      </c>
      <c r="P62" s="23">
        <f t="shared" si="163"/>
        <v>-931</v>
      </c>
      <c r="Q62" s="22">
        <f t="shared" si="163"/>
        <v>-303</v>
      </c>
      <c r="R62" s="22">
        <f t="shared" si="163"/>
        <v>-236</v>
      </c>
      <c r="S62" s="22">
        <f t="shared" si="163"/>
        <v>-283</v>
      </c>
      <c r="T62" s="22">
        <f t="shared" si="163"/>
        <v>-260</v>
      </c>
      <c r="U62" s="23">
        <f t="shared" si="163"/>
        <v>-1082</v>
      </c>
      <c r="V62" s="22">
        <f t="shared" si="163"/>
        <v>-340</v>
      </c>
      <c r="W62" s="22">
        <f t="shared" si="163"/>
        <v>-342</v>
      </c>
      <c r="X62" s="22">
        <f t="shared" si="163"/>
        <v>-340</v>
      </c>
      <c r="Y62" s="22">
        <f t="shared" si="163"/>
        <v>-307</v>
      </c>
      <c r="Z62" s="23">
        <f t="shared" si="163"/>
        <v>-1329</v>
      </c>
      <c r="AA62" s="22">
        <f t="shared" si="163"/>
        <v>-333</v>
      </c>
      <c r="AB62" s="22">
        <f>AB130</f>
        <v>-335</v>
      </c>
      <c r="AC62" s="22">
        <f t="shared" si="163"/>
        <v>-337</v>
      </c>
      <c r="AD62" s="22">
        <f>AD130</f>
        <v>-343</v>
      </c>
      <c r="AE62" s="23">
        <f t="shared" si="163"/>
        <v>-1348</v>
      </c>
      <c r="AF62" s="22">
        <f t="shared" si="163"/>
        <v>-357</v>
      </c>
      <c r="AG62" s="22">
        <f t="shared" si="163"/>
        <v>-354</v>
      </c>
      <c r="AH62" s="22">
        <f t="shared" si="163"/>
        <v>-241</v>
      </c>
      <c r="AI62" s="22">
        <f t="shared" ref="AI62:AM62" si="164">AI130</f>
        <v>-393</v>
      </c>
      <c r="AJ62" s="23">
        <f t="shared" si="164"/>
        <v>-1345</v>
      </c>
      <c r="AK62" s="22">
        <f t="shared" si="164"/>
        <v>-409</v>
      </c>
      <c r="AL62" s="22">
        <f t="shared" si="164"/>
        <v>-410</v>
      </c>
      <c r="AM62" s="22">
        <f t="shared" si="164"/>
        <v>-410</v>
      </c>
      <c r="AN62" s="22">
        <f t="shared" ref="AN62:AR62" si="165">AN130</f>
        <v>-416</v>
      </c>
      <c r="AO62" s="23">
        <f t="shared" si="165"/>
        <v>-1645</v>
      </c>
      <c r="AP62" s="22">
        <f t="shared" si="165"/>
        <v>-348</v>
      </c>
      <c r="AQ62" s="22">
        <f t="shared" si="165"/>
        <v>-347</v>
      </c>
      <c r="AR62" s="22">
        <f t="shared" si="165"/>
        <v>-340</v>
      </c>
      <c r="AS62" s="22">
        <f t="shared" ref="AS62:AW62" si="166">AS130</f>
        <v>-264</v>
      </c>
      <c r="AT62" s="23">
        <f t="shared" si="166"/>
        <v>-1299</v>
      </c>
      <c r="AU62" s="22">
        <f t="shared" si="166"/>
        <v>-350</v>
      </c>
      <c r="AV62" s="22">
        <f t="shared" si="166"/>
        <v>-350</v>
      </c>
      <c r="AW62" s="22">
        <f t="shared" si="166"/>
        <v>-292</v>
      </c>
      <c r="AX62" s="22">
        <f t="shared" ref="AX62:BB62" si="167">AX130</f>
        <v>-314</v>
      </c>
      <c r="AY62" s="23">
        <f t="shared" si="167"/>
        <v>-1306</v>
      </c>
      <c r="AZ62" s="22">
        <f t="shared" si="167"/>
        <v>-245.2</v>
      </c>
      <c r="BA62" s="22">
        <f t="shared" si="167"/>
        <v>-239.2</v>
      </c>
      <c r="BB62" s="22">
        <f t="shared" si="167"/>
        <v>-249.2</v>
      </c>
      <c r="BC62" s="22">
        <f ca="1">BC130</f>
        <v>-246.2</v>
      </c>
      <c r="BD62" s="23">
        <f t="shared" ref="BD62:BG62" ca="1" si="168">BD130</f>
        <v>-979.8</v>
      </c>
      <c r="BE62" s="22">
        <f t="shared" si="168"/>
        <v>-266.625</v>
      </c>
      <c r="BF62" s="22">
        <f t="shared" si="168"/>
        <v>-266.625</v>
      </c>
      <c r="BG62" s="22">
        <f t="shared" si="168"/>
        <v>-266.625</v>
      </c>
      <c r="BH62" s="22">
        <f t="shared" ref="BH62:BI62" si="169">BH130</f>
        <v>-266.625</v>
      </c>
      <c r="BI62" s="23">
        <f t="shared" si="169"/>
        <v>-1066.5</v>
      </c>
      <c r="BL62" s="109"/>
    </row>
    <row r="63" spans="1:66">
      <c r="A63" s="9" t="s">
        <v>333</v>
      </c>
      <c r="B63" s="24">
        <f t="shared" ref="B63:AH63" si="170">B50+B62</f>
        <v>1407.31</v>
      </c>
      <c r="C63" s="24">
        <f t="shared" si="170"/>
        <v>1126.0440000000001</v>
      </c>
      <c r="D63" s="24">
        <f t="shared" si="170"/>
        <v>1740.366</v>
      </c>
      <c r="E63" s="24">
        <f t="shared" si="170"/>
        <v>1096.03</v>
      </c>
      <c r="F63" s="25">
        <f t="shared" si="170"/>
        <v>5369.75</v>
      </c>
      <c r="G63" s="24">
        <f t="shared" si="170"/>
        <v>1158.24</v>
      </c>
      <c r="H63" s="24">
        <f t="shared" si="170"/>
        <v>-277.58800000000002</v>
      </c>
      <c r="I63" s="24">
        <f t="shared" si="170"/>
        <v>2222.59</v>
      </c>
      <c r="J63" s="24">
        <f t="shared" si="170"/>
        <v>1550.318</v>
      </c>
      <c r="K63" s="25">
        <f t="shared" si="170"/>
        <v>4653.5600000000004</v>
      </c>
      <c r="L63" s="24">
        <f t="shared" si="170"/>
        <v>1351</v>
      </c>
      <c r="M63" s="24">
        <f t="shared" si="170"/>
        <v>1519</v>
      </c>
      <c r="N63" s="24">
        <f t="shared" si="170"/>
        <v>1588</v>
      </c>
      <c r="O63" s="24">
        <f t="shared" si="170"/>
        <v>3069</v>
      </c>
      <c r="P63" s="25">
        <f t="shared" si="170"/>
        <v>7527</v>
      </c>
      <c r="Q63" s="24">
        <f t="shared" si="170"/>
        <v>2174</v>
      </c>
      <c r="R63" s="24">
        <f t="shared" si="170"/>
        <v>1960</v>
      </c>
      <c r="S63" s="24">
        <f t="shared" si="170"/>
        <v>2080</v>
      </c>
      <c r="T63" s="24">
        <f t="shared" si="170"/>
        <v>3164</v>
      </c>
      <c r="U63" s="25">
        <f t="shared" si="170"/>
        <v>9378</v>
      </c>
      <c r="V63" s="24">
        <f t="shared" si="170"/>
        <v>1809</v>
      </c>
      <c r="W63" s="24">
        <f t="shared" si="170"/>
        <v>-3284</v>
      </c>
      <c r="X63" s="24">
        <f t="shared" si="170"/>
        <v>827</v>
      </c>
      <c r="Y63" s="24">
        <f t="shared" si="170"/>
        <v>-1317</v>
      </c>
      <c r="Z63" s="25">
        <f t="shared" si="170"/>
        <v>-1965</v>
      </c>
      <c r="AA63" s="24">
        <f t="shared" si="170"/>
        <v>-961</v>
      </c>
      <c r="AB63" s="24">
        <f t="shared" si="170"/>
        <v>-2711</v>
      </c>
      <c r="AC63" s="24">
        <f>AC50+AC62</f>
        <v>-786</v>
      </c>
      <c r="AD63" s="24">
        <f t="shared" si="170"/>
        <v>-8763</v>
      </c>
      <c r="AE63" s="25">
        <f t="shared" si="170"/>
        <v>-13221</v>
      </c>
      <c r="AF63" s="24">
        <f t="shared" si="170"/>
        <v>-894</v>
      </c>
      <c r="AG63" s="24">
        <f t="shared" si="170"/>
        <v>233</v>
      </c>
      <c r="AH63" s="24">
        <f t="shared" si="170"/>
        <v>-350</v>
      </c>
      <c r="AI63" s="24">
        <f t="shared" ref="AI63:AM63" si="171">AI50+AI62</f>
        <v>-4536</v>
      </c>
      <c r="AJ63" s="25">
        <f t="shared" si="171"/>
        <v>-5547</v>
      </c>
      <c r="AK63" s="24">
        <f t="shared" si="171"/>
        <v>-1628</v>
      </c>
      <c r="AL63" s="24">
        <f t="shared" si="171"/>
        <v>-217</v>
      </c>
      <c r="AM63" s="24">
        <f t="shared" si="171"/>
        <v>-3685</v>
      </c>
      <c r="AN63" s="24">
        <f t="shared" ref="AN63:AO63" si="172">AN50+AN62</f>
        <v>-1050</v>
      </c>
      <c r="AO63" s="25">
        <f t="shared" si="172"/>
        <v>-6580</v>
      </c>
      <c r="AP63" s="24">
        <f>AP50+AP62</f>
        <v>-762.2</v>
      </c>
      <c r="AQ63" s="24">
        <f t="shared" ref="AQ63:AT63" si="173">AQ50+AQ62</f>
        <v>-496</v>
      </c>
      <c r="AR63" s="24">
        <f t="shared" si="173"/>
        <v>-1976</v>
      </c>
      <c r="AS63" s="24">
        <f t="shared" si="173"/>
        <v>-287</v>
      </c>
      <c r="AT63" s="25">
        <f t="shared" si="173"/>
        <v>-3521.2</v>
      </c>
      <c r="AU63" s="24">
        <f>AU50+AU62</f>
        <v>-693</v>
      </c>
      <c r="AV63" s="24">
        <f t="shared" ref="AV63:AY63" si="174">AV50+AV62</f>
        <v>-1789</v>
      </c>
      <c r="AW63" s="24">
        <f t="shared" si="174"/>
        <v>-6462</v>
      </c>
      <c r="AX63" s="24">
        <f t="shared" si="174"/>
        <v>-4237</v>
      </c>
      <c r="AY63" s="25">
        <f t="shared" si="174"/>
        <v>-13181</v>
      </c>
      <c r="AZ63" s="24">
        <f>AZ50+AZ62</f>
        <v>-368.2</v>
      </c>
      <c r="BA63" s="24">
        <f t="shared" ref="BA63:BB63" si="175">BA50+BA62</f>
        <v>-936.2</v>
      </c>
      <c r="BB63" s="24">
        <f t="shared" si="175"/>
        <v>-5673.2</v>
      </c>
      <c r="BC63" s="24">
        <f t="shared" ref="BC63:BG63" ca="1" si="176">BC50+BC62</f>
        <v>7887.8</v>
      </c>
      <c r="BD63" s="25">
        <f t="shared" ca="1" si="176"/>
        <v>910.2</v>
      </c>
      <c r="BE63" s="24">
        <f t="shared" si="176"/>
        <v>-588.59141428895111</v>
      </c>
      <c r="BF63" s="24">
        <f t="shared" si="176"/>
        <v>-309.94052089406853</v>
      </c>
      <c r="BG63" s="24">
        <f t="shared" si="176"/>
        <v>-112.25498057716729</v>
      </c>
      <c r="BH63" s="24">
        <f t="shared" ref="BH63:BI63" si="177">BH50+BH62</f>
        <v>73.347870489340721</v>
      </c>
      <c r="BI63" s="25">
        <f t="shared" si="177"/>
        <v>-937.43904527084646</v>
      </c>
      <c r="BL63" s="109"/>
    </row>
    <row r="64" spans="1:66">
      <c r="A64" s="1" t="s">
        <v>4</v>
      </c>
      <c r="B64" s="34"/>
      <c r="C64" s="35"/>
      <c r="E64" s="35"/>
      <c r="F64" s="36">
        <f>F63/Income_Statement_Annual!P63-1</f>
        <v>-0.15367355874299071</v>
      </c>
      <c r="G64" s="34">
        <f t="shared" ref="G64:AH64" si="178">G63/B63-1</f>
        <v>-0.17698303856293207</v>
      </c>
      <c r="H64" s="35">
        <f t="shared" si="178"/>
        <v>-1.2465161219277399</v>
      </c>
      <c r="I64" s="35">
        <f t="shared" si="178"/>
        <v>0.27708194713066114</v>
      </c>
      <c r="J64" s="35">
        <f t="shared" si="178"/>
        <v>0.41448500497249174</v>
      </c>
      <c r="K64" s="36">
        <f t="shared" si="178"/>
        <v>-0.13337492434470866</v>
      </c>
      <c r="L64" s="34">
        <f t="shared" si="178"/>
        <v>0.16642492056913927</v>
      </c>
      <c r="M64" s="35">
        <f t="shared" si="178"/>
        <v>-6.4721385650676542</v>
      </c>
      <c r="N64" s="35">
        <f t="shared" si="178"/>
        <v>-0.28551824673016624</v>
      </c>
      <c r="O64" s="35">
        <f t="shared" si="178"/>
        <v>0.97959386396855352</v>
      </c>
      <c r="P64" s="36">
        <f t="shared" si="178"/>
        <v>0.61747135526349695</v>
      </c>
      <c r="Q64" s="34">
        <f t="shared" si="178"/>
        <v>0.60917838638045896</v>
      </c>
      <c r="R64" s="35">
        <f t="shared" si="178"/>
        <v>0.29032258064516125</v>
      </c>
      <c r="S64" s="35">
        <f t="shared" si="178"/>
        <v>0.30982367758186391</v>
      </c>
      <c r="T64" s="35">
        <f t="shared" si="178"/>
        <v>3.0954708374063111E-2</v>
      </c>
      <c r="U64" s="36">
        <f t="shared" si="178"/>
        <v>0.2459147070546035</v>
      </c>
      <c r="V64" s="34">
        <f t="shared" si="178"/>
        <v>-0.16789328426862926</v>
      </c>
      <c r="W64" s="35">
        <f t="shared" si="178"/>
        <v>-2.6755102040816325</v>
      </c>
      <c r="X64" s="35">
        <f t="shared" si="178"/>
        <v>-0.60240384615384612</v>
      </c>
      <c r="Y64" s="35">
        <f t="shared" si="178"/>
        <v>-1.4162452591656132</v>
      </c>
      <c r="Z64" s="36">
        <f t="shared" si="178"/>
        <v>-1.209532949456174</v>
      </c>
      <c r="AA64" s="34">
        <f t="shared" si="178"/>
        <v>-1.5312327252625759</v>
      </c>
      <c r="AB64" s="34">
        <f t="shared" si="178"/>
        <v>-0.17448233861144946</v>
      </c>
      <c r="AC64" s="35">
        <f t="shared" si="178"/>
        <v>-1.9504232164449817</v>
      </c>
      <c r="AD64" s="35">
        <f t="shared" si="178"/>
        <v>5.6537585421412304</v>
      </c>
      <c r="AE64" s="36">
        <f t="shared" si="178"/>
        <v>5.7282442748091604</v>
      </c>
      <c r="AF64" s="35">
        <f t="shared" si="178"/>
        <v>-6.9719042663891728E-2</v>
      </c>
      <c r="AG64" s="35">
        <f t="shared" si="178"/>
        <v>-1.0859461453338253</v>
      </c>
      <c r="AH64" s="35">
        <f t="shared" si="178"/>
        <v>-0.55470737913486001</v>
      </c>
      <c r="AI64" s="35">
        <f t="shared" ref="AI64:AR64" si="179">AI63/AD63-1</f>
        <v>-0.48236905169462518</v>
      </c>
      <c r="AJ64" s="36">
        <f t="shared" si="179"/>
        <v>-0.58044020875879276</v>
      </c>
      <c r="AK64" s="35">
        <f t="shared" si="179"/>
        <v>0.82102908277404918</v>
      </c>
      <c r="AL64" s="35">
        <f t="shared" si="179"/>
        <v>-1.9313304721030042</v>
      </c>
      <c r="AM64" s="35">
        <f t="shared" si="179"/>
        <v>9.5285714285714285</v>
      </c>
      <c r="AN64" s="35">
        <f t="shared" ref="AN64" si="180">AN63/AI63-1</f>
        <v>-0.76851851851851849</v>
      </c>
      <c r="AO64" s="36">
        <f t="shared" ref="AO64" si="181">AO63/AJ63-1</f>
        <v>0.18622678925545344</v>
      </c>
      <c r="AP64" s="35">
        <f t="shared" si="179"/>
        <v>-0.53181818181818175</v>
      </c>
      <c r="AQ64" s="35">
        <f t="shared" si="179"/>
        <v>1.2857142857142856</v>
      </c>
      <c r="AR64" s="35">
        <f t="shared" si="179"/>
        <v>-0.46377204884667567</v>
      </c>
      <c r="AS64" s="35">
        <f t="shared" ref="AS64" si="182">AS63/AN63-1</f>
        <v>-0.72666666666666668</v>
      </c>
      <c r="AT64" s="36">
        <f t="shared" ref="AT64:AW64" si="183">AT63/AO63-1</f>
        <v>-0.46486322188449847</v>
      </c>
      <c r="AU64" s="35">
        <f t="shared" si="183"/>
        <v>-9.0789818945158807E-2</v>
      </c>
      <c r="AV64" s="35">
        <f t="shared" si="183"/>
        <v>2.6068548387096775</v>
      </c>
      <c r="AW64" s="35">
        <f t="shared" si="183"/>
        <v>2.2702429149797569</v>
      </c>
      <c r="AX64" s="35">
        <f t="shared" ref="AX64" si="184">AX63/AS63-1</f>
        <v>13.763066202090592</v>
      </c>
      <c r="AY64" s="36">
        <f t="shared" ref="AY64:BB64" si="185">AY63/AT63-1</f>
        <v>2.7433261388163128</v>
      </c>
      <c r="AZ64" s="35">
        <f t="shared" si="185"/>
        <v>-0.46868686868686871</v>
      </c>
      <c r="BA64" s="35">
        <f t="shared" si="185"/>
        <v>-0.47669088876467303</v>
      </c>
      <c r="BB64" s="35">
        <f t="shared" si="185"/>
        <v>-0.12206747137109253</v>
      </c>
      <c r="BC64" s="35">
        <f t="shared" ref="BC64" ca="1" si="186">BC63/AX63-1</f>
        <v>-2.8616473920226575</v>
      </c>
      <c r="BD64" s="36">
        <f t="shared" ref="BD64:BG64" ca="1" si="187">BD63/AY63-1</f>
        <v>-1.0690539412791138</v>
      </c>
      <c r="BE64" s="35">
        <f t="shared" si="187"/>
        <v>0.59856440599932403</v>
      </c>
      <c r="BF64" s="35">
        <f t="shared" si="187"/>
        <v>-0.66893770466346025</v>
      </c>
      <c r="BG64" s="35">
        <f t="shared" si="187"/>
        <v>-0.98021311066467476</v>
      </c>
      <c r="BH64" s="35">
        <f t="shared" ref="BH64" ca="1" si="188">BH63/BC63-1</f>
        <v>-0.99070109910376269</v>
      </c>
      <c r="BI64" s="36">
        <f t="shared" ref="BI64" ca="1" si="189">BI63/BD63-1</f>
        <v>-2.0299264395416903</v>
      </c>
      <c r="BL64" s="109"/>
    </row>
    <row r="65" spans="1:64">
      <c r="F65" s="27"/>
      <c r="K65" s="27"/>
      <c r="P65" s="27"/>
      <c r="U65" s="27"/>
      <c r="Z65" s="27"/>
      <c r="AE65" s="27"/>
      <c r="AJ65" s="27"/>
      <c r="AO65" s="27"/>
      <c r="AT65" s="27"/>
      <c r="AY65" s="27"/>
      <c r="BD65" s="27"/>
      <c r="BI65" s="27"/>
      <c r="BL65" s="109"/>
    </row>
    <row r="66" spans="1:64">
      <c r="A66" s="1" t="s">
        <v>294</v>
      </c>
      <c r="B66" s="41">
        <v>-2</v>
      </c>
      <c r="C66" s="41">
        <v>0</v>
      </c>
      <c r="D66" s="41">
        <v>-3</v>
      </c>
      <c r="E66" s="22">
        <f>+F66-SUM(B66:D66)</f>
        <v>1</v>
      </c>
      <c r="F66" s="43">
        <v>-4</v>
      </c>
      <c r="G66" s="41">
        <v>-2</v>
      </c>
      <c r="H66" s="41">
        <v>0</v>
      </c>
      <c r="I66" s="41">
        <v>-3</v>
      </c>
      <c r="J66" s="22">
        <f>+K66-SUM(G66:I66)</f>
        <v>2</v>
      </c>
      <c r="K66" s="43">
        <v>-3</v>
      </c>
      <c r="L66" s="41">
        <v>-2</v>
      </c>
      <c r="M66" s="41">
        <v>0</v>
      </c>
      <c r="N66" s="41">
        <v>-2</v>
      </c>
      <c r="O66" s="22">
        <f>+P66-SUM(L66:N66)</f>
        <v>-2</v>
      </c>
      <c r="P66" s="43">
        <v>-6</v>
      </c>
      <c r="Q66" s="41">
        <v>-3</v>
      </c>
      <c r="R66" s="41">
        <v>0</v>
      </c>
      <c r="S66" s="41">
        <v>-2</v>
      </c>
      <c r="T66" s="22">
        <f>+U66-SUM(Q66:S66)</f>
        <v>-2</v>
      </c>
      <c r="U66" s="43">
        <v>-7</v>
      </c>
      <c r="V66" s="41">
        <v>-2</v>
      </c>
      <c r="W66" s="41">
        <v>0</v>
      </c>
      <c r="X66" s="41">
        <v>-1</v>
      </c>
      <c r="Y66" s="22">
        <f>+Z66-SUM(V66:X66)</f>
        <v>3</v>
      </c>
      <c r="Z66" s="43">
        <v>0</v>
      </c>
      <c r="AA66" s="41">
        <v>0</v>
      </c>
      <c r="AB66" s="41">
        <v>0</v>
      </c>
      <c r="AC66" s="41">
        <v>0</v>
      </c>
      <c r="AD66" s="41">
        <f>AC66</f>
        <v>0</v>
      </c>
      <c r="AE66" s="23">
        <f>SUM(AA66:AD66)</f>
        <v>0</v>
      </c>
      <c r="AF66" s="41">
        <v>0</v>
      </c>
      <c r="AG66" s="41">
        <v>0</v>
      </c>
      <c r="AH66" s="41">
        <v>0</v>
      </c>
      <c r="AI66" s="41">
        <f>AH66</f>
        <v>0</v>
      </c>
      <c r="AJ66" s="23">
        <f>SUM(AF66:AI66)</f>
        <v>0</v>
      </c>
      <c r="AK66" s="41">
        <v>0</v>
      </c>
      <c r="AL66" s="41">
        <v>0</v>
      </c>
      <c r="AM66" s="41">
        <v>0</v>
      </c>
      <c r="AN66" s="41">
        <f>AM66</f>
        <v>0</v>
      </c>
      <c r="AO66" s="23">
        <f>SUM(AK66:AN66)</f>
        <v>0</v>
      </c>
      <c r="AP66" s="41">
        <v>0</v>
      </c>
      <c r="AQ66" s="41">
        <v>0</v>
      </c>
      <c r="AR66" s="41">
        <v>0</v>
      </c>
      <c r="AS66" s="41">
        <v>0</v>
      </c>
      <c r="AT66" s="23">
        <f>SUM(AP66:AS66)</f>
        <v>0</v>
      </c>
      <c r="AU66" s="41">
        <v>0</v>
      </c>
      <c r="AV66" s="41">
        <v>0</v>
      </c>
      <c r="AW66" s="41">
        <v>0</v>
      </c>
      <c r="AX66" s="41">
        <v>0</v>
      </c>
      <c r="AY66" s="23">
        <f>SUM(AU66:AX66)</f>
        <v>0</v>
      </c>
      <c r="AZ66" s="41">
        <v>0</v>
      </c>
      <c r="BA66" s="41">
        <v>0</v>
      </c>
      <c r="BB66" s="41">
        <v>0</v>
      </c>
      <c r="BC66" s="41">
        <v>0</v>
      </c>
      <c r="BD66" s="23">
        <f>SUM(AZ66:BC66)</f>
        <v>0</v>
      </c>
      <c r="BE66" s="41">
        <v>0</v>
      </c>
      <c r="BF66" s="41">
        <v>0</v>
      </c>
      <c r="BG66" s="41">
        <v>0</v>
      </c>
      <c r="BH66" s="22">
        <f>BI66-SUM(BE66:BG66)</f>
        <v>0</v>
      </c>
      <c r="BI66" s="43">
        <v>0</v>
      </c>
      <c r="BL66" s="109"/>
    </row>
    <row r="67" spans="1:64">
      <c r="A67" s="1" t="s">
        <v>308</v>
      </c>
      <c r="B67" s="41">
        <v>0</v>
      </c>
      <c r="C67" s="41">
        <v>0</v>
      </c>
      <c r="D67" s="41">
        <v>0</v>
      </c>
      <c r="E67" s="22">
        <f>+F67-SUM(B67:D67)</f>
        <v>0</v>
      </c>
      <c r="F67" s="43">
        <v>0</v>
      </c>
      <c r="G67" s="41">
        <v>0</v>
      </c>
      <c r="H67" s="41">
        <v>0</v>
      </c>
      <c r="I67" s="41">
        <v>0</v>
      </c>
      <c r="J67" s="22">
        <f>+K67-SUM(G67:I67)</f>
        <v>0</v>
      </c>
      <c r="K67" s="43">
        <v>0</v>
      </c>
      <c r="L67" s="41">
        <v>0</v>
      </c>
      <c r="M67" s="41">
        <v>0</v>
      </c>
      <c r="N67" s="41">
        <v>0</v>
      </c>
      <c r="O67" s="22">
        <f>+P67-SUM(L67:N67)</f>
        <v>0</v>
      </c>
      <c r="P67" s="43">
        <v>0</v>
      </c>
      <c r="Q67" s="41">
        <v>0</v>
      </c>
      <c r="R67" s="41">
        <v>0</v>
      </c>
      <c r="S67" s="41">
        <v>0</v>
      </c>
      <c r="T67" s="22">
        <f>+U67-SUM(Q67:S67)</f>
        <v>0</v>
      </c>
      <c r="U67" s="43">
        <v>0</v>
      </c>
      <c r="V67" s="41">
        <v>0</v>
      </c>
      <c r="W67" s="41">
        <v>0</v>
      </c>
      <c r="X67" s="41">
        <v>0</v>
      </c>
      <c r="Y67" s="22">
        <f>+Z67-SUM(V67:X67)</f>
        <v>0</v>
      </c>
      <c r="Z67" s="43">
        <v>0</v>
      </c>
      <c r="AA67" s="41">
        <v>0</v>
      </c>
      <c r="AB67" s="41">
        <v>0</v>
      </c>
      <c r="AC67" s="41">
        <v>0</v>
      </c>
      <c r="AD67" s="41">
        <f>AC67</f>
        <v>0</v>
      </c>
      <c r="AE67" s="23">
        <f>SUM(AA67:AD67)</f>
        <v>0</v>
      </c>
      <c r="AF67" s="41">
        <v>0</v>
      </c>
      <c r="AG67" s="41">
        <v>0</v>
      </c>
      <c r="AH67" s="41">
        <v>0</v>
      </c>
      <c r="AI67" s="41">
        <f>AH67</f>
        <v>0</v>
      </c>
      <c r="AJ67" s="23">
        <f>SUM(AF67:AI67)</f>
        <v>0</v>
      </c>
      <c r="AK67" s="41">
        <v>0</v>
      </c>
      <c r="AL67" s="41">
        <v>0</v>
      </c>
      <c r="AM67" s="41">
        <v>0</v>
      </c>
      <c r="AN67" s="41">
        <f>AM67</f>
        <v>0</v>
      </c>
      <c r="AO67" s="23">
        <f>SUM(AK67:AN67)</f>
        <v>0</v>
      </c>
      <c r="AP67" s="41">
        <v>0</v>
      </c>
      <c r="AQ67" s="41">
        <v>0</v>
      </c>
      <c r="AR67" s="41">
        <v>0</v>
      </c>
      <c r="AS67" s="41">
        <v>0</v>
      </c>
      <c r="AT67" s="23">
        <f>SUM(AP67:AS67)</f>
        <v>0</v>
      </c>
      <c r="AU67" s="41">
        <v>0</v>
      </c>
      <c r="AV67" s="41">
        <v>0</v>
      </c>
      <c r="AW67" s="41">
        <v>0</v>
      </c>
      <c r="AX67" s="41">
        <v>0</v>
      </c>
      <c r="AY67" s="23">
        <f>SUM(AU67:AX67)</f>
        <v>0</v>
      </c>
      <c r="AZ67" s="41">
        <v>0</v>
      </c>
      <c r="BA67" s="41">
        <v>0</v>
      </c>
      <c r="BB67" s="41">
        <v>0</v>
      </c>
      <c r="BC67" s="41">
        <v>0</v>
      </c>
      <c r="BD67" s="23">
        <f>SUM(AZ67:BC67)</f>
        <v>0</v>
      </c>
      <c r="BE67" s="41">
        <v>0</v>
      </c>
      <c r="BF67" s="41">
        <v>0</v>
      </c>
      <c r="BG67" s="41">
        <v>0</v>
      </c>
      <c r="BH67" s="22">
        <f>BI67-SUM(BE67:BG67)</f>
        <v>0</v>
      </c>
      <c r="BI67" s="43">
        <v>0</v>
      </c>
      <c r="BL67" s="109"/>
    </row>
    <row r="68" spans="1:64">
      <c r="F68" s="27"/>
      <c r="K68" s="27"/>
      <c r="P68" s="27"/>
      <c r="U68" s="27"/>
      <c r="Z68" s="27"/>
      <c r="AE68" s="27"/>
      <c r="AJ68" s="27"/>
      <c r="AO68" s="27"/>
      <c r="AT68" s="27"/>
      <c r="AY68" s="27"/>
      <c r="BD68" s="27"/>
      <c r="BI68" s="27"/>
      <c r="BL68" s="109"/>
    </row>
    <row r="69" spans="1:64">
      <c r="A69" s="9" t="s">
        <v>334</v>
      </c>
      <c r="B69" s="47">
        <f t="shared" ref="B69:AH69" si="190">(B63+B66+B67)/B79</f>
        <v>1.9707053709157198</v>
      </c>
      <c r="C69" s="47">
        <f t="shared" si="190"/>
        <v>1.6137059329320724</v>
      </c>
      <c r="D69" s="47">
        <f t="shared" si="190"/>
        <v>2.5259755742948533</v>
      </c>
      <c r="E69" s="47">
        <f t="shared" si="190"/>
        <v>1.6145373294346979</v>
      </c>
      <c r="F69" s="48">
        <f t="shared" si="190"/>
        <v>7.7205035971223017</v>
      </c>
      <c r="G69" s="47">
        <f t="shared" si="190"/>
        <v>1.7392298435619737</v>
      </c>
      <c r="H69" s="47">
        <f t="shared" si="190"/>
        <v>-0.43694002833307105</v>
      </c>
      <c r="I69" s="47">
        <f t="shared" si="190"/>
        <v>3.5131212408990193</v>
      </c>
      <c r="J69" s="47">
        <f t="shared" si="190"/>
        <v>2.4650543347639484</v>
      </c>
      <c r="K69" s="48">
        <f t="shared" si="190"/>
        <v>7.2348475420037346</v>
      </c>
      <c r="L69" s="47">
        <f t="shared" si="190"/>
        <v>2.1744036105738234</v>
      </c>
      <c r="M69" s="47">
        <f t="shared" si="190"/>
        <v>2.4946625061586469</v>
      </c>
      <c r="N69" s="47">
        <f t="shared" si="190"/>
        <v>2.61889035667107</v>
      </c>
      <c r="O69" s="47">
        <f t="shared" si="190"/>
        <v>5.071635542168675</v>
      </c>
      <c r="P69" s="48">
        <f t="shared" si="190"/>
        <v>12.329508196721312</v>
      </c>
      <c r="Q69" s="47">
        <f t="shared" si="190"/>
        <v>3.6395641240569994</v>
      </c>
      <c r="R69" s="47">
        <f t="shared" si="190"/>
        <v>3.3333333333333335</v>
      </c>
      <c r="S69" s="47">
        <f t="shared" si="190"/>
        <v>3.581523612547397</v>
      </c>
      <c r="T69" s="47">
        <f t="shared" si="190"/>
        <v>5.4762441588785045</v>
      </c>
      <c r="U69" s="48">
        <f t="shared" si="190"/>
        <v>16.005123825789923</v>
      </c>
      <c r="V69" s="47">
        <f t="shared" si="190"/>
        <v>3.1601958726827566</v>
      </c>
      <c r="W69" s="47">
        <f t="shared" si="190"/>
        <v>-5.8154772445546303</v>
      </c>
      <c r="X69" s="47">
        <f t="shared" si="190"/>
        <v>1.4526908195568062</v>
      </c>
      <c r="Y69" s="47">
        <f t="shared" si="190"/>
        <v>-2.3287722772277228</v>
      </c>
      <c r="Z69" s="48">
        <f t="shared" si="190"/>
        <v>-3.4754156349487091</v>
      </c>
      <c r="AA69" s="47">
        <f t="shared" si="190"/>
        <v>-1.6996816413158826</v>
      </c>
      <c r="AB69" s="47">
        <f t="shared" si="190"/>
        <v>-4.790599045767804</v>
      </c>
      <c r="AC69" s="47">
        <f>(AC63+AC66+AC67)/AC79</f>
        <v>-1.38722202612072</v>
      </c>
      <c r="AD69" s="47">
        <f>(AD63+AD66+AD67)/AD79</f>
        <v>-15.245302713987476</v>
      </c>
      <c r="AE69" s="48">
        <f t="shared" si="190"/>
        <v>-23.269239230870774</v>
      </c>
      <c r="AF69" s="47">
        <f t="shared" si="190"/>
        <v>-1.527160915613256</v>
      </c>
      <c r="AG69" s="47">
        <f t="shared" si="190"/>
        <v>0.39504916920990168</v>
      </c>
      <c r="AH69" s="47">
        <f t="shared" si="190"/>
        <v>-0.59463132857628265</v>
      </c>
      <c r="AI69" s="47">
        <f>(AI63+AI66+AI67)/AI79</f>
        <v>-7.6842283584617999</v>
      </c>
      <c r="AJ69" s="48">
        <f>(AJ63+AJ66+AJ67)/AJ79</f>
        <v>-9.4252580604052518</v>
      </c>
      <c r="AK69" s="47">
        <f>(AK63+AK66+AK67)/AK79</f>
        <v>-2.7513942876457662</v>
      </c>
      <c r="AL69" s="47">
        <f>(AL63+AL66+AL67)/AL76</f>
        <v>-0.36550446353377125</v>
      </c>
      <c r="AM69" s="47">
        <f>(AM63+AM66+AM67)/AM79</f>
        <v>-6.1797752808988768</v>
      </c>
      <c r="AN69" s="47">
        <f>(AN63+AN66+AN67)/AN79</f>
        <v>-1.7532142260811487</v>
      </c>
      <c r="AO69" s="48">
        <f>(AO63+AO66+AO67)/AO79</f>
        <v>-11.043325752934956</v>
      </c>
      <c r="AP69" s="47">
        <f>(AP63+AP66+AP67)/AP79</f>
        <v>-1.2650622406639005</v>
      </c>
      <c r="AQ69" s="47">
        <f>(AQ63+AQ66+AQ67)/AQ76</f>
        <v>-0.81915772089182493</v>
      </c>
      <c r="AR69" s="47">
        <f t="shared" ref="AR69:AV69" si="191">(AR63+AR66+AR67)/AR79</f>
        <v>-3.2542819499341236</v>
      </c>
      <c r="AS69" s="47">
        <f t="shared" si="191"/>
        <v>-0.47087776866283837</v>
      </c>
      <c r="AT69" s="48">
        <f t="shared" si="191"/>
        <v>-5.8088835732255539</v>
      </c>
      <c r="AU69" s="47">
        <f t="shared" si="191"/>
        <v>-1.1301369863013697</v>
      </c>
      <c r="AV69" s="47">
        <f t="shared" si="191"/>
        <v>-2.9013947453778788</v>
      </c>
      <c r="AW69" s="47">
        <f t="shared" ref="AW69:BA69" si="192">(AW63+AW66+AW67)/AW79</f>
        <v>-10.442792501616031</v>
      </c>
      <c r="AX69" s="47">
        <f t="shared" si="192"/>
        <v>-5.900292438379056</v>
      </c>
      <c r="AY69" s="48">
        <f t="shared" si="192"/>
        <v>-20.366192830655127</v>
      </c>
      <c r="AZ69" s="47">
        <f t="shared" si="192"/>
        <v>-0.48871781258295727</v>
      </c>
      <c r="BA69" s="47">
        <f t="shared" si="192"/>
        <v>-1.2373777425323818</v>
      </c>
      <c r="BB69" s="47">
        <f t="shared" ref="BB69" si="193">(BB63+BB66+BB67)/BB79</f>
        <v>-7.4657191735754704</v>
      </c>
      <c r="BC69" s="47">
        <f t="shared" ref="BC69" ca="1" si="194">(BC63+BC66+BC67)/BC79</f>
        <v>9.81313759641702</v>
      </c>
      <c r="BD69" s="48">
        <f ca="1">(BD63+BD66+BD67)/BD79</f>
        <v>1.1940181031090122</v>
      </c>
      <c r="BE69" s="47">
        <f t="shared" ref="BE69:BG69" si="195">(BE63+BE66+BE67)/BE79</f>
        <v>-0.73226102797829207</v>
      </c>
      <c r="BF69" s="47">
        <f t="shared" si="195"/>
        <v>-0.38559407924119005</v>
      </c>
      <c r="BG69" s="47">
        <f t="shared" si="195"/>
        <v>-0.1396553627484042</v>
      </c>
      <c r="BH69" s="47">
        <f t="shared" ref="BH69" si="196">(BH63+BH66+BH67)/BH79</f>
        <v>9.1251393990222349E-2</v>
      </c>
      <c r="BI69" s="48">
        <f>(BI63+BI66+BI67)/BI79</f>
        <v>-1.1662590759776643</v>
      </c>
      <c r="BL69" s="109"/>
    </row>
    <row r="70" spans="1:64">
      <c r="A70" s="9" t="s">
        <v>51</v>
      </c>
      <c r="B70" s="47">
        <f t="shared" ref="B70:AH70" si="197">(B50+B66+B67)/B79</f>
        <v>1.87070537091572</v>
      </c>
      <c r="C70" s="47">
        <f t="shared" si="197"/>
        <v>1.590713671539123</v>
      </c>
      <c r="D70" s="47">
        <f t="shared" si="197"/>
        <v>2.4731026461180576</v>
      </c>
      <c r="E70" s="47">
        <f t="shared" si="197"/>
        <v>1.5114717348927875</v>
      </c>
      <c r="F70" s="48">
        <f t="shared" si="197"/>
        <v>7.4417266187050357</v>
      </c>
      <c r="G70" s="47">
        <f t="shared" si="197"/>
        <v>1.8306257521058966</v>
      </c>
      <c r="H70" s="47">
        <f t="shared" si="197"/>
        <v>-0.36832992287108457</v>
      </c>
      <c r="I70" s="47">
        <f t="shared" si="197"/>
        <v>3.6024058246280473</v>
      </c>
      <c r="J70" s="47">
        <f t="shared" si="197"/>
        <v>2.5931759656652358</v>
      </c>
      <c r="K70" s="48">
        <f t="shared" si="197"/>
        <v>7.6104542626011202</v>
      </c>
      <c r="L70" s="47">
        <f t="shared" si="197"/>
        <v>2.5419084461637653</v>
      </c>
      <c r="M70" s="47">
        <f t="shared" si="197"/>
        <v>2.8723928395467238</v>
      </c>
      <c r="N70" s="47">
        <f t="shared" si="197"/>
        <v>2.9854689564068693</v>
      </c>
      <c r="O70" s="47">
        <f t="shared" si="197"/>
        <v>5.4866927710843374</v>
      </c>
      <c r="P70" s="48">
        <f t="shared" si="197"/>
        <v>13.855737704918033</v>
      </c>
      <c r="Q70" s="47">
        <f t="shared" si="197"/>
        <v>4.1475272422464373</v>
      </c>
      <c r="R70" s="47">
        <f t="shared" si="197"/>
        <v>3.7346938775510203</v>
      </c>
      <c r="S70" s="47">
        <f t="shared" si="197"/>
        <v>4.0692864529472592</v>
      </c>
      <c r="T70" s="47">
        <f t="shared" si="197"/>
        <v>5.9265362149532708</v>
      </c>
      <c r="U70" s="48">
        <f t="shared" si="197"/>
        <v>17.853116994022205</v>
      </c>
      <c r="V70" s="47">
        <f t="shared" si="197"/>
        <v>3.7548093739069608</v>
      </c>
      <c r="W70" s="47">
        <f t="shared" si="197"/>
        <v>-5.2098459358951654</v>
      </c>
      <c r="X70" s="47">
        <f t="shared" si="197"/>
        <v>2.0506507210692928</v>
      </c>
      <c r="Y70" s="47">
        <f t="shared" si="197"/>
        <v>-1.7846831683168316</v>
      </c>
      <c r="Z70" s="48">
        <f t="shared" si="197"/>
        <v>-1.1248673505482845</v>
      </c>
      <c r="AA70" s="47">
        <f t="shared" si="197"/>
        <v>-1.1107180756986206</v>
      </c>
      <c r="AB70" s="47">
        <f t="shared" si="197"/>
        <v>-4.1986216646050538</v>
      </c>
      <c r="AC70" s="47">
        <f t="shared" si="197"/>
        <v>-0.79244617013766327</v>
      </c>
      <c r="AD70" s="47">
        <f>(AD50+AD66+AD67)/AD79</f>
        <v>-14.648573416840641</v>
      </c>
      <c r="AE70" s="48">
        <f t="shared" si="197"/>
        <v>-20.896730760769131</v>
      </c>
      <c r="AF70" s="47">
        <f t="shared" si="197"/>
        <v>-0.91732148957977455</v>
      </c>
      <c r="AG70" s="47">
        <f t="shared" si="197"/>
        <v>0.99525262800949477</v>
      </c>
      <c r="AH70" s="47">
        <f t="shared" si="197"/>
        <v>-0.18518518518518517</v>
      </c>
      <c r="AI70" s="47">
        <f t="shared" ref="AI70:AM70" si="198">(AI50+AI66+AI67)/AI79</f>
        <v>-7.0184651871929535</v>
      </c>
      <c r="AJ70" s="48">
        <f t="shared" si="198"/>
        <v>-7.1398836073233944</v>
      </c>
      <c r="AK70" s="47">
        <f t="shared" si="198"/>
        <v>-2.0601656244718605</v>
      </c>
      <c r="AL70" s="47">
        <f t="shared" si="198"/>
        <v>0.32358661390919452</v>
      </c>
      <c r="AM70" s="47">
        <f t="shared" si="198"/>
        <v>-5.4922019117893681</v>
      </c>
      <c r="AN70" s="47">
        <f t="shared" ref="AN70" si="199">(AN50+AN66+AN67)/AN79</f>
        <v>-1.0586074469861413</v>
      </c>
      <c r="AO70" s="48">
        <f>(AO50+AO66+AO67)/AO79</f>
        <v>-8.2824943147012178</v>
      </c>
      <c r="AP70" s="47">
        <f>(AP50+AP66+AP67)/AP79</f>
        <v>-0.68746887966804981</v>
      </c>
      <c r="AQ70" s="47">
        <f t="shared" ref="AQ70:AS70" si="200">(AQ50+AQ66+AQ67)/AQ79</f>
        <v>-0.24607762180016515</v>
      </c>
      <c r="AR70" s="47">
        <f t="shared" si="200"/>
        <v>-2.6943346508563897</v>
      </c>
      <c r="AS70" s="47">
        <f t="shared" si="200"/>
        <v>-3.7735849056603772E-2</v>
      </c>
      <c r="AT70" s="48">
        <f>(AT50+AT66+AT67)/AT79</f>
        <v>-3.6659380541922713</v>
      </c>
      <c r="AU70" s="47">
        <f>(AU50+AU66+AU67)/AU79</f>
        <v>-0.55936073059360725</v>
      </c>
      <c r="AV70" s="47">
        <f>(AV50+AV66+AV67)/AV79</f>
        <v>-2.3337658125202725</v>
      </c>
      <c r="AW70" s="47">
        <f t="shared" ref="AW70:AX70" si="201">(AW50+AW66+AW67)/AW79</f>
        <v>-9.9709114414996769</v>
      </c>
      <c r="AX70" s="47">
        <f t="shared" si="201"/>
        <v>-5.4630274335050828</v>
      </c>
      <c r="AY70" s="48">
        <f>(AY50+AY66+AY67)/AY79</f>
        <v>-18.348269468479604</v>
      </c>
      <c r="AZ70" s="47">
        <f>(AZ50+AZ66+AZ67)/AZ79</f>
        <v>-0.16325988850544201</v>
      </c>
      <c r="BA70" s="47">
        <f>(BA50+BA66+BA67)/BA79</f>
        <v>-0.92122653978324076</v>
      </c>
      <c r="BB70" s="47">
        <f t="shared" ref="BB70" si="202">(BB50+BB66+BB67)/BB79</f>
        <v>-7.1377812870114488</v>
      </c>
      <c r="BC70" s="47">
        <f t="shared" ref="BC70:BG70" si="203">(BC50+BC66+BC67)/BC79</f>
        <v>10.119432694700174</v>
      </c>
      <c r="BD70" s="48">
        <f t="shared" si="203"/>
        <v>2.4793388429752068</v>
      </c>
      <c r="BE70" s="47">
        <f t="shared" si="203"/>
        <v>-0.40055537980710515</v>
      </c>
      <c r="BF70" s="47">
        <f t="shared" si="203"/>
        <v>-5.388843107000317E-2</v>
      </c>
      <c r="BG70" s="47">
        <f t="shared" si="203"/>
        <v>0.19205028542278268</v>
      </c>
      <c r="BH70" s="47">
        <f t="shared" ref="BH70:BI70" si="204">(BH50+BH66+BH67)/BH79</f>
        <v>0.42295704216140922</v>
      </c>
      <c r="BI70" s="48">
        <f t="shared" si="204"/>
        <v>0.16056351670708335</v>
      </c>
      <c r="BL70" s="109"/>
    </row>
    <row r="71" spans="1:64">
      <c r="A71" s="9" t="s">
        <v>52</v>
      </c>
      <c r="B71" s="47">
        <f t="shared" ref="B71:AH71" si="205">(B56+B66+B67)/B79</f>
        <v>1.87070537091572</v>
      </c>
      <c r="C71" s="47">
        <f t="shared" si="205"/>
        <v>1.590713671539123</v>
      </c>
      <c r="D71" s="47">
        <f t="shared" si="205"/>
        <v>2.4731026461180576</v>
      </c>
      <c r="E71" s="47">
        <f t="shared" si="205"/>
        <v>1.5114717348927875</v>
      </c>
      <c r="F71" s="48">
        <f t="shared" si="205"/>
        <v>7.4417266187050357</v>
      </c>
      <c r="G71" s="47">
        <f t="shared" si="205"/>
        <v>1.8306257521058966</v>
      </c>
      <c r="H71" s="47">
        <f t="shared" si="205"/>
        <v>-0.36832992287108457</v>
      </c>
      <c r="I71" s="47">
        <f t="shared" si="205"/>
        <v>3.6024058246280473</v>
      </c>
      <c r="J71" s="47">
        <f t="shared" si="205"/>
        <v>2.5931759656652358</v>
      </c>
      <c r="K71" s="48">
        <f t="shared" si="205"/>
        <v>7.6104542626011202</v>
      </c>
      <c r="L71" s="47">
        <f t="shared" si="205"/>
        <v>2.5419084461637653</v>
      </c>
      <c r="M71" s="47">
        <f t="shared" si="205"/>
        <v>2.8723928395467238</v>
      </c>
      <c r="N71" s="47">
        <f t="shared" si="205"/>
        <v>2.9854689564068693</v>
      </c>
      <c r="O71" s="47">
        <f t="shared" si="205"/>
        <v>5.4866927710843374</v>
      </c>
      <c r="P71" s="48">
        <f t="shared" si="205"/>
        <v>13.855737704918033</v>
      </c>
      <c r="Q71" s="47">
        <f t="shared" si="205"/>
        <v>4.1475272422464373</v>
      </c>
      <c r="R71" s="47">
        <f t="shared" si="205"/>
        <v>3.7346938775510203</v>
      </c>
      <c r="S71" s="47">
        <f t="shared" si="205"/>
        <v>4.0692864529472592</v>
      </c>
      <c r="T71" s="47">
        <f t="shared" si="205"/>
        <v>5.9265362149532708</v>
      </c>
      <c r="U71" s="48">
        <f t="shared" si="205"/>
        <v>17.853116994022205</v>
      </c>
      <c r="V71" s="47">
        <f t="shared" si="205"/>
        <v>3.7548093739069608</v>
      </c>
      <c r="W71" s="47">
        <f t="shared" si="205"/>
        <v>-5.2098459358951654</v>
      </c>
      <c r="X71" s="47">
        <f t="shared" si="205"/>
        <v>2.0506507210692928</v>
      </c>
      <c r="Y71" s="47">
        <f t="shared" si="205"/>
        <v>-1.7846831683168316</v>
      </c>
      <c r="Z71" s="48">
        <f t="shared" si="205"/>
        <v>-1.1248673505482845</v>
      </c>
      <c r="AA71" s="47">
        <f t="shared" si="205"/>
        <v>-1.1337106473293244</v>
      </c>
      <c r="AB71" s="47">
        <f t="shared" si="205"/>
        <v>-4.2321965011486133</v>
      </c>
      <c r="AC71" s="47">
        <f t="shared" si="205"/>
        <v>-0.82244969996470174</v>
      </c>
      <c r="AD71" s="47">
        <f>(AD56+AD66+AD67)/AD79</f>
        <v>-14.681628392484344</v>
      </c>
      <c r="AE71" s="48">
        <f t="shared" si="205"/>
        <v>-21.016412196946366</v>
      </c>
      <c r="AF71" s="47">
        <f t="shared" si="205"/>
        <v>-0.95831909805261362</v>
      </c>
      <c r="AG71" s="47">
        <f t="shared" si="205"/>
        <v>0.96134282807731442</v>
      </c>
      <c r="AH71" s="47">
        <f t="shared" si="205"/>
        <v>-0.22426095820591233</v>
      </c>
      <c r="AI71" s="47">
        <f t="shared" ref="AI71:AM71" si="206">(AI56+AI66+AI67)/AI79</f>
        <v>-7.0540403184821283</v>
      </c>
      <c r="AJ71" s="48">
        <f t="shared" si="206"/>
        <v>-7.2894099655919478</v>
      </c>
      <c r="AK71" s="47">
        <f t="shared" si="206"/>
        <v>-2.0990366739901978</v>
      </c>
      <c r="AL71" s="47">
        <f t="shared" si="206"/>
        <v>0.26825833277446176</v>
      </c>
      <c r="AM71" s="47">
        <f t="shared" si="206"/>
        <v>-5.5475431829615971</v>
      </c>
      <c r="AN71" s="47">
        <f t="shared" ref="AN71:AO71" si="207">(AN56+AN66+AN67)/AN79</f>
        <v>-1.1070295541826682</v>
      </c>
      <c r="AO71" s="48">
        <f t="shared" si="207"/>
        <v>-8.4805357187812049</v>
      </c>
      <c r="AP71" s="47">
        <f>(AP56+AP66+AP67)/AP79</f>
        <v>-0.70539419087136934</v>
      </c>
      <c r="AQ71" s="47">
        <f t="shared" ref="AQ71:AT71" si="208">(AQ56+AQ66+AQ67)/AQ79</f>
        <v>-0.24607762180016515</v>
      </c>
      <c r="AR71" s="47">
        <f t="shared" si="208"/>
        <v>-2.6976284584980235</v>
      </c>
      <c r="AS71" s="47">
        <f t="shared" si="208"/>
        <v>-4.922067268252666E-2</v>
      </c>
      <c r="AT71" s="48">
        <f t="shared" si="208"/>
        <v>-3.6986018888934717</v>
      </c>
      <c r="AU71" s="47">
        <f>(AU56+AU66+AU67)/AU79</f>
        <v>-0.57893020221787339</v>
      </c>
      <c r="AV71" s="47">
        <f>(AV56+AV66+AV67)/AV79</f>
        <v>-2.3337658125202725</v>
      </c>
      <c r="AW71" s="47">
        <f t="shared" ref="AW71:AY71" si="209">(AW56+AW66+AW67)/AW79</f>
        <v>-9.9773755656108598</v>
      </c>
      <c r="AX71" s="47">
        <f t="shared" si="209"/>
        <v>-5.3766884834981195</v>
      </c>
      <c r="AY71" s="48">
        <f t="shared" si="209"/>
        <v>-18.277194066749072</v>
      </c>
      <c r="AZ71" s="47">
        <f>(AZ56+AZ66+AZ67)/AZ79</f>
        <v>-0.16325988850544201</v>
      </c>
      <c r="BA71" s="47">
        <f>(BA56+BA66+BA67)/BA79</f>
        <v>-0.80888183980967487</v>
      </c>
      <c r="BB71" s="47">
        <f t="shared" ref="BB71" si="210">(BB56+BB66+BB67)/BB79</f>
        <v>-7.0259244637452296</v>
      </c>
      <c r="BC71" s="47">
        <f t="shared" ref="BC71:BG71" si="211">(BC56+BC66+BC67)/BC79</f>
        <v>10.226424483702415</v>
      </c>
      <c r="BD71" s="48">
        <f t="shared" si="211"/>
        <v>2.9358520267611179</v>
      </c>
      <c r="BE71" s="47">
        <f t="shared" si="211"/>
        <v>-0.29294154551996904</v>
      </c>
      <c r="BF71" s="47">
        <f t="shared" si="211"/>
        <v>5.3725403217132935E-2</v>
      </c>
      <c r="BG71" s="47">
        <f t="shared" si="211"/>
        <v>0.2996641197099188</v>
      </c>
      <c r="BH71" s="47">
        <f t="shared" ref="BH71:BI71" si="212">(BH56+BH66+BH67)/BH79</f>
        <v>0.53057087644854539</v>
      </c>
      <c r="BI71" s="48">
        <f t="shared" si="212"/>
        <v>0.5910188538556278</v>
      </c>
      <c r="BL71" s="109"/>
    </row>
    <row r="72" spans="1:64">
      <c r="F72" s="27"/>
      <c r="K72" s="27"/>
      <c r="P72" s="27"/>
      <c r="U72" s="27"/>
      <c r="Z72" s="27"/>
      <c r="AE72" s="27"/>
      <c r="AJ72" s="27"/>
      <c r="AO72" s="27"/>
      <c r="AT72" s="27"/>
      <c r="AY72" s="27"/>
      <c r="BD72" s="27"/>
      <c r="BI72" s="27"/>
      <c r="BL72" s="109"/>
    </row>
    <row r="73" spans="1:64">
      <c r="A73" s="5" t="s">
        <v>53</v>
      </c>
      <c r="B73" s="49">
        <f t="shared" ref="B73:AH73" si="213">(B50+B66)/B76</f>
        <v>1.8932727788816348</v>
      </c>
      <c r="C73" s="49">
        <f t="shared" si="213"/>
        <v>1.6084625416606289</v>
      </c>
      <c r="D73" s="49">
        <f t="shared" si="213"/>
        <v>2.5011027790030878</v>
      </c>
      <c r="E73" s="49">
        <f t="shared" si="213"/>
        <v>1.5214814814814814</v>
      </c>
      <c r="F73" s="50">
        <f t="shared" si="213"/>
        <v>7.5294802736934052</v>
      </c>
      <c r="G73" s="49">
        <f t="shared" si="213"/>
        <v>1.8478590950501061</v>
      </c>
      <c r="H73" s="49">
        <f t="shared" si="213"/>
        <v>-0.36832992287108457</v>
      </c>
      <c r="I73" s="49">
        <f t="shared" si="213"/>
        <v>3.6439321165545948</v>
      </c>
      <c r="J73" s="49">
        <f t="shared" si="213"/>
        <v>2.6332250153280192</v>
      </c>
      <c r="K73" s="50">
        <f t="shared" si="213"/>
        <v>7.697875688434304</v>
      </c>
      <c r="L73" s="49">
        <f t="shared" si="213"/>
        <v>2.5700782268578877</v>
      </c>
      <c r="M73" s="49">
        <f t="shared" si="213"/>
        <v>2.906281156530409</v>
      </c>
      <c r="N73" s="49">
        <f t="shared" si="213"/>
        <v>3.0254350736278446</v>
      </c>
      <c r="O73" s="49">
        <f t="shared" si="213"/>
        <v>5.5666445783132534</v>
      </c>
      <c r="P73" s="50">
        <f t="shared" si="213"/>
        <v>14.028215767634855</v>
      </c>
      <c r="Q73" s="49">
        <f t="shared" si="213"/>
        <v>4.1925097441111676</v>
      </c>
      <c r="R73" s="49">
        <f t="shared" si="213"/>
        <v>3.7738443031448705</v>
      </c>
      <c r="S73" s="49">
        <f t="shared" si="213"/>
        <v>4.111807732497387</v>
      </c>
      <c r="T73" s="49">
        <f t="shared" si="213"/>
        <v>5.9964953271028039</v>
      </c>
      <c r="U73" s="50">
        <f t="shared" si="213"/>
        <v>18.047306629834253</v>
      </c>
      <c r="V73" s="49">
        <f t="shared" si="213"/>
        <v>3.7859284076882385</v>
      </c>
      <c r="W73" s="49">
        <f t="shared" si="213"/>
        <v>-5.2098459358951654</v>
      </c>
      <c r="X73" s="49">
        <f t="shared" si="213"/>
        <v>2.0651788877081119</v>
      </c>
      <c r="Y73" s="49">
        <f t="shared" si="213"/>
        <v>-1.7846831683168316</v>
      </c>
      <c r="Z73" s="50">
        <f t="shared" si="213"/>
        <v>-1.1248673505482845</v>
      </c>
      <c r="AA73" s="49">
        <f t="shared" si="213"/>
        <v>-1.1107180756986206</v>
      </c>
      <c r="AB73" s="49">
        <f t="shared" si="213"/>
        <v>-4.1986216646050538</v>
      </c>
      <c r="AC73" s="49">
        <f t="shared" si="213"/>
        <v>-0.79244617013766327</v>
      </c>
      <c r="AD73" s="49">
        <f t="shared" si="213"/>
        <v>-14.648573416840641</v>
      </c>
      <c r="AE73" s="50">
        <f t="shared" si="213"/>
        <v>-20.896730760769131</v>
      </c>
      <c r="AF73" s="49">
        <f t="shared" si="213"/>
        <v>-0.91794871794871791</v>
      </c>
      <c r="AG73" s="49">
        <f t="shared" si="213"/>
        <v>0.99982967126554245</v>
      </c>
      <c r="AH73" s="49">
        <f t="shared" si="213"/>
        <v>-0.18505942275042445</v>
      </c>
      <c r="AI73" s="49">
        <f t="shared" ref="AI73:AM73" si="214">(AI50+AI66)/AI76</f>
        <v>-7.0184651871929535</v>
      </c>
      <c r="AJ73" s="50">
        <f>(AJ50+AJ66)/AJ76</f>
        <v>-7.1480819937058788</v>
      </c>
      <c r="AK73" s="49">
        <f t="shared" si="214"/>
        <v>-2.0612106865065947</v>
      </c>
      <c r="AL73" s="49">
        <f t="shared" si="214"/>
        <v>0.32508000673740944</v>
      </c>
      <c r="AM73" s="49">
        <f t="shared" si="214"/>
        <v>-5.4922019117893681</v>
      </c>
      <c r="AN73" s="49">
        <f t="shared" ref="AN73" si="215">(AN50+AN66)/AN76</f>
        <v>-1.0586074469861413</v>
      </c>
      <c r="AO73" s="50">
        <f>(AO50+AO66)/AO76</f>
        <v>-8.2930723018106978</v>
      </c>
      <c r="AP73" s="49">
        <f t="shared" ref="AP73:AS73" si="216">(AP50+AP66)/AP76</f>
        <v>-0.68781135835270668</v>
      </c>
      <c r="AQ73" s="49">
        <f t="shared" si="216"/>
        <v>-0.24607762180016515</v>
      </c>
      <c r="AR73" s="49">
        <f t="shared" si="216"/>
        <v>-2.6943346508563897</v>
      </c>
      <c r="AS73" s="49">
        <f t="shared" si="216"/>
        <v>-3.7735849056603772E-2</v>
      </c>
      <c r="AT73" s="50">
        <f>(AT50+AT66)/AT76</f>
        <v>-3.6663916845405042</v>
      </c>
      <c r="AU73" s="49">
        <f t="shared" ref="AU73:AX73" si="217">(AU50+AU66)/AU76</f>
        <v>-0.55936073059360725</v>
      </c>
      <c r="AV73" s="49">
        <f t="shared" si="217"/>
        <v>-2.3337658125202725</v>
      </c>
      <c r="AW73" s="49">
        <f t="shared" si="217"/>
        <v>-9.9709114414996769</v>
      </c>
      <c r="AX73" s="49">
        <f t="shared" si="217"/>
        <v>-5.4630274335050828</v>
      </c>
      <c r="AY73" s="50">
        <f>(AY50+AY66)/AY76</f>
        <v>-18.348269468479604</v>
      </c>
      <c r="AZ73" s="49">
        <f t="shared" ref="AZ73:BB73" si="218">(AZ50+AZ66)/AZ76</f>
        <v>-0.16325988850544201</v>
      </c>
      <c r="BA73" s="49">
        <f t="shared" si="218"/>
        <v>-0.92122653978324076</v>
      </c>
      <c r="BB73" s="49">
        <f t="shared" si="218"/>
        <v>-7.1377812870114488</v>
      </c>
      <c r="BC73" s="49">
        <f t="shared" ref="BC73:BG73" si="219">(BC50+BC66)/BC76</f>
        <v>10.59</v>
      </c>
      <c r="BD73" s="50">
        <f t="shared" si="219"/>
        <v>2.4900000000000002</v>
      </c>
      <c r="BE73" s="49">
        <f t="shared" si="219"/>
        <v>-0.42417797438068167</v>
      </c>
      <c r="BF73" s="49">
        <f t="shared" si="219"/>
        <v>-5.7066479908058569E-2</v>
      </c>
      <c r="BG73" s="49">
        <f t="shared" si="219"/>
        <v>0.20337637479516057</v>
      </c>
      <c r="BH73" s="49">
        <f t="shared" ref="BH73:BI73" si="220">(BH50+BH66)/BH76</f>
        <v>0.44790076588278227</v>
      </c>
      <c r="BI73" s="50">
        <f t="shared" si="220"/>
        <v>0.17003268638920238</v>
      </c>
    </row>
    <row r="74" spans="1:64">
      <c r="A74" s="5" t="s">
        <v>54</v>
      </c>
      <c r="B74" s="51">
        <f t="shared" ref="B74:W74" si="221">(B56+B66)/B76</f>
        <v>1.8932727788816348</v>
      </c>
      <c r="C74" s="51">
        <f t="shared" si="221"/>
        <v>1.6084625416606289</v>
      </c>
      <c r="D74" s="51">
        <f t="shared" si="221"/>
        <v>2.5011027790030878</v>
      </c>
      <c r="E74" s="51">
        <f t="shared" si="221"/>
        <v>1.5214814814814814</v>
      </c>
      <c r="F74" s="52">
        <f t="shared" si="221"/>
        <v>7.5294802736934052</v>
      </c>
      <c r="G74" s="51">
        <f t="shared" si="221"/>
        <v>1.8478590950501061</v>
      </c>
      <c r="H74" s="51">
        <f t="shared" si="221"/>
        <v>-0.36832992287108457</v>
      </c>
      <c r="I74" s="51">
        <f t="shared" si="221"/>
        <v>3.6439321165545948</v>
      </c>
      <c r="J74" s="51">
        <f t="shared" si="221"/>
        <v>2.6332250153280192</v>
      </c>
      <c r="K74" s="52">
        <f t="shared" si="221"/>
        <v>7.697875688434304</v>
      </c>
      <c r="L74" s="51">
        <f t="shared" si="221"/>
        <v>2.5700782268578877</v>
      </c>
      <c r="M74" s="51">
        <f t="shared" si="221"/>
        <v>2.906281156530409</v>
      </c>
      <c r="N74" s="51">
        <f t="shared" si="221"/>
        <v>3.0254350736278446</v>
      </c>
      <c r="O74" s="51">
        <f t="shared" si="221"/>
        <v>5.5666445783132534</v>
      </c>
      <c r="P74" s="52">
        <f t="shared" si="221"/>
        <v>14.028215767634855</v>
      </c>
      <c r="Q74" s="51">
        <f t="shared" si="221"/>
        <v>4.1925097441111676</v>
      </c>
      <c r="R74" s="51">
        <f t="shared" si="221"/>
        <v>3.7738443031448705</v>
      </c>
      <c r="S74" s="51">
        <f t="shared" si="221"/>
        <v>4.111807732497387</v>
      </c>
      <c r="T74" s="51">
        <f t="shared" si="221"/>
        <v>5.9964953271028039</v>
      </c>
      <c r="U74" s="52">
        <f t="shared" si="221"/>
        <v>18.047306629834253</v>
      </c>
      <c r="V74" s="51">
        <f t="shared" si="221"/>
        <v>3.7859284076882385</v>
      </c>
      <c r="W74" s="51">
        <f t="shared" si="221"/>
        <v>-5.2098459358951654</v>
      </c>
      <c r="X74" s="51">
        <f>(X56+X66)/X76</f>
        <v>2.0651788877081119</v>
      </c>
      <c r="Y74" s="51">
        <f t="shared" ref="Y74:AH74" si="222">(Y56+Y66)/Y76</f>
        <v>-1.7846831683168316</v>
      </c>
      <c r="Z74" s="52">
        <f t="shared" si="222"/>
        <v>-1.1248673505482845</v>
      </c>
      <c r="AA74" s="51">
        <f t="shared" si="222"/>
        <v>-1.1337106473293244</v>
      </c>
      <c r="AB74" s="51">
        <f t="shared" si="222"/>
        <v>-4.2321965011486133</v>
      </c>
      <c r="AC74" s="51">
        <f t="shared" si="222"/>
        <v>-0.82244969996470174</v>
      </c>
      <c r="AD74" s="51">
        <f t="shared" si="222"/>
        <v>-14.681628392484344</v>
      </c>
      <c r="AE74" s="52">
        <f t="shared" si="222"/>
        <v>-21.016412196946366</v>
      </c>
      <c r="AF74" s="51">
        <f t="shared" si="222"/>
        <v>-0.95897435897435901</v>
      </c>
      <c r="AG74" s="51">
        <f t="shared" si="222"/>
        <v>0.9657639243740419</v>
      </c>
      <c r="AH74" s="51">
        <f t="shared" si="222"/>
        <v>-0.22410865874363328</v>
      </c>
      <c r="AI74" s="51">
        <f t="shared" ref="AI74:AM74" si="223">(AI56+AI66)/AI76</f>
        <v>-7.0540403184821283</v>
      </c>
      <c r="AJ74" s="52">
        <f t="shared" si="223"/>
        <v>-7.297780045930085</v>
      </c>
      <c r="AK74" s="51">
        <f t="shared" si="223"/>
        <v>-2.1001014541765302</v>
      </c>
      <c r="AL74" s="51">
        <f t="shared" si="223"/>
        <v>0.26949637864241199</v>
      </c>
      <c r="AM74" s="51">
        <f t="shared" si="223"/>
        <v>-5.5475431829615971</v>
      </c>
      <c r="AN74" s="51">
        <f t="shared" ref="AN74:AO74" si="224">(AN56+AN66)/AN76</f>
        <v>-1.1070295541826682</v>
      </c>
      <c r="AO74" s="52">
        <f t="shared" si="224"/>
        <v>-8.491366634457842</v>
      </c>
      <c r="AP74" s="51">
        <f>(AP56+AP66)/AP76</f>
        <v>-0.70574559946861504</v>
      </c>
      <c r="AQ74" s="51">
        <f t="shared" ref="AQ74:AT74" si="225">(AQ56+AQ66)/AQ76</f>
        <v>-0.24607762180016515</v>
      </c>
      <c r="AR74" s="51">
        <f t="shared" si="225"/>
        <v>-2.6976284584980235</v>
      </c>
      <c r="AS74" s="51">
        <f t="shared" si="225"/>
        <v>-4.922067268252666E-2</v>
      </c>
      <c r="AT74" s="52">
        <f t="shared" si="225"/>
        <v>-3.6990595611285264</v>
      </c>
      <c r="AU74" s="51">
        <f>(AU56+AU66)/AU76</f>
        <v>-0.57893020221787339</v>
      </c>
      <c r="AV74" s="51">
        <f t="shared" ref="AV74:AY74" si="226">(AV56+AV66)/AV76</f>
        <v>-2.3337658125202725</v>
      </c>
      <c r="AW74" s="51">
        <f t="shared" si="226"/>
        <v>-9.9773755656108598</v>
      </c>
      <c r="AX74" s="51">
        <f t="shared" si="226"/>
        <v>-5.3766884834981195</v>
      </c>
      <c r="AY74" s="52">
        <f t="shared" si="226"/>
        <v>-18.277194066749072</v>
      </c>
      <c r="AZ74" s="51">
        <f>(AZ56+AZ66)/AZ76</f>
        <v>-0.16325988850544201</v>
      </c>
      <c r="BA74" s="51">
        <f t="shared" ref="BA74:BB74" si="227">(BA56+BA66)/BA76</f>
        <v>-0.80888183980967487</v>
      </c>
      <c r="BB74" s="51">
        <f t="shared" si="227"/>
        <v>-7.0259244637452296</v>
      </c>
      <c r="BC74" s="51">
        <f t="shared" ref="BC74:BG74" si="228">(BC56+BC66)/BC76</f>
        <v>10.701967051880994</v>
      </c>
      <c r="BD74" s="52">
        <f t="shared" si="228"/>
        <v>2.9484761904761907</v>
      </c>
      <c r="BE74" s="51">
        <f t="shared" si="228"/>
        <v>-0.31021765692036418</v>
      </c>
      <c r="BF74" s="51">
        <f t="shared" si="228"/>
        <v>5.6893837552258901E-2</v>
      </c>
      <c r="BG74" s="51">
        <f t="shared" si="228"/>
        <v>0.31733669225547806</v>
      </c>
      <c r="BH74" s="51">
        <f t="shared" ref="BH74:BI74" si="229">(BH56+BH66)/BH76</f>
        <v>0.5618610833430997</v>
      </c>
      <c r="BI74" s="52">
        <f t="shared" si="229"/>
        <v>0.62587395623047226</v>
      </c>
    </row>
    <row r="75" spans="1:64">
      <c r="F75" s="27"/>
      <c r="K75" s="27"/>
      <c r="P75" s="27"/>
      <c r="U75" s="27"/>
      <c r="Z75" s="27"/>
      <c r="AE75" s="27"/>
      <c r="AJ75" s="27"/>
      <c r="AO75" s="27"/>
      <c r="AT75" s="27"/>
      <c r="AY75" s="27"/>
      <c r="BD75" s="27"/>
      <c r="BI75" s="27"/>
    </row>
    <row r="76" spans="1:64">
      <c r="A76" s="5" t="s">
        <v>55</v>
      </c>
      <c r="B76" s="53">
        <v>704.6</v>
      </c>
      <c r="C76" s="53">
        <v>690.1</v>
      </c>
      <c r="D76" s="53">
        <v>680.1</v>
      </c>
      <c r="E76" s="53">
        <f>1026/1.52</f>
        <v>675</v>
      </c>
      <c r="F76" s="188">
        <v>686.9</v>
      </c>
      <c r="G76" s="53">
        <v>658.6</v>
      </c>
      <c r="H76" s="53">
        <v>635.29999999999995</v>
      </c>
      <c r="I76" s="53">
        <v>624.6</v>
      </c>
      <c r="J76" s="53">
        <f>1631/2.63</f>
        <v>620.15209125475292</v>
      </c>
      <c r="K76" s="188">
        <v>635.5</v>
      </c>
      <c r="L76" s="53">
        <v>613.6</v>
      </c>
      <c r="M76" s="53">
        <v>601.79999999999995</v>
      </c>
      <c r="N76" s="53">
        <v>597.6</v>
      </c>
      <c r="O76" s="53">
        <f>3320/5.57</f>
        <v>596.05026929982046</v>
      </c>
      <c r="P76" s="188">
        <v>602.5</v>
      </c>
      <c r="Q76" s="53">
        <v>590.1</v>
      </c>
      <c r="R76" s="53">
        <v>581.9</v>
      </c>
      <c r="S76" s="53">
        <v>574.20000000000005</v>
      </c>
      <c r="T76" s="53">
        <f>3424/6</f>
        <v>570.66666666666663</v>
      </c>
      <c r="U76" s="188">
        <v>579.20000000000005</v>
      </c>
      <c r="V76" s="53">
        <v>567.1</v>
      </c>
      <c r="W76" s="53">
        <v>564.70000000000005</v>
      </c>
      <c r="X76" s="53">
        <v>564.6</v>
      </c>
      <c r="Y76" s="53">
        <f>1010/1.79</f>
        <v>564.24581005586595</v>
      </c>
      <c r="Z76" s="188">
        <v>565.4</v>
      </c>
      <c r="AA76" s="53">
        <v>565.4</v>
      </c>
      <c r="AB76" s="53">
        <v>565.9</v>
      </c>
      <c r="AC76" s="53">
        <v>566.6</v>
      </c>
      <c r="AD76" s="53">
        <f>AD79</f>
        <v>574.79999999999995</v>
      </c>
      <c r="AE76" s="58">
        <f>AVERAGE(AA76:AD76)</f>
        <v>568.17499999999995</v>
      </c>
      <c r="AF76" s="53">
        <v>585</v>
      </c>
      <c r="AG76" s="53">
        <v>587.1</v>
      </c>
      <c r="AH76" s="53">
        <v>589</v>
      </c>
      <c r="AI76" s="470">
        <f>AI79</f>
        <v>590.29999999999995</v>
      </c>
      <c r="AJ76" s="58">
        <f>AVERAGE(AF76:AI76)</f>
        <v>587.84999999999991</v>
      </c>
      <c r="AK76" s="470">
        <v>591.4</v>
      </c>
      <c r="AL76" s="53">
        <v>593.70000000000005</v>
      </c>
      <c r="AM76" s="53">
        <v>596.29999999999995</v>
      </c>
      <c r="AN76" s="470">
        <v>598.9</v>
      </c>
      <c r="AO76" s="58">
        <f>AVERAGE(AK76:AN76)</f>
        <v>595.07499999999993</v>
      </c>
      <c r="AP76" s="53">
        <v>602.20000000000005</v>
      </c>
      <c r="AQ76" s="53">
        <v>605.5</v>
      </c>
      <c r="AR76" s="53">
        <v>607.20000000000005</v>
      </c>
      <c r="AS76" s="470">
        <v>609.5</v>
      </c>
      <c r="AT76" s="58">
        <f>AVERAGE(AP76:AS76)</f>
        <v>606.1</v>
      </c>
      <c r="AU76" s="53">
        <v>613.20000000000005</v>
      </c>
      <c r="AV76" s="53">
        <v>616.6</v>
      </c>
      <c r="AW76" s="53">
        <v>618.79999999999995</v>
      </c>
      <c r="AX76" s="470">
        <v>718.1</v>
      </c>
      <c r="AY76" s="188">
        <v>647.20000000000005</v>
      </c>
      <c r="AZ76" s="53">
        <v>753.4</v>
      </c>
      <c r="BA76" s="53">
        <v>756.6</v>
      </c>
      <c r="BB76" s="53">
        <v>759.9</v>
      </c>
      <c r="BC76" s="542">
        <f>8134/10.59</f>
        <v>768.08309726156756</v>
      </c>
      <c r="BD76" s="575">
        <f>1890/2.49</f>
        <v>759.03614457831316</v>
      </c>
      <c r="BE76" s="410">
        <f>BD76/BD82*BE82</f>
        <v>759.03614457831316</v>
      </c>
      <c r="BF76" s="410">
        <f>BE76/BE82*BF82</f>
        <v>759.03614457831316</v>
      </c>
      <c r="BG76" s="410">
        <f>BF76/BF82*BG82</f>
        <v>759.03614457831316</v>
      </c>
      <c r="BH76" s="224">
        <f>BG76/BG82*BH82</f>
        <v>759.03614457831316</v>
      </c>
      <c r="BI76" s="58">
        <f>AVERAGE(BE76:BH76)</f>
        <v>759.03614457831316</v>
      </c>
    </row>
    <row r="77" spans="1:64">
      <c r="A77" s="1" t="s">
        <v>4</v>
      </c>
      <c r="B77" s="34"/>
      <c r="C77" s="35"/>
      <c r="D77" s="55"/>
      <c r="E77" s="35"/>
      <c r="F77" s="36">
        <f>F76/Income_Statement_Annual!P76-1</f>
        <v>-5.5937328202309011E-2</v>
      </c>
      <c r="G77" s="34">
        <f t="shared" ref="G77:AC77" si="230">G76/B76-1</f>
        <v>-6.5285268237297744E-2</v>
      </c>
      <c r="H77" s="35">
        <f t="shared" si="230"/>
        <v>-7.9408781336038348E-2</v>
      </c>
      <c r="I77" s="35">
        <f t="shared" si="230"/>
        <v>-8.1605646228495754E-2</v>
      </c>
      <c r="J77" s="35">
        <f t="shared" si="230"/>
        <v>-8.1256161104069746E-2</v>
      </c>
      <c r="K77" s="36">
        <f t="shared" si="230"/>
        <v>-7.4828941621778999E-2</v>
      </c>
      <c r="L77" s="34">
        <f t="shared" si="230"/>
        <v>-6.8326753720012179E-2</v>
      </c>
      <c r="M77" s="35">
        <f t="shared" si="230"/>
        <v>-5.2730993231544177E-2</v>
      </c>
      <c r="N77" s="35">
        <f t="shared" si="230"/>
        <v>-4.3227665706051854E-2</v>
      </c>
      <c r="O77" s="35">
        <f t="shared" si="230"/>
        <v>-3.88643726189285E-2</v>
      </c>
      <c r="P77" s="36">
        <f t="shared" si="230"/>
        <v>-5.1927616050354009E-2</v>
      </c>
      <c r="Q77" s="34">
        <f t="shared" si="230"/>
        <v>-3.8298565840938714E-2</v>
      </c>
      <c r="R77" s="35">
        <f t="shared" si="230"/>
        <v>-3.3067464273845104E-2</v>
      </c>
      <c r="S77" s="35">
        <f t="shared" si="230"/>
        <v>-3.9156626506024028E-2</v>
      </c>
      <c r="T77" s="35">
        <f t="shared" si="230"/>
        <v>-4.2586345381526169E-2</v>
      </c>
      <c r="U77" s="36">
        <f t="shared" si="230"/>
        <v>-3.8672199170124433E-2</v>
      </c>
      <c r="V77" s="34">
        <f t="shared" si="230"/>
        <v>-3.897644467039485E-2</v>
      </c>
      <c r="W77" s="35">
        <f t="shared" si="230"/>
        <v>-2.9558343357965144E-2</v>
      </c>
      <c r="X77" s="35">
        <f t="shared" si="230"/>
        <v>-1.6718913270637459E-2</v>
      </c>
      <c r="Y77" s="35">
        <f t="shared" si="230"/>
        <v>-1.1251501070328351E-2</v>
      </c>
      <c r="Z77" s="36">
        <f t="shared" si="230"/>
        <v>-2.3825966850828828E-2</v>
      </c>
      <c r="AA77" s="34">
        <f t="shared" si="230"/>
        <v>-2.9977076353377985E-3</v>
      </c>
      <c r="AB77" s="35">
        <f t="shared" si="230"/>
        <v>2.1250221356470256E-3</v>
      </c>
      <c r="AC77" s="35">
        <f t="shared" si="230"/>
        <v>3.5423308537017029E-3</v>
      </c>
      <c r="AD77" s="35">
        <f t="shared" ref="AD77:AR77" si="231">AD76/Y76-1</f>
        <v>1.8704950495049388E-2</v>
      </c>
      <c r="AE77" s="36">
        <f t="shared" si="231"/>
        <v>4.9080297134771467E-3</v>
      </c>
      <c r="AF77" s="34">
        <f t="shared" si="231"/>
        <v>3.4665723381676727E-2</v>
      </c>
      <c r="AG77" s="35">
        <f t="shared" si="231"/>
        <v>3.7462449195971192E-2</v>
      </c>
      <c r="AH77" s="35">
        <f t="shared" si="231"/>
        <v>3.9534062830921313E-2</v>
      </c>
      <c r="AI77" s="35">
        <f t="shared" si="231"/>
        <v>2.6965901183020113E-2</v>
      </c>
      <c r="AJ77" s="36">
        <f t="shared" si="231"/>
        <v>3.462841554098639E-2</v>
      </c>
      <c r="AK77" s="34">
        <f t="shared" si="231"/>
        <v>1.0940170940170857E-2</v>
      </c>
      <c r="AL77" s="35">
        <f t="shared" si="231"/>
        <v>1.1241696474195262E-2</v>
      </c>
      <c r="AM77" s="35">
        <f t="shared" si="231"/>
        <v>1.2393887945670645E-2</v>
      </c>
      <c r="AN77" s="35">
        <f t="shared" ref="AN77" si="232">AN76/AI76-1</f>
        <v>1.4568863289852629E-2</v>
      </c>
      <c r="AO77" s="36">
        <f t="shared" ref="AO77" si="233">AO76/AJ76-1</f>
        <v>1.2290550310453341E-2</v>
      </c>
      <c r="AP77" s="34">
        <f t="shared" si="231"/>
        <v>1.8261751775448198E-2</v>
      </c>
      <c r="AQ77" s="35">
        <f t="shared" si="231"/>
        <v>1.9875357924877823E-2</v>
      </c>
      <c r="AR77" s="35">
        <f t="shared" si="231"/>
        <v>1.8279389569008986E-2</v>
      </c>
      <c r="AS77" s="35">
        <f t="shared" ref="AS77" si="234">AS76/AN76-1</f>
        <v>1.7699115044247815E-2</v>
      </c>
      <c r="AT77" s="36">
        <f t="shared" ref="AT77:AW77" si="235">AT76/AO76-1</f>
        <v>1.8527076418938915E-2</v>
      </c>
      <c r="AU77" s="34">
        <f t="shared" si="235"/>
        <v>1.8266356692128838E-2</v>
      </c>
      <c r="AV77" s="35">
        <f t="shared" si="235"/>
        <v>1.8331957060280901E-2</v>
      </c>
      <c r="AW77" s="35">
        <f t="shared" si="235"/>
        <v>1.9104084321475368E-2</v>
      </c>
      <c r="AX77" s="35">
        <f t="shared" ref="AX77" si="236">AX76/AS76-1</f>
        <v>0.1781788351107465</v>
      </c>
      <c r="AY77" s="36">
        <f t="shared" ref="AY77:BB77" si="237">AY76/AT76-1</f>
        <v>6.7810592311499773E-2</v>
      </c>
      <c r="AZ77" s="34">
        <f t="shared" si="237"/>
        <v>0.22863666014350925</v>
      </c>
      <c r="BA77" s="35">
        <f t="shared" si="237"/>
        <v>0.22705157314304247</v>
      </c>
      <c r="BB77" s="35">
        <f t="shared" si="237"/>
        <v>0.2280219780219781</v>
      </c>
      <c r="BC77" s="35">
        <f t="shared" ref="BC77" si="238">BC76/AX76-1</f>
        <v>6.9604647349349014E-2</v>
      </c>
      <c r="BD77" s="36">
        <f t="shared" ref="BD77:BG77" si="239">BD76/AY76-1</f>
        <v>0.17279997617168275</v>
      </c>
      <c r="BE77" s="35">
        <f t="shared" si="239"/>
        <v>7.4809458167151011E-3</v>
      </c>
      <c r="BF77" s="35">
        <f t="shared" si="239"/>
        <v>3.2198580205038407E-3</v>
      </c>
      <c r="BG77" s="35">
        <f t="shared" si="239"/>
        <v>-1.1368014497786794E-3</v>
      </c>
      <c r="BH77" s="35">
        <f t="shared" ref="BH77" si="240">BH76/BC76-1</f>
        <v>-1.1778611865707389E-2</v>
      </c>
      <c r="BI77" s="36">
        <f t="shared" ref="BI77" si="241">BI76/BD76-1</f>
        <v>0</v>
      </c>
    </row>
    <row r="78" spans="1:64">
      <c r="B78" s="55"/>
      <c r="C78" s="55"/>
      <c r="D78" s="55"/>
      <c r="E78" s="56"/>
      <c r="F78" s="57"/>
      <c r="G78" s="55"/>
      <c r="H78" s="55"/>
      <c r="I78" s="55"/>
      <c r="J78" s="56"/>
      <c r="K78" s="57"/>
      <c r="L78" s="55"/>
      <c r="M78" s="55"/>
      <c r="N78" s="55"/>
      <c r="O78" s="56"/>
      <c r="P78" s="57"/>
      <c r="Q78" s="55"/>
      <c r="R78" s="55"/>
      <c r="S78" s="55"/>
      <c r="T78" s="56"/>
      <c r="U78" s="57"/>
      <c r="V78" s="55"/>
      <c r="W78" s="55"/>
      <c r="X78" s="55"/>
      <c r="Y78" s="56"/>
      <c r="Z78" s="57"/>
      <c r="AA78" s="55"/>
      <c r="AB78" s="55"/>
      <c r="AC78" s="55"/>
      <c r="AD78" s="56"/>
      <c r="AE78" s="57"/>
      <c r="AF78" s="55"/>
      <c r="AG78" s="55"/>
      <c r="AH78" s="55"/>
      <c r="AI78" s="56"/>
      <c r="AJ78" s="57"/>
      <c r="AK78" s="55"/>
      <c r="AL78" s="55"/>
      <c r="AM78" s="55"/>
      <c r="AN78" s="56"/>
      <c r="AO78" s="57"/>
      <c r="AP78" s="55"/>
      <c r="AQ78" s="55"/>
      <c r="AR78" s="55"/>
      <c r="AS78" s="56"/>
      <c r="AT78" s="57"/>
      <c r="AU78" s="55"/>
      <c r="AV78" s="55"/>
      <c r="AW78" s="55"/>
      <c r="AX78" s="56"/>
      <c r="AY78" s="57"/>
      <c r="AZ78" s="55"/>
      <c r="BA78" s="55"/>
      <c r="BB78" s="55"/>
      <c r="BC78" s="56"/>
      <c r="BD78" s="57"/>
      <c r="BE78" s="55"/>
      <c r="BF78" s="55"/>
      <c r="BG78" s="55"/>
      <c r="BH78" s="56"/>
      <c r="BI78" s="57"/>
    </row>
    <row r="79" spans="1:64">
      <c r="A79" s="5" t="s">
        <v>56</v>
      </c>
      <c r="B79" s="53">
        <v>713.1</v>
      </c>
      <c r="C79" s="53">
        <v>697.8</v>
      </c>
      <c r="D79" s="53">
        <v>687.8</v>
      </c>
      <c r="E79" s="53">
        <f>1026/1.51</f>
        <v>679.4701986754967</v>
      </c>
      <c r="F79" s="188">
        <v>695</v>
      </c>
      <c r="G79" s="53">
        <v>664.8</v>
      </c>
      <c r="H79" s="53">
        <v>635.29999999999995</v>
      </c>
      <c r="I79" s="53">
        <v>631.79999999999995</v>
      </c>
      <c r="J79" s="53">
        <f>1631/2.59</f>
        <v>629.7297297297298</v>
      </c>
      <c r="K79" s="188">
        <v>642.79999999999995</v>
      </c>
      <c r="L79" s="53">
        <v>620.4</v>
      </c>
      <c r="M79" s="53">
        <v>608.9</v>
      </c>
      <c r="N79" s="53">
        <v>605.6</v>
      </c>
      <c r="O79" s="53">
        <f>3320/5.49</f>
        <v>604.73588342440803</v>
      </c>
      <c r="P79" s="188">
        <v>610</v>
      </c>
      <c r="Q79" s="53">
        <v>596.5</v>
      </c>
      <c r="R79" s="53">
        <v>588</v>
      </c>
      <c r="S79" s="53">
        <v>580.20000000000005</v>
      </c>
      <c r="T79" s="53">
        <f>3424/5.93</f>
        <v>577.40303541315348</v>
      </c>
      <c r="U79" s="188">
        <v>585.5</v>
      </c>
      <c r="V79" s="53">
        <v>571.79999999999995</v>
      </c>
      <c r="W79" s="53">
        <v>564.70000000000005</v>
      </c>
      <c r="X79" s="53">
        <v>568.6</v>
      </c>
      <c r="Y79" s="53">
        <f>1010/1.79</f>
        <v>564.24581005586595</v>
      </c>
      <c r="Z79" s="188">
        <v>565.4</v>
      </c>
      <c r="AA79" s="53">
        <v>565.4</v>
      </c>
      <c r="AB79" s="53">
        <v>565.9</v>
      </c>
      <c r="AC79" s="53">
        <v>566.6</v>
      </c>
      <c r="AD79" s="53">
        <f>575.4-0.6</f>
        <v>574.79999999999995</v>
      </c>
      <c r="AE79" s="58">
        <f>AVERAGE(AA79:AD79)</f>
        <v>568.17499999999995</v>
      </c>
      <c r="AF79" s="53">
        <v>585.4</v>
      </c>
      <c r="AG79" s="53">
        <v>589.79999999999995</v>
      </c>
      <c r="AH79" s="53">
        <v>588.6</v>
      </c>
      <c r="AI79" s="53">
        <v>590.29999999999995</v>
      </c>
      <c r="AJ79" s="58">
        <f>AVERAGE(AF79:AI79)</f>
        <v>588.52499999999986</v>
      </c>
      <c r="AK79" s="53">
        <v>591.70000000000005</v>
      </c>
      <c r="AL79" s="53">
        <v>596.44000000000005</v>
      </c>
      <c r="AM79" s="53">
        <v>596.29999999999995</v>
      </c>
      <c r="AN79" s="53">
        <v>598.9</v>
      </c>
      <c r="AO79" s="58">
        <f>AVERAGE(AK79:AN79)</f>
        <v>595.83500000000004</v>
      </c>
      <c r="AP79" s="53">
        <v>602.5</v>
      </c>
      <c r="AQ79" s="53">
        <v>605.5</v>
      </c>
      <c r="AR79" s="53">
        <v>607.20000000000005</v>
      </c>
      <c r="AS79" s="53">
        <v>609.5</v>
      </c>
      <c r="AT79" s="58">
        <f>AVERAGE(AP79:AS79)</f>
        <v>606.17499999999995</v>
      </c>
      <c r="AU79" s="53">
        <v>613.20000000000005</v>
      </c>
      <c r="AV79" s="53">
        <v>616.6</v>
      </c>
      <c r="AW79" s="53">
        <v>618.79999999999995</v>
      </c>
      <c r="AX79" s="53">
        <v>718.1</v>
      </c>
      <c r="AY79" s="188">
        <v>647.20000000000005</v>
      </c>
      <c r="AZ79" s="53">
        <v>753.4</v>
      </c>
      <c r="BA79" s="53">
        <v>756.6</v>
      </c>
      <c r="BB79" s="53">
        <v>759.9</v>
      </c>
      <c r="BC79" s="53">
        <v>803.8</v>
      </c>
      <c r="BD79" s="188">
        <v>762.3</v>
      </c>
      <c r="BE79" s="410">
        <f>BC79</f>
        <v>803.8</v>
      </c>
      <c r="BF79" s="410">
        <f>BE79/BE76*BF76</f>
        <v>803.8</v>
      </c>
      <c r="BG79" s="410">
        <f>BF79/BF76*BG76</f>
        <v>803.8</v>
      </c>
      <c r="BH79" s="224">
        <f>BG79/BG76*BH76</f>
        <v>803.8</v>
      </c>
      <c r="BI79" s="58">
        <f>AVERAGE(BE79:BH79)</f>
        <v>803.8</v>
      </c>
      <c r="BJ79" s="426"/>
    </row>
    <row r="80" spans="1:64">
      <c r="A80" s="1" t="s">
        <v>4</v>
      </c>
      <c r="B80" s="34"/>
      <c r="C80" s="35"/>
      <c r="D80" s="46"/>
      <c r="E80" s="35"/>
      <c r="F80" s="36">
        <f>F79/Income_Statement_Annual!P79-1</f>
        <v>-5.6603773584905759E-2</v>
      </c>
      <c r="G80" s="34">
        <f t="shared" ref="G80:Z80" si="242">G79/B79-1</f>
        <v>-6.7732435843500305E-2</v>
      </c>
      <c r="H80" s="35">
        <f t="shared" si="242"/>
        <v>-8.9567211235310973E-2</v>
      </c>
      <c r="I80" s="35">
        <f t="shared" si="242"/>
        <v>-8.1419017156150075E-2</v>
      </c>
      <c r="J80" s="35">
        <f t="shared" si="242"/>
        <v>-7.3204783731099399E-2</v>
      </c>
      <c r="K80" s="36">
        <f t="shared" si="242"/>
        <v>-7.5107913669064774E-2</v>
      </c>
      <c r="L80" s="34">
        <f t="shared" si="242"/>
        <v>-6.6787003610108253E-2</v>
      </c>
      <c r="M80" s="35">
        <f t="shared" si="242"/>
        <v>-4.1555170785455675E-2</v>
      </c>
      <c r="N80" s="35">
        <f t="shared" si="242"/>
        <v>-4.1468819246596955E-2</v>
      </c>
      <c r="O80" s="35">
        <f t="shared" si="242"/>
        <v>-3.9689798853944414E-2</v>
      </c>
      <c r="P80" s="36">
        <f t="shared" si="242"/>
        <v>-5.1026757934038547E-2</v>
      </c>
      <c r="Q80" s="34">
        <f t="shared" si="242"/>
        <v>-3.8523533204384286E-2</v>
      </c>
      <c r="R80" s="35">
        <f t="shared" si="242"/>
        <v>-3.4324191164394779E-2</v>
      </c>
      <c r="S80" s="35">
        <f t="shared" si="242"/>
        <v>-4.1941875825627473E-2</v>
      </c>
      <c r="T80" s="35">
        <f t="shared" si="242"/>
        <v>-4.5197992645116702E-2</v>
      </c>
      <c r="U80" s="36">
        <f t="shared" si="242"/>
        <v>-4.0163934426229453E-2</v>
      </c>
      <c r="V80" s="34">
        <f t="shared" si="242"/>
        <v>-4.1408214585079706E-2</v>
      </c>
      <c r="W80" s="35">
        <f t="shared" si="242"/>
        <v>-3.9625850340135993E-2</v>
      </c>
      <c r="X80" s="35">
        <f t="shared" si="242"/>
        <v>-1.9993105825577451E-2</v>
      </c>
      <c r="Y80" s="35">
        <f t="shared" si="242"/>
        <v>-2.2786900224507911E-2</v>
      </c>
      <c r="Z80" s="36">
        <f t="shared" si="242"/>
        <v>-3.4329632792485132E-2</v>
      </c>
      <c r="AA80" s="34">
        <f t="shared" ref="AA80:AH80" si="243">AA79/V79-1</f>
        <v>-1.1192724728926184E-2</v>
      </c>
      <c r="AB80" s="35">
        <f t="shared" si="243"/>
        <v>2.1250221356470256E-3</v>
      </c>
      <c r="AC80" s="35">
        <f t="shared" si="243"/>
        <v>-3.517411185367525E-3</v>
      </c>
      <c r="AD80" s="35">
        <f t="shared" si="243"/>
        <v>1.8704950495049388E-2</v>
      </c>
      <c r="AE80" s="36">
        <f t="shared" si="243"/>
        <v>4.9080297134771467E-3</v>
      </c>
      <c r="AF80" s="34">
        <f t="shared" si="243"/>
        <v>3.5373187124159822E-2</v>
      </c>
      <c r="AG80" s="35">
        <f t="shared" si="243"/>
        <v>4.2233610178476821E-2</v>
      </c>
      <c r="AH80" s="35">
        <f t="shared" si="243"/>
        <v>3.8828097423226238E-2</v>
      </c>
      <c r="AI80" s="35">
        <f t="shared" ref="AI80:AR80" si="244">AI79/AD79-1</f>
        <v>2.6965901183020113E-2</v>
      </c>
      <c r="AJ80" s="36">
        <f t="shared" si="244"/>
        <v>3.581642979715749E-2</v>
      </c>
      <c r="AK80" s="34">
        <f t="shared" si="244"/>
        <v>1.0761872224120284E-2</v>
      </c>
      <c r="AL80" s="35">
        <f t="shared" si="244"/>
        <v>1.1258053577483995E-2</v>
      </c>
      <c r="AM80" s="35">
        <f t="shared" si="244"/>
        <v>1.3081889228678145E-2</v>
      </c>
      <c r="AN80" s="35">
        <f t="shared" ref="AN80" si="245">AN79/AI79-1</f>
        <v>1.4568863289852629E-2</v>
      </c>
      <c r="AO80" s="36">
        <f t="shared" ref="AO80" si="246">AO79/AJ79-1</f>
        <v>1.2420882715262982E-2</v>
      </c>
      <c r="AP80" s="34">
        <f t="shared" si="244"/>
        <v>1.825249281730601E-2</v>
      </c>
      <c r="AQ80" s="35">
        <f t="shared" si="244"/>
        <v>1.5190128093353739E-2</v>
      </c>
      <c r="AR80" s="35">
        <f t="shared" si="244"/>
        <v>1.8279389569008986E-2</v>
      </c>
      <c r="AS80" s="35">
        <f t="shared" ref="AS80" si="247">AS79/AN79-1</f>
        <v>1.7699115044247815E-2</v>
      </c>
      <c r="AT80" s="36">
        <f t="shared" ref="AT80:AW80" si="248">AT79/AO79-1</f>
        <v>1.7353797611754818E-2</v>
      </c>
      <c r="AU80" s="34">
        <f t="shared" si="248"/>
        <v>1.7759336099585132E-2</v>
      </c>
      <c r="AV80" s="35">
        <f t="shared" si="248"/>
        <v>1.8331957060280901E-2</v>
      </c>
      <c r="AW80" s="35">
        <f t="shared" si="248"/>
        <v>1.9104084321475368E-2</v>
      </c>
      <c r="AX80" s="35">
        <f t="shared" ref="AX80" si="249">AX79/AS79-1</f>
        <v>0.1781788351107465</v>
      </c>
      <c r="AY80" s="36">
        <f t="shared" ref="AY80:BB80" si="250">AY79/AT79-1</f>
        <v>6.7678475687714013E-2</v>
      </c>
      <c r="AZ80" s="34">
        <f t="shared" si="250"/>
        <v>0.22863666014350925</v>
      </c>
      <c r="BA80" s="35">
        <f t="shared" si="250"/>
        <v>0.22705157314304247</v>
      </c>
      <c r="BB80" s="35">
        <f t="shared" si="250"/>
        <v>0.2280219780219781</v>
      </c>
      <c r="BC80" s="35">
        <f t="shared" ref="BC80" si="251">BC79/AX79-1</f>
        <v>0.11934270992897922</v>
      </c>
      <c r="BD80" s="36">
        <f t="shared" ref="BD80:BG80" si="252">BD79/AY79-1</f>
        <v>0.17784301606922104</v>
      </c>
      <c r="BE80" s="35">
        <f t="shared" si="252"/>
        <v>6.6896734802229796E-2</v>
      </c>
      <c r="BF80" s="35">
        <f t="shared" si="252"/>
        <v>6.2384351044144859E-2</v>
      </c>
      <c r="BG80" s="35">
        <f t="shared" si="252"/>
        <v>5.7770759310435515E-2</v>
      </c>
      <c r="BH80" s="35">
        <f t="shared" ref="BH80" si="253">BH79/BC79-1</f>
        <v>0</v>
      </c>
      <c r="BI80" s="36">
        <f t="shared" ref="BI80" si="254">BI79/BD79-1</f>
        <v>5.4440508985963643E-2</v>
      </c>
    </row>
    <row r="81" spans="1:64">
      <c r="A81" s="2"/>
      <c r="B81" s="45"/>
      <c r="C81" s="46"/>
      <c r="D81" s="46"/>
      <c r="E81" s="46"/>
      <c r="F81" s="44"/>
      <c r="G81" s="45"/>
      <c r="H81" s="46"/>
      <c r="I81" s="46"/>
      <c r="J81" s="46"/>
      <c r="K81" s="44"/>
      <c r="L81" s="45"/>
      <c r="M81" s="46"/>
      <c r="N81" s="46"/>
      <c r="O81" s="46"/>
      <c r="P81" s="44"/>
      <c r="Q81" s="45"/>
      <c r="R81" s="46"/>
      <c r="S81" s="46"/>
      <c r="T81" s="46"/>
      <c r="U81" s="44"/>
      <c r="V81" s="45"/>
      <c r="W81" s="46"/>
      <c r="X81" s="46"/>
      <c r="Y81" s="46"/>
      <c r="Z81" s="44"/>
      <c r="AA81" s="45"/>
      <c r="AB81" s="46"/>
      <c r="AC81" s="46"/>
      <c r="AD81" s="46"/>
      <c r="AE81" s="44"/>
      <c r="AF81" s="46"/>
      <c r="AG81" s="46"/>
      <c r="AH81" s="46"/>
      <c r="AI81" s="46"/>
      <c r="AJ81" s="44"/>
      <c r="AK81" s="46"/>
      <c r="AL81" s="46"/>
      <c r="AM81" s="46"/>
      <c r="AN81" s="46"/>
      <c r="AO81" s="44"/>
      <c r="AP81" s="46"/>
      <c r="AQ81" s="46"/>
      <c r="AR81" s="46"/>
      <c r="AS81" s="46"/>
      <c r="AT81" s="44"/>
      <c r="AU81" s="46"/>
      <c r="AV81" s="46"/>
      <c r="AW81" s="46"/>
      <c r="AX81" s="46"/>
      <c r="AY81" s="44"/>
      <c r="AZ81" s="46"/>
      <c r="BA81" s="46"/>
      <c r="BB81" s="46"/>
      <c r="BC81" s="579"/>
      <c r="BD81" s="44"/>
      <c r="BE81" s="579"/>
      <c r="BF81" s="46"/>
      <c r="BG81" s="46"/>
      <c r="BH81" s="46"/>
      <c r="BI81" s="44"/>
    </row>
    <row r="82" spans="1:64">
      <c r="A82" s="5" t="s">
        <v>57</v>
      </c>
      <c r="B82" s="242">
        <v>694.00361799999996</v>
      </c>
      <c r="C82" s="242">
        <v>681.06719100000009</v>
      </c>
      <c r="D82" s="242">
        <v>670.96095300000002</v>
      </c>
      <c r="E82" s="242">
        <v>666.62380499999995</v>
      </c>
      <c r="F82" s="58">
        <f>E82</f>
        <v>666.62380499999995</v>
      </c>
      <c r="G82" s="242">
        <v>639.81500099999994</v>
      </c>
      <c r="H82" s="242">
        <v>625.85836600000005</v>
      </c>
      <c r="I82" s="242">
        <v>618.95951100000002</v>
      </c>
      <c r="J82" s="242">
        <v>617.15159100000005</v>
      </c>
      <c r="K82" s="58">
        <f>J82</f>
        <v>617.15159100000005</v>
      </c>
      <c r="L82" s="242">
        <v>605.79235700000004</v>
      </c>
      <c r="M82" s="242">
        <v>593.19855200000006</v>
      </c>
      <c r="N82" s="242">
        <v>597.35094000000004</v>
      </c>
      <c r="O82" s="242">
        <v>591.03883300000007</v>
      </c>
      <c r="P82" s="58">
        <f>O82</f>
        <v>591.03883300000007</v>
      </c>
      <c r="Q82" s="242">
        <v>584.222172</v>
      </c>
      <c r="R82" s="242">
        <v>575.88368000000003</v>
      </c>
      <c r="S82" s="242">
        <v>568.99903300000005</v>
      </c>
      <c r="T82" s="242">
        <v>567.64118899999994</v>
      </c>
      <c r="U82" s="58">
        <f>T82</f>
        <v>567.64118899999994</v>
      </c>
      <c r="V82" s="242">
        <v>563.41139399999997</v>
      </c>
      <c r="W82" s="242">
        <v>562.70260600000006</v>
      </c>
      <c r="X82" s="242">
        <v>562.78875600000003</v>
      </c>
      <c r="Y82" s="242">
        <v>562.90875400000004</v>
      </c>
      <c r="Z82" s="58">
        <f>Y82</f>
        <v>562.90875400000004</v>
      </c>
      <c r="AA82" s="242">
        <v>564.31335200000001</v>
      </c>
      <c r="AB82" s="242">
        <v>564.42022100000008</v>
      </c>
      <c r="AC82" s="242">
        <v>564.52121990000001</v>
      </c>
      <c r="AD82" s="242">
        <v>582.32509490000007</v>
      </c>
      <c r="AE82" s="58">
        <f>AD82</f>
        <v>582.32509490000007</v>
      </c>
      <c r="AF82" s="242">
        <v>584.810068</v>
      </c>
      <c r="AG82" s="242">
        <v>586.15190399999994</v>
      </c>
      <c r="AH82" s="242">
        <v>587.69922399999996</v>
      </c>
      <c r="AI82" s="242">
        <v>582.99976500000002</v>
      </c>
      <c r="AJ82" s="58">
        <f>AI82</f>
        <v>582.99976500000002</v>
      </c>
      <c r="AK82" s="481">
        <v>591.63583300000005</v>
      </c>
      <c r="AL82" s="242">
        <v>593.81116899999995</v>
      </c>
      <c r="AM82" s="242">
        <v>595.98319200000003</v>
      </c>
      <c r="AN82" s="242">
        <v>598.23958500000003</v>
      </c>
      <c r="AO82" s="58">
        <f>AN82</f>
        <v>598.23958500000003</v>
      </c>
      <c r="AP82" s="53">
        <v>601.59350700000005</v>
      </c>
      <c r="AQ82" s="53">
        <v>603.20355400000005</v>
      </c>
      <c r="AR82" s="53">
        <v>604.97679700000003</v>
      </c>
      <c r="AS82" s="53">
        <v>610.13520500000004</v>
      </c>
      <c r="AT82" s="58">
        <f>AS82</f>
        <v>610.13520500000004</v>
      </c>
      <c r="AU82" s="53">
        <v>613.88422400000002</v>
      </c>
      <c r="AV82" s="53">
        <v>616.16716499999995</v>
      </c>
      <c r="AW82" s="53">
        <v>618.20091100000002</v>
      </c>
      <c r="AX82" s="53">
        <v>750.07441100000005</v>
      </c>
      <c r="AY82" s="58">
        <f>AX82</f>
        <v>750.07441100000005</v>
      </c>
      <c r="AZ82" s="53">
        <v>754.00547400000005</v>
      </c>
      <c r="BA82" s="53">
        <v>756.15769499999999</v>
      </c>
      <c r="BB82" s="53">
        <v>760.09546799999998</v>
      </c>
      <c r="BC82" s="542">
        <v>803.8</v>
      </c>
      <c r="BD82" s="575">
        <f>BC82</f>
        <v>803.8</v>
      </c>
      <c r="BE82" s="410">
        <f>BD82-BE88+BE85</f>
        <v>803.8</v>
      </c>
      <c r="BF82" s="410">
        <f>BE82-BF88+BF85</f>
        <v>803.8</v>
      </c>
      <c r="BG82" s="410">
        <f>BF82-BG88+BG85</f>
        <v>803.8</v>
      </c>
      <c r="BH82" s="224">
        <f>BG82-BH88+BH85</f>
        <v>803.8</v>
      </c>
      <c r="BI82" s="58">
        <f>BH82</f>
        <v>803.8</v>
      </c>
      <c r="BJ82" s="426"/>
      <c r="BL82" s="551"/>
    </row>
    <row r="83" spans="1:64">
      <c r="A83" s="1" t="s">
        <v>4</v>
      </c>
      <c r="B83" s="34"/>
      <c r="C83" s="35"/>
      <c r="D83" s="35"/>
      <c r="E83" s="35"/>
      <c r="F83" s="36">
        <f>F82/Income_Statement_Annual!P82-1</f>
        <v>-5.6745697588502009E-2</v>
      </c>
      <c r="G83" s="34">
        <f t="shared" ref="G83:Z83" si="255">G82/B82-1</f>
        <v>-7.808117363445799E-2</v>
      </c>
      <c r="H83" s="35">
        <f t="shared" si="255"/>
        <v>-8.106222958550946E-2</v>
      </c>
      <c r="I83" s="35">
        <f t="shared" si="255"/>
        <v>-7.7502933318982614E-2</v>
      </c>
      <c r="J83" s="35">
        <f t="shared" si="255"/>
        <v>-7.4213092345239429E-2</v>
      </c>
      <c r="K83" s="36">
        <f t="shared" si="255"/>
        <v>-7.4213092345239429E-2</v>
      </c>
      <c r="L83" s="34">
        <f t="shared" si="255"/>
        <v>-5.3175752282807021E-2</v>
      </c>
      <c r="M83" s="35">
        <f t="shared" si="255"/>
        <v>-5.2184033599704249E-2</v>
      </c>
      <c r="N83" s="35">
        <f t="shared" si="255"/>
        <v>-3.4911121997445171E-2</v>
      </c>
      <c r="O83" s="35">
        <f t="shared" si="255"/>
        <v>-4.2311740552573585E-2</v>
      </c>
      <c r="P83" s="36">
        <f t="shared" si="255"/>
        <v>-4.2311740552573585E-2</v>
      </c>
      <c r="Q83" s="34">
        <f t="shared" si="255"/>
        <v>-3.5606565105607668E-2</v>
      </c>
      <c r="R83" s="35">
        <f t="shared" si="255"/>
        <v>-2.9188999099242663E-2</v>
      </c>
      <c r="S83" s="35">
        <f t="shared" si="255"/>
        <v>-4.7462731037135386E-2</v>
      </c>
      <c r="T83" s="35">
        <f t="shared" si="255"/>
        <v>-3.9587320990802199E-2</v>
      </c>
      <c r="U83" s="36">
        <f t="shared" si="255"/>
        <v>-3.9587320990802199E-2</v>
      </c>
      <c r="V83" s="34">
        <f t="shared" si="255"/>
        <v>-3.5621342354668517E-2</v>
      </c>
      <c r="W83" s="35">
        <f t="shared" si="255"/>
        <v>-2.2888431219304506E-2</v>
      </c>
      <c r="X83" s="35">
        <f t="shared" si="255"/>
        <v>-1.0914389374718003E-2</v>
      </c>
      <c r="Y83" s="35">
        <f t="shared" si="255"/>
        <v>-8.337018334305335E-3</v>
      </c>
      <c r="Z83" s="36">
        <f t="shared" si="255"/>
        <v>-8.337018334305335E-3</v>
      </c>
      <c r="AA83" s="34">
        <f t="shared" ref="AA83:AH83" si="256">AA82/V82-1</f>
        <v>1.6008870420536336E-3</v>
      </c>
      <c r="AB83" s="35">
        <f t="shared" si="256"/>
        <v>3.0524383247658715E-3</v>
      </c>
      <c r="AC83" s="35">
        <f t="shared" si="256"/>
        <v>3.0783555668620899E-3</v>
      </c>
      <c r="AD83" s="35">
        <f>AD82/Y82-1</f>
        <v>3.4492874310496191E-2</v>
      </c>
      <c r="AE83" s="36">
        <f>AE82/Z82-1</f>
        <v>3.4492874310496191E-2</v>
      </c>
      <c r="AF83" s="34">
        <f t="shared" si="256"/>
        <v>3.6321515213767253E-2</v>
      </c>
      <c r="AG83" s="35">
        <f t="shared" si="256"/>
        <v>3.8502665552090143E-2</v>
      </c>
      <c r="AH83" s="35">
        <f t="shared" si="256"/>
        <v>4.1057808427654274E-2</v>
      </c>
      <c r="AI83" s="35">
        <f t="shared" ref="AI83:AR83" si="257">AI82/AD82-1</f>
        <v>1.1585798137649927E-3</v>
      </c>
      <c r="AJ83" s="36">
        <f t="shared" si="257"/>
        <v>1.1585798137649927E-3</v>
      </c>
      <c r="AK83" s="482">
        <f t="shared" si="257"/>
        <v>1.167176383153512E-2</v>
      </c>
      <c r="AL83" s="35">
        <f t="shared" si="257"/>
        <v>1.3067030828923132E-2</v>
      </c>
      <c r="AM83" s="35">
        <f t="shared" si="257"/>
        <v>1.4095591182880396E-2</v>
      </c>
      <c r="AN83" s="35">
        <f t="shared" ref="AN83" si="258">AN82/AI82-1</f>
        <v>2.6140353590022425E-2</v>
      </c>
      <c r="AO83" s="36">
        <f t="shared" ref="AO83" si="259">AO82/AJ82-1</f>
        <v>2.6140353590022425E-2</v>
      </c>
      <c r="AP83" s="482">
        <f t="shared" si="257"/>
        <v>1.6830748654130367E-2</v>
      </c>
      <c r="AQ83" s="35">
        <f t="shared" si="257"/>
        <v>1.5817124180768083E-2</v>
      </c>
      <c r="AR83" s="35">
        <f t="shared" si="257"/>
        <v>1.5090366843768299E-2</v>
      </c>
      <c r="AS83" s="35">
        <f t="shared" ref="AS83" si="260">AS82/AN82-1</f>
        <v>1.9884374585476428E-2</v>
      </c>
      <c r="AT83" s="36">
        <f t="shared" ref="AT83:AW83" si="261">AT82/AO82-1</f>
        <v>1.9884374585476428E-2</v>
      </c>
      <c r="AU83" s="482">
        <f t="shared" si="261"/>
        <v>2.0430268706340904E-2</v>
      </c>
      <c r="AV83" s="35">
        <f t="shared" si="261"/>
        <v>2.149127092178893E-2</v>
      </c>
      <c r="AW83" s="35">
        <f t="shared" si="261"/>
        <v>2.1858878002555926E-2</v>
      </c>
      <c r="AX83" s="35">
        <f t="shared" ref="AX83" si="262">AX82/AS82-1</f>
        <v>0.22935769785649396</v>
      </c>
      <c r="AY83" s="36">
        <f t="shared" ref="AY83:BB83" si="263">AY82/AT82-1</f>
        <v>0.22935769785649396</v>
      </c>
      <c r="AZ83" s="482">
        <f t="shared" si="263"/>
        <v>0.22825354443381163</v>
      </c>
      <c r="BA83" s="35">
        <f t="shared" si="263"/>
        <v>0.22719569940082751</v>
      </c>
      <c r="BB83" s="35">
        <f t="shared" si="263"/>
        <v>0.22952822371366577</v>
      </c>
      <c r="BC83" s="35">
        <f t="shared" ref="BC83" si="264">BC82/AX82-1</f>
        <v>7.1627012216525232E-2</v>
      </c>
      <c r="BD83" s="36">
        <f t="shared" ref="BD83:BG83" si="265">BD82/AY82-1</f>
        <v>7.1627012216525232E-2</v>
      </c>
      <c r="BE83" s="35">
        <f t="shared" si="265"/>
        <v>6.6040005964200565E-2</v>
      </c>
      <c r="BF83" s="35">
        <f t="shared" si="265"/>
        <v>6.3005779502118164E-2</v>
      </c>
      <c r="BG83" s="35">
        <f t="shared" si="265"/>
        <v>5.7498740408224558E-2</v>
      </c>
      <c r="BH83" s="35">
        <f t="shared" ref="BH83" si="266">BH82/BC82-1</f>
        <v>0</v>
      </c>
      <c r="BI83" s="36">
        <f t="shared" ref="BI83" si="267">BI82/BD82-1</f>
        <v>0</v>
      </c>
    </row>
    <row r="84" spans="1:64">
      <c r="A84" s="1"/>
      <c r="B84" s="34"/>
      <c r="C84" s="35"/>
      <c r="D84" s="35"/>
      <c r="E84" s="35"/>
      <c r="F84" s="36"/>
      <c r="G84" s="34"/>
      <c r="H84" s="35"/>
      <c r="I84" s="35"/>
      <c r="J84" s="35"/>
      <c r="K84" s="36"/>
      <c r="L84" s="34"/>
      <c r="M84" s="35"/>
      <c r="N84" s="35"/>
      <c r="O84" s="35"/>
      <c r="P84" s="36"/>
      <c r="Q84" s="34"/>
      <c r="R84" s="35"/>
      <c r="S84" s="35"/>
      <c r="T84" s="35"/>
      <c r="U84" s="36"/>
      <c r="V84" s="34"/>
      <c r="W84" s="35"/>
      <c r="X84" s="35"/>
      <c r="Y84" s="35"/>
      <c r="Z84" s="36"/>
      <c r="AA84" s="34"/>
      <c r="AB84" s="35"/>
      <c r="AC84" s="35"/>
      <c r="AD84" s="35"/>
      <c r="AE84" s="36"/>
      <c r="AF84" s="34"/>
      <c r="AG84" s="35"/>
      <c r="AH84" s="35"/>
      <c r="AI84" s="35"/>
      <c r="AJ84" s="36"/>
      <c r="AK84" s="482"/>
      <c r="AL84" s="35"/>
      <c r="AM84" s="35"/>
      <c r="AN84" s="35"/>
      <c r="AO84" s="36"/>
      <c r="AP84" s="482"/>
      <c r="AQ84" s="35"/>
      <c r="AR84" s="35"/>
      <c r="AS84" s="35"/>
      <c r="AT84" s="36"/>
      <c r="AU84" s="482"/>
      <c r="AV84" s="35"/>
      <c r="AW84" s="35"/>
      <c r="AX84" s="35"/>
      <c r="AY84" s="36"/>
      <c r="AZ84" s="482"/>
      <c r="BA84" s="35"/>
      <c r="BB84" s="35"/>
      <c r="BC84" s="35"/>
      <c r="BD84" s="36"/>
      <c r="BE84" s="35"/>
      <c r="BF84" s="35"/>
      <c r="BG84" s="35"/>
      <c r="BH84" s="35"/>
      <c r="BI84" s="36"/>
    </row>
    <row r="85" spans="1:64">
      <c r="A85" s="5" t="s">
        <v>571</v>
      </c>
      <c r="B85" s="159"/>
      <c r="C85" s="410">
        <f>(C82+C88-B82)</f>
        <v>0.63406800000018393</v>
      </c>
      <c r="D85" s="410">
        <f>(D82+D88-C82)</f>
        <v>0.79682999999988624</v>
      </c>
      <c r="E85" s="412">
        <f>(E82+E88-D82)</f>
        <v>0.95520999999996548</v>
      </c>
      <c r="F85" s="54"/>
      <c r="G85" s="159">
        <f>(G82+G88-F82)</f>
        <v>1.7669399999999769</v>
      </c>
      <c r="H85" s="410">
        <f>(H82+H88-G82)</f>
        <v>1.3418970000001309</v>
      </c>
      <c r="I85" s="410">
        <f>(I82+I88-H82)</f>
        <v>0.65915099999995164</v>
      </c>
      <c r="J85" s="412">
        <f>(J82+J88-I82)</f>
        <v>1.864669000000049</v>
      </c>
      <c r="K85" s="54">
        <f>(K82+K88-F82)</f>
        <v>5.6326570000001084</v>
      </c>
      <c r="L85" s="159">
        <f>(L82+L88-K82)</f>
        <v>3.5518349999999828</v>
      </c>
      <c r="M85" s="410">
        <f>(M82+M88-L82)</f>
        <v>0.9728420000000142</v>
      </c>
      <c r="N85" s="417">
        <f>(N82+N88-M82)</f>
        <v>15.153908000000001</v>
      </c>
      <c r="O85" s="412">
        <f>(O82+O88-N82)</f>
        <v>0.34482300000001942</v>
      </c>
      <c r="P85" s="54">
        <f>(P82+P88-K82)</f>
        <v>20.023408000000018</v>
      </c>
      <c r="Q85" s="159">
        <f>(Q82+Q88-P82)</f>
        <v>2.0584329999999227</v>
      </c>
      <c r="R85" s="410">
        <f>(R82+R88-Q82)</f>
        <v>0.23511000000007698</v>
      </c>
      <c r="S85" s="410">
        <f>(S82+S88-R82)</f>
        <v>0.16410700000005818</v>
      </c>
      <c r="T85" s="412">
        <f>(T82+T88-S82)</f>
        <v>0.2030099999998356</v>
      </c>
      <c r="U85" s="54">
        <f>(U82+U88-P82)</f>
        <v>2.6606599999998934</v>
      </c>
      <c r="V85" s="159">
        <f>(V82+V88-U82)</f>
        <v>1.8782090000000835</v>
      </c>
      <c r="W85" s="410">
        <f>(W82+W88-V82)</f>
        <v>9.1853000000128304E-2</v>
      </c>
      <c r="X85" s="410">
        <f>(X82+X88-W82)</f>
        <v>8.614999999997508E-2</v>
      </c>
      <c r="Y85" s="412">
        <f>(Y82+Y88-X82)</f>
        <v>0.1199980000000096</v>
      </c>
      <c r="Z85" s="54">
        <f>(Z82+Z88-U82)</f>
        <v>2.1762100000000828</v>
      </c>
      <c r="AA85" s="159">
        <f>(AA82+AA88-Z82)</f>
        <v>1.4045979999999645</v>
      </c>
      <c r="AB85" s="410">
        <f>(AB82+AB88-AA82)</f>
        <v>0.10686900000007427</v>
      </c>
      <c r="AC85" s="410">
        <f>(AC82+AC88-AB82)</f>
        <v>0.10099889999992229</v>
      </c>
      <c r="AD85" s="412">
        <f>(AD82+AD88-AC82)</f>
        <v>17.803875000000062</v>
      </c>
      <c r="AE85" s="54">
        <f>(AE82+AE88-Z82)</f>
        <v>19.416340900000023</v>
      </c>
      <c r="AF85" s="159">
        <f>(AF82+AF88-AE82)</f>
        <v>2.4849730999999338</v>
      </c>
      <c r="AG85" s="410">
        <f>(AG82+AG88-AF82)</f>
        <v>1.3418359999999439</v>
      </c>
      <c r="AH85" s="410">
        <f>(AH82+AH88-AG82)</f>
        <v>1.5473200000000134</v>
      </c>
      <c r="AI85" s="412">
        <f>(AI82+AI88-AH82)</f>
        <v>-4.6994589999999334</v>
      </c>
      <c r="AJ85" s="54">
        <f>(AJ82+AJ88-AE82)</f>
        <v>0.67467009999995753</v>
      </c>
      <c r="AK85" s="483">
        <f>(AK82+AK88-AJ82)</f>
        <v>8.7988780000000588</v>
      </c>
      <c r="AL85" s="410">
        <f>(AL82+AL88-AK82)</f>
        <v>2.1858859999998685</v>
      </c>
      <c r="AM85" s="410">
        <f>(AM82+AM88-AL82)</f>
        <v>2.2610830000000988</v>
      </c>
      <c r="AN85" s="412">
        <f>(AN82+AN88-AM82)</f>
        <v>2.2821350000000393</v>
      </c>
      <c r="AO85" s="54">
        <f>(AO82+AO88-AJ82)</f>
        <v>15.527982000000065</v>
      </c>
      <c r="AP85" s="483">
        <f>(AP82+AP88-AO82)</f>
        <v>3.5822140000000218</v>
      </c>
      <c r="AQ85" s="410">
        <f>(AQ82+AQ88-AP82)</f>
        <v>1.6382879999999886</v>
      </c>
      <c r="AR85" s="410">
        <f>(AR82+AR88-AQ82)</f>
        <v>1.7944360000000188</v>
      </c>
      <c r="AS85" s="412">
        <f>(AS82+AS88-AR82)</f>
        <v>5.1584080000000085</v>
      </c>
      <c r="AT85" s="54">
        <f>(AT82+AT88-AO82)</f>
        <v>12.173346000000038</v>
      </c>
      <c r="AU85" s="483">
        <f>(AU82+AU88-AT82)</f>
        <v>3.7490189999999757</v>
      </c>
      <c r="AV85" s="410">
        <f>(AV82+AV88-AU82)</f>
        <v>2.3208849999999757</v>
      </c>
      <c r="AW85" s="410">
        <f>(AW82+AW88-AV82)</f>
        <v>2.0656580000000986</v>
      </c>
      <c r="AX85" s="412">
        <f>(AX82+AX88-AW82)</f>
        <v>131.93949700000007</v>
      </c>
      <c r="AY85" s="54">
        <f>(AY82+AY88-AT82)</f>
        <v>140.07505900000001</v>
      </c>
      <c r="AZ85" s="483">
        <f>(AZ82+AZ88-AY82)</f>
        <v>4.0193629999999985</v>
      </c>
      <c r="BA85" s="410">
        <f>(BA82+BA88-AZ82)</f>
        <v>2.1737309999999752</v>
      </c>
      <c r="BB85" s="410">
        <f>(BB82+BB88-BA82)</f>
        <v>3.9377729999999929</v>
      </c>
      <c r="BC85" s="224">
        <f>BD85-SUM(AZ85:BB85)</f>
        <v>-6.1308669999999665</v>
      </c>
      <c r="BD85" s="188">
        <v>4</v>
      </c>
      <c r="BE85" s="53">
        <f>$BI85/4</f>
        <v>0</v>
      </c>
      <c r="BF85" s="53">
        <f>$BI85/4</f>
        <v>0</v>
      </c>
      <c r="BG85" s="53">
        <f>$BI85/4</f>
        <v>0</v>
      </c>
      <c r="BH85" s="224">
        <f>BI85-SUM(BE85:BG85)</f>
        <v>0</v>
      </c>
      <c r="BI85" s="187">
        <v>0</v>
      </c>
    </row>
    <row r="86" spans="1:64">
      <c r="A86" s="1" t="s">
        <v>4</v>
      </c>
      <c r="B86" s="34"/>
      <c r="C86" s="35" t="str">
        <f>IFERROR(C85/#REF!-1,"nm")</f>
        <v>nm</v>
      </c>
      <c r="D86" s="35" t="str">
        <f>IFERROR(D85/#REF!-1,"nm")</f>
        <v>nm</v>
      </c>
      <c r="E86" s="35" t="str">
        <f>IFERROR(E85/#REF!-1,"nm")</f>
        <v>nm</v>
      </c>
      <c r="F86" s="36"/>
      <c r="G86" s="34" t="str">
        <f t="shared" ref="G86:AA86" si="268">IFERROR(G85/B85-1,"nm")</f>
        <v>nm</v>
      </c>
      <c r="H86" s="35">
        <f t="shared" si="268"/>
        <v>1.1163297942803321</v>
      </c>
      <c r="I86" s="35">
        <f t="shared" si="268"/>
        <v>-0.17278340423924077</v>
      </c>
      <c r="J86" s="35">
        <f t="shared" si="268"/>
        <v>0.95210372588238856</v>
      </c>
      <c r="K86" s="36" t="str">
        <f t="shared" si="268"/>
        <v>nm</v>
      </c>
      <c r="L86" s="34">
        <f t="shared" si="268"/>
        <v>1.0101616353696388</v>
      </c>
      <c r="M86" s="35">
        <f t="shared" si="268"/>
        <v>-0.27502483424590762</v>
      </c>
      <c r="N86" s="35">
        <f t="shared" si="268"/>
        <v>21.990040218403845</v>
      </c>
      <c r="O86" s="35">
        <f t="shared" si="268"/>
        <v>-0.81507549060985607</v>
      </c>
      <c r="P86" s="36">
        <f t="shared" si="268"/>
        <v>2.5548779199584906</v>
      </c>
      <c r="Q86" s="34">
        <f t="shared" si="268"/>
        <v>-0.42045928372237651</v>
      </c>
      <c r="R86" s="35">
        <f t="shared" si="268"/>
        <v>-0.7583266347463683</v>
      </c>
      <c r="S86" s="35">
        <f t="shared" si="268"/>
        <v>-0.98917064825785805</v>
      </c>
      <c r="T86" s="35">
        <f t="shared" si="268"/>
        <v>-0.41126316980066824</v>
      </c>
      <c r="U86" s="36">
        <f t="shared" si="268"/>
        <v>-0.86712251980282817</v>
      </c>
      <c r="V86" s="34">
        <f t="shared" si="268"/>
        <v>-8.755397916757357E-2</v>
      </c>
      <c r="W86" s="35">
        <f t="shared" si="268"/>
        <v>-0.60931904215006494</v>
      </c>
      <c r="X86" s="35">
        <f t="shared" si="268"/>
        <v>-0.47503762788945914</v>
      </c>
      <c r="Y86" s="35">
        <f t="shared" si="268"/>
        <v>-0.40890596522286204</v>
      </c>
      <c r="Z86" s="36">
        <f t="shared" si="268"/>
        <v>-0.18207888268318018</v>
      </c>
      <c r="AA86" s="34">
        <f t="shared" si="268"/>
        <v>-0.25216096824160572</v>
      </c>
      <c r="AB86" s="35">
        <f t="shared" ref="AB86:AH86" si="269">IFERROR(AB85/W85-1,"nm")</f>
        <v>0.16347860167795258</v>
      </c>
      <c r="AC86" s="35">
        <f t="shared" si="269"/>
        <v>0.17236099825828788</v>
      </c>
      <c r="AD86" s="35">
        <f>IFERROR(AD85/Y85-1,"nm")</f>
        <v>147.36809780161869</v>
      </c>
      <c r="AE86" s="36">
        <f>IFERROR(AE85/Z85-1,"nm")</f>
        <v>7.9220897339867395</v>
      </c>
      <c r="AF86" s="34">
        <f>IFERROR(AF85/AA85-1,"nm")</f>
        <v>0.7691703248901085</v>
      </c>
      <c r="AG86" s="35">
        <f t="shared" si="269"/>
        <v>11.555895535646552</v>
      </c>
      <c r="AH86" s="35">
        <f t="shared" si="269"/>
        <v>14.320166853314284</v>
      </c>
      <c r="AI86" s="35">
        <f t="shared" ref="AI86:AR86" si="270">IFERROR(AI85/AD85-1,"nm")</f>
        <v>-1.2639570879934798</v>
      </c>
      <c r="AJ86" s="36">
        <f t="shared" si="270"/>
        <v>-0.96525245907688217</v>
      </c>
      <c r="AK86" s="482">
        <f t="shared" si="270"/>
        <v>2.5408343052084925</v>
      </c>
      <c r="AL86" s="35">
        <f t="shared" si="270"/>
        <v>0.62902619992306064</v>
      </c>
      <c r="AM86" s="35">
        <f t="shared" si="270"/>
        <v>0.46128984308357635</v>
      </c>
      <c r="AN86" s="35">
        <f t="shared" ref="AN86" si="271">IFERROR(AN85/AI85-1,"nm")</f>
        <v>-1.4856165358608453</v>
      </c>
      <c r="AO86" s="36">
        <f t="shared" ref="AO86" si="272">IFERROR(AO85/AJ85-1,"nm")</f>
        <v>22.015666471659323</v>
      </c>
      <c r="AP86" s="482">
        <f t="shared" si="270"/>
        <v>-0.59287831925843304</v>
      </c>
      <c r="AQ86" s="35">
        <f t="shared" si="270"/>
        <v>-0.25051535166971783</v>
      </c>
      <c r="AR86" s="35">
        <f t="shared" si="270"/>
        <v>-0.20638207443073053</v>
      </c>
      <c r="AS86" s="35">
        <f t="shared" ref="AS86" si="273">IFERROR(AS85/AN85-1,"nm")</f>
        <v>1.2603430559541482</v>
      </c>
      <c r="AT86" s="36">
        <f t="shared" ref="AT86:AW86" si="274">IFERROR(AT85/AO85-1,"nm")</f>
        <v>-0.21603811750941071</v>
      </c>
      <c r="AU86" s="482">
        <f t="shared" si="274"/>
        <v>4.6564778095321113E-2</v>
      </c>
      <c r="AV86" s="35">
        <f t="shared" si="274"/>
        <v>0.41665262762102384</v>
      </c>
      <c r="AW86" s="35">
        <f t="shared" si="274"/>
        <v>0.15114609827270353</v>
      </c>
      <c r="AX86" s="35">
        <f t="shared" ref="AX86" si="275">IFERROR(AX85/AS85-1,"nm")</f>
        <v>24.577561332876318</v>
      </c>
      <c r="AY86" s="36">
        <f t="shared" ref="AY86:BB86" si="276">IFERROR(AY85/AT85-1,"nm")</f>
        <v>10.506701526433208</v>
      </c>
      <c r="AZ86" s="482">
        <f t="shared" si="276"/>
        <v>7.2110597465636861E-2</v>
      </c>
      <c r="BA86" s="35">
        <f t="shared" si="276"/>
        <v>-6.3404261736364376E-2</v>
      </c>
      <c r="BB86" s="35">
        <f t="shared" si="276"/>
        <v>0.90630443180807507</v>
      </c>
      <c r="BC86" s="33">
        <f t="shared" ref="BC86" si="277">IFERROR(BC85/AX85-1,"nm")</f>
        <v>-1.0464672606717604</v>
      </c>
      <c r="BD86" s="36">
        <f t="shared" ref="BD86:BG86" si="278">IFERROR(BD85/AY85-1,"nm")</f>
        <v>-0.97144388138362303</v>
      </c>
      <c r="BE86" s="33">
        <f t="shared" si="278"/>
        <v>-1</v>
      </c>
      <c r="BF86" s="33">
        <f t="shared" si="278"/>
        <v>-1</v>
      </c>
      <c r="BG86" s="33">
        <f t="shared" si="278"/>
        <v>-1</v>
      </c>
      <c r="BH86" s="33">
        <f t="shared" ref="BH86" si="279">IFERROR(BH85/BC85-1,"nm")</f>
        <v>-1</v>
      </c>
      <c r="BI86" s="36">
        <f t="shared" ref="BI86" si="280">IFERROR(BI85/BD85-1,"nm")</f>
        <v>-1</v>
      </c>
    </row>
    <row r="87" spans="1:64">
      <c r="A87" s="2"/>
      <c r="B87" s="195"/>
      <c r="C87" s="194"/>
      <c r="D87" s="194"/>
      <c r="E87" s="194"/>
      <c r="F87" s="243"/>
      <c r="G87" s="195"/>
      <c r="H87" s="194"/>
      <c r="I87" s="194"/>
      <c r="J87" s="194"/>
      <c r="K87" s="243"/>
      <c r="L87" s="195"/>
      <c r="M87" s="194"/>
      <c r="N87" s="194"/>
      <c r="O87" s="194"/>
      <c r="P87" s="243"/>
      <c r="Q87" s="195"/>
      <c r="R87" s="194"/>
      <c r="S87" s="194"/>
      <c r="T87" s="194"/>
      <c r="U87" s="243"/>
      <c r="V87" s="195"/>
      <c r="W87" s="194"/>
      <c r="X87" s="194"/>
      <c r="Y87" s="194"/>
      <c r="Z87" s="243"/>
      <c r="AA87" s="45"/>
      <c r="AB87" s="35"/>
      <c r="AC87" s="35"/>
      <c r="AD87" s="418"/>
      <c r="AE87" s="36"/>
      <c r="AF87" s="45"/>
      <c r="AG87" s="35"/>
      <c r="AI87" s="418"/>
      <c r="AJ87" s="36"/>
      <c r="AK87" s="484"/>
      <c r="AL87" s="35"/>
      <c r="AN87" s="418"/>
      <c r="AO87" s="36"/>
      <c r="AP87" s="484"/>
      <c r="AQ87" s="35"/>
      <c r="AS87" s="418"/>
      <c r="AT87" s="36"/>
      <c r="AU87" s="484"/>
      <c r="AV87" s="35"/>
      <c r="AX87" s="418"/>
      <c r="AY87" s="36"/>
      <c r="AZ87" s="484"/>
      <c r="BA87" s="35"/>
      <c r="BC87" s="35"/>
      <c r="BD87" s="36"/>
      <c r="BH87" s="35"/>
      <c r="BI87" s="36"/>
    </row>
    <row r="88" spans="1:64">
      <c r="A88" s="14" t="s">
        <v>656</v>
      </c>
      <c r="B88" s="242">
        <v>16.964807</v>
      </c>
      <c r="C88" s="242">
        <v>13.570494999999999</v>
      </c>
      <c r="D88" s="242">
        <v>10.903067999999999</v>
      </c>
      <c r="E88" s="242">
        <v>5.2923580000000001</v>
      </c>
      <c r="F88" s="58">
        <f>SUM(B88:E88)</f>
        <v>46.730727999999999</v>
      </c>
      <c r="G88" s="242">
        <v>28.575744</v>
      </c>
      <c r="H88" s="242">
        <v>15.298532</v>
      </c>
      <c r="I88" s="242">
        <v>7.5580059999999998</v>
      </c>
      <c r="J88" s="242">
        <v>3.6725889999999999</v>
      </c>
      <c r="K88" s="58">
        <f>SUM(G88:J88)</f>
        <v>55.104871000000003</v>
      </c>
      <c r="L88" s="242">
        <v>14.911068999999999</v>
      </c>
      <c r="M88" s="242">
        <v>13.566647</v>
      </c>
      <c r="N88" s="242">
        <v>11.001519999999999</v>
      </c>
      <c r="O88" s="242">
        <v>6.65693</v>
      </c>
      <c r="P88" s="58">
        <f>SUM(L88:O88)</f>
        <v>46.136166000000003</v>
      </c>
      <c r="Q88" s="242">
        <v>8.8750940000000007</v>
      </c>
      <c r="R88" s="242">
        <v>8.5736019999999993</v>
      </c>
      <c r="S88" s="242">
        <v>7.0487539999999997</v>
      </c>
      <c r="T88" s="242">
        <v>1.560854</v>
      </c>
      <c r="U88" s="58">
        <f>SUM(Q88:T88)</f>
        <v>26.058303999999996</v>
      </c>
      <c r="V88" s="242">
        <v>6.1080040000000002</v>
      </c>
      <c r="W88" s="242">
        <v>0.80064100000000005</v>
      </c>
      <c r="X88" s="242">
        <v>0</v>
      </c>
      <c r="Y88" s="242">
        <v>0</v>
      </c>
      <c r="Z88" s="58">
        <f>SUM(V88:Y88)</f>
        <v>6.9086449999999999</v>
      </c>
      <c r="AA88" s="242">
        <v>0</v>
      </c>
      <c r="AB88" s="242">
        <v>0</v>
      </c>
      <c r="AC88" s="242">
        <v>0</v>
      </c>
      <c r="AD88" s="242">
        <v>0</v>
      </c>
      <c r="AE88" s="58">
        <f>SUM(AA88:AD88)</f>
        <v>0</v>
      </c>
      <c r="AF88" s="242">
        <v>0</v>
      </c>
      <c r="AG88" s="242">
        <v>0</v>
      </c>
      <c r="AH88" s="410">
        <f>-Cash_Flow_Qtr!AH51/AH89</f>
        <v>0</v>
      </c>
      <c r="AI88" s="242">
        <v>0</v>
      </c>
      <c r="AJ88" s="58">
        <f>SUM(AF88:AI88)</f>
        <v>0</v>
      </c>
      <c r="AK88" s="481">
        <v>0.16281000000000001</v>
      </c>
      <c r="AL88" s="242">
        <v>1.055E-2</v>
      </c>
      <c r="AM88" s="242">
        <v>8.906E-2</v>
      </c>
      <c r="AN88" s="242">
        <v>2.5742000000000001E-2</v>
      </c>
      <c r="AO88" s="58">
        <f>SUM(AK88:AN88)</f>
        <v>0.28816199999999997</v>
      </c>
      <c r="AP88" s="481">
        <v>0.22829199999999999</v>
      </c>
      <c r="AQ88" s="242">
        <v>2.8240999999999999E-2</v>
      </c>
      <c r="AR88" s="242">
        <v>2.1193E-2</v>
      </c>
      <c r="AS88" s="242">
        <v>0</v>
      </c>
      <c r="AT88" s="58">
        <f>SUM(AP88:AS88)</f>
        <v>0.27772600000000003</v>
      </c>
      <c r="AU88" s="481">
        <v>0</v>
      </c>
      <c r="AV88" s="53">
        <v>3.7943999999999999E-2</v>
      </c>
      <c r="AW88" s="53">
        <v>3.1912000000000003E-2</v>
      </c>
      <c r="AX88" s="53">
        <v>6.5997E-2</v>
      </c>
      <c r="AY88" s="58">
        <f>SUM(AU88:AX88)</f>
        <v>0.135853</v>
      </c>
      <c r="AZ88" s="470">
        <v>8.8300000000000003E-2</v>
      </c>
      <c r="BA88" s="470">
        <v>2.1510000000000001E-2</v>
      </c>
      <c r="BB88" s="53">
        <v>0</v>
      </c>
      <c r="BC88" s="542">
        <f>-Cash_Flow_Qtr!BC51/Income_Statement_Qtr!BC89</f>
        <v>0</v>
      </c>
      <c r="BD88" s="54">
        <f>SUM(AZ88:BC88)</f>
        <v>0.10981</v>
      </c>
      <c r="BE88" s="410">
        <f>-Cash_Flow_Qtr!BE51/Income_Statement_Qtr!BE89</f>
        <v>0</v>
      </c>
      <c r="BF88" s="410">
        <f>-Cash_Flow_Qtr!BF51/Income_Statement_Qtr!BF89</f>
        <v>0</v>
      </c>
      <c r="BG88" s="410">
        <f>-Cash_Flow_Qtr!BG51/Income_Statement_Qtr!BG89</f>
        <v>0</v>
      </c>
      <c r="BH88" s="552">
        <f>-Cash_Flow_Qtr!BH51/Income_Statement_Qtr!BH89</f>
        <v>0</v>
      </c>
      <c r="BI88" s="54">
        <f>SUM(BE88:BH88)</f>
        <v>0</v>
      </c>
    </row>
    <row r="89" spans="1:64">
      <c r="A89" s="5" t="s">
        <v>41</v>
      </c>
      <c r="B89" s="263">
        <v>147.32</v>
      </c>
      <c r="C89" s="263">
        <v>147.38999999999999</v>
      </c>
      <c r="D89" s="263">
        <v>137.6</v>
      </c>
      <c r="E89" s="263">
        <v>141.74</v>
      </c>
      <c r="F89" s="269">
        <v>143.51249999999999</v>
      </c>
      <c r="G89" s="263">
        <v>122.49</v>
      </c>
      <c r="H89" s="263">
        <v>130.75</v>
      </c>
      <c r="I89" s="263">
        <v>132.32</v>
      </c>
      <c r="J89" s="263">
        <v>136.46</v>
      </c>
      <c r="K89" s="269">
        <v>130.505</v>
      </c>
      <c r="L89" s="263">
        <v>167.89</v>
      </c>
      <c r="M89" s="263">
        <v>184.27</v>
      </c>
      <c r="N89" s="263">
        <v>227.25</v>
      </c>
      <c r="O89" s="263">
        <v>260.89</v>
      </c>
      <c r="P89" s="269">
        <v>210.07499999999999</v>
      </c>
      <c r="Q89" s="263">
        <v>338.46</v>
      </c>
      <c r="R89" s="263">
        <v>345.77</v>
      </c>
      <c r="S89" s="263">
        <v>347.57</v>
      </c>
      <c r="T89" s="263">
        <v>374.24</v>
      </c>
      <c r="U89" s="269">
        <v>351.51</v>
      </c>
      <c r="V89" s="263">
        <v>384.93</v>
      </c>
      <c r="W89" s="263">
        <v>387.48</v>
      </c>
      <c r="X89" s="263">
        <v>0</v>
      </c>
      <c r="Y89" s="263">
        <v>0</v>
      </c>
      <c r="Z89" s="269">
        <v>391.30434782608694</v>
      </c>
      <c r="AA89" s="263">
        <v>140</v>
      </c>
      <c r="AB89" s="263">
        <v>180</v>
      </c>
      <c r="AC89" s="263">
        <v>180</v>
      </c>
      <c r="AD89" s="263">
        <v>190</v>
      </c>
      <c r="AE89" s="269">
        <v>391.30434782608694</v>
      </c>
      <c r="AF89" s="263">
        <v>222.266557377049</v>
      </c>
      <c r="AG89" s="263">
        <v>180</v>
      </c>
      <c r="AH89" s="51">
        <f>AG89*(1+AH90)</f>
        <v>185.4</v>
      </c>
      <c r="AI89" s="263">
        <v>190</v>
      </c>
      <c r="AJ89" s="269">
        <v>391.30434782608694</v>
      </c>
      <c r="AK89" s="475">
        <v>201.44</v>
      </c>
      <c r="AL89" s="263">
        <v>179.72</v>
      </c>
      <c r="AM89" s="263">
        <v>151.07</v>
      </c>
      <c r="AN89" s="263">
        <v>169.94</v>
      </c>
      <c r="AO89" s="269">
        <v>175.54250000000002</v>
      </c>
      <c r="AP89" s="475">
        <v>185.29</v>
      </c>
      <c r="AQ89" s="263">
        <v>204.78</v>
      </c>
      <c r="AR89" s="263">
        <v>219.15</v>
      </c>
      <c r="AS89" s="263">
        <v>213.520625</v>
      </c>
      <c r="AT89" s="269">
        <v>205.68515625000001</v>
      </c>
      <c r="AU89" s="475">
        <v>213.6</v>
      </c>
      <c r="AV89" s="264">
        <v>177.47</v>
      </c>
      <c r="AW89" s="264">
        <v>180.07</v>
      </c>
      <c r="AX89" s="264">
        <v>158.01</v>
      </c>
      <c r="AY89" s="541">
        <f>AVERAGE(AU89:AX89)</f>
        <v>182.28749999999999</v>
      </c>
      <c r="AZ89" s="485">
        <v>178.26</v>
      </c>
      <c r="BA89" s="264">
        <v>186.66</v>
      </c>
      <c r="BB89" s="264">
        <v>220</v>
      </c>
      <c r="BC89" s="264">
        <v>248.43</v>
      </c>
      <c r="BD89" s="52">
        <f>AVERAGE(AZ89:BC89)</f>
        <v>208.33749999999998</v>
      </c>
      <c r="BE89" s="514">
        <f>BD89*(1+BE90)</f>
        <v>216.67099999999999</v>
      </c>
      <c r="BF89" s="514">
        <f>BE89*(1+BF90)</f>
        <v>225.33784</v>
      </c>
      <c r="BG89" s="514">
        <f>BF89*(1+BG90)</f>
        <v>234.35135360000001</v>
      </c>
      <c r="BH89" s="51">
        <f>BG89*(1+BH90)</f>
        <v>240.67884014719999</v>
      </c>
      <c r="BI89" s="52">
        <f>AVERAGE(BE89:BH89)</f>
        <v>229.25975843679998</v>
      </c>
    </row>
    <row r="90" spans="1:64">
      <c r="A90" s="1" t="s">
        <v>570</v>
      </c>
      <c r="B90" s="263"/>
      <c r="C90" s="408">
        <f>IFERROR(C89/B89-1,"NM")</f>
        <v>4.7515612272608365E-4</v>
      </c>
      <c r="D90" s="408">
        <f>IFERROR(D89/C89-1,"NM")</f>
        <v>-6.6422416717552002E-2</v>
      </c>
      <c r="E90" s="408">
        <f>IFERROR(E89/D89-1,"NM")</f>
        <v>3.0087209302325668E-2</v>
      </c>
      <c r="F90" s="269"/>
      <c r="G90" s="408">
        <f>IFERROR(G89/E89-1,"NM")</f>
        <v>-0.13581205023282072</v>
      </c>
      <c r="H90" s="408">
        <f>IFERROR(H89/G89-1,"NM")</f>
        <v>6.7434076251122521E-2</v>
      </c>
      <c r="I90" s="408">
        <f>IFERROR(I89/H89-1,"NM")</f>
        <v>1.2007648183556263E-2</v>
      </c>
      <c r="J90" s="408">
        <f>IFERROR(J89/I89-1,"NM")</f>
        <v>3.1287787182587845E-2</v>
      </c>
      <c r="K90" s="295">
        <f>IFERROR(K89/F89-1,"NM")</f>
        <v>-9.0636704119850142E-2</v>
      </c>
      <c r="L90" s="408">
        <f>IFERROR(L89/J89-1,"NM")</f>
        <v>0.23032390444086159</v>
      </c>
      <c r="M90" s="408">
        <f>IFERROR(M89/L89-1,"NM")</f>
        <v>9.7563881112633366E-2</v>
      </c>
      <c r="N90" s="408">
        <f>IFERROR(N89/M89-1,"NM")</f>
        <v>0.23324469528409386</v>
      </c>
      <c r="O90" s="408">
        <f>IFERROR(O89/N89-1,"NM")</f>
        <v>0.14803080308030792</v>
      </c>
      <c r="P90" s="295">
        <f>IFERROR(P89/K89-1,"NM")</f>
        <v>0.60970844028964399</v>
      </c>
      <c r="Q90" s="408">
        <f>IFERROR(Q89/O89-1,"NM")</f>
        <v>0.29732837594388428</v>
      </c>
      <c r="R90" s="408">
        <f>IFERROR(R89/Q89-1,"NM")</f>
        <v>2.1597825444661156E-2</v>
      </c>
      <c r="S90" s="408">
        <f>IFERROR(S89/R89-1,"NM")</f>
        <v>5.2057726234202573E-3</v>
      </c>
      <c r="T90" s="408">
        <f>IFERROR(T89/S89-1,"NM")</f>
        <v>7.6732744483125837E-2</v>
      </c>
      <c r="U90" s="295">
        <f>IFERROR(U89/P89-1,"NM")</f>
        <v>0.67325955016065686</v>
      </c>
      <c r="V90" s="408">
        <f>IFERROR(V89/T89-1,"NM")</f>
        <v>2.8564557503206522E-2</v>
      </c>
      <c r="W90" s="408">
        <f>IFERROR(W89/V89-1,"NM")</f>
        <v>6.6245810926661708E-3</v>
      </c>
      <c r="X90" s="408">
        <f>IFERROR(X89/W89-1,"NM")</f>
        <v>-1</v>
      </c>
      <c r="Y90" s="408" t="str">
        <f>IFERROR(Y89/X89-1,"NM")</f>
        <v>NM</v>
      </c>
      <c r="Z90" s="295">
        <f>IFERROR(Z89/U89-1,"NM")</f>
        <v>0.11320971757869458</v>
      </c>
      <c r="AA90" s="408" t="str">
        <f>IFERROR(AA89/Y89-1,"NM")</f>
        <v>NM</v>
      </c>
      <c r="AB90" s="408">
        <f>IFERROR(AB89/AA89-1,"NM")</f>
        <v>0.28571428571428581</v>
      </c>
      <c r="AC90" s="408">
        <f>IFERROR(AC89/AB89-1,"NM")</f>
        <v>0</v>
      </c>
      <c r="AD90" s="408">
        <f>IFERROR(AD89/AC89-1,"NM")</f>
        <v>5.555555555555558E-2</v>
      </c>
      <c r="AE90" s="295">
        <f>IFERROR(AE89/Z89-1,"NM")</f>
        <v>0</v>
      </c>
      <c r="AF90" s="408">
        <f>IFERROR(AF89/AD89-1,"NM")</f>
        <v>0.16982398619499461</v>
      </c>
      <c r="AG90" s="408">
        <f>IFERROR(AG89/AF89-1,"NM")</f>
        <v>-0.19016156940492301</v>
      </c>
      <c r="AH90" s="409">
        <v>0.03</v>
      </c>
      <c r="AI90" s="408">
        <f>IFERROR(AI89/AH89-1,"NM")</f>
        <v>2.4811218985976158E-2</v>
      </c>
      <c r="AJ90" s="295">
        <f>IFERROR(AJ89/AE89-1,"NM")</f>
        <v>0</v>
      </c>
      <c r="AK90" s="408">
        <f>IFERROR(AK89/AI89-1,"NM")</f>
        <v>6.0210526315789492E-2</v>
      </c>
      <c r="AL90" s="408">
        <f>IFERROR(AL89/AK89-1,"NM")</f>
        <v>-0.107823669579031</v>
      </c>
      <c r="AM90" s="408">
        <f>IFERROR(AM89/AL89-1,"NM")</f>
        <v>-0.15941464500333857</v>
      </c>
      <c r="AN90" s="408">
        <f>IFERROR(AN89/AM89-1,"NM")</f>
        <v>0.12490898259085204</v>
      </c>
      <c r="AO90" s="295">
        <f>IFERROR(AO89/AJ89-1,"NM")</f>
        <v>-0.55139138888888883</v>
      </c>
      <c r="AP90" s="408">
        <f>IFERROR(AP89/AN89-1,"NM")</f>
        <v>9.0325997410850789E-2</v>
      </c>
      <c r="AQ90" s="408">
        <f>IFERROR(AQ89/AP89-1,"NM")</f>
        <v>0.10518646446111513</v>
      </c>
      <c r="AR90" s="408">
        <f>IFERROR(AR89/AQ89-1,"NM")</f>
        <v>7.0172868444184022E-2</v>
      </c>
      <c r="AS90" s="408">
        <f>IFERROR(AS89/AR89-1,"NM")</f>
        <v>-2.5687314624686319E-2</v>
      </c>
      <c r="AT90" s="295">
        <f>IFERROR(AT89/AO89-1,"NM")</f>
        <v>0.17171144452198184</v>
      </c>
      <c r="AU90" s="408">
        <f>IFERROR(AU89/AS89-1,"NM")</f>
        <v>3.7174394745242978E-4</v>
      </c>
      <c r="AV90" s="408">
        <f>IFERROR(AV89/AU89-1,"NM")</f>
        <v>-0.1691479400749063</v>
      </c>
      <c r="AW90" s="408">
        <f>IFERROR(AW89/AV89-1,"NM")</f>
        <v>1.4650363441708336E-2</v>
      </c>
      <c r="AX90" s="408">
        <f>IFERROR(AX89/AW89-1,"NM")</f>
        <v>-0.1225079135891598</v>
      </c>
      <c r="AY90" s="295">
        <f>IFERROR(AY89/AT89-1,"NM")</f>
        <v>-0.11375471461616482</v>
      </c>
      <c r="AZ90" s="408">
        <f>IFERROR(AZ89/AX89-1,"NM")</f>
        <v>0.12815644579456986</v>
      </c>
      <c r="BA90" s="408">
        <f>IFERROR(BA89/AZ89-1,"NM")</f>
        <v>4.7122181083810277E-2</v>
      </c>
      <c r="BB90" s="408">
        <f>IFERROR(BB89/BA89-1,"NM")</f>
        <v>0.17861352191149682</v>
      </c>
      <c r="BC90" s="408">
        <f>IFERROR(BC89/BB89-1,"NM")</f>
        <v>0.12922727272727275</v>
      </c>
      <c r="BD90" s="295">
        <f>IFERROR(BD89/AY89-1,"NM")</f>
        <v>0.14290612356853871</v>
      </c>
      <c r="BE90" s="409">
        <v>0.04</v>
      </c>
      <c r="BF90" s="409">
        <v>0.04</v>
      </c>
      <c r="BG90" s="409">
        <v>0.04</v>
      </c>
      <c r="BH90" s="409">
        <v>2.7E-2</v>
      </c>
      <c r="BI90" s="295">
        <f>IFERROR(BI89/BD89-1,"NM")</f>
        <v>0.10042483200000007</v>
      </c>
    </row>
    <row r="91" spans="1:64">
      <c r="A91" s="5"/>
      <c r="B91" s="263"/>
      <c r="C91" s="263"/>
      <c r="D91" s="263"/>
      <c r="E91" s="263"/>
      <c r="F91" s="52"/>
      <c r="G91" s="263"/>
      <c r="H91" s="263"/>
      <c r="I91" s="263"/>
      <c r="J91" s="263"/>
      <c r="K91" s="52"/>
      <c r="L91" s="263"/>
      <c r="M91" s="263"/>
      <c r="N91" s="263"/>
      <c r="O91" s="263"/>
      <c r="P91" s="52"/>
      <c r="Q91" s="263"/>
      <c r="R91" s="263"/>
      <c r="S91" s="263"/>
      <c r="T91" s="263"/>
      <c r="U91" s="52"/>
      <c r="V91" s="263"/>
      <c r="W91" s="263"/>
      <c r="X91" s="263"/>
      <c r="Y91" s="263"/>
      <c r="Z91" s="52"/>
      <c r="AA91" s="263"/>
      <c r="AB91" s="264"/>
      <c r="AC91" s="264"/>
      <c r="AD91" s="263"/>
      <c r="AE91" s="52"/>
      <c r="AF91" s="263"/>
      <c r="AG91" s="264"/>
      <c r="AH91" s="51"/>
      <c r="AI91" s="263"/>
      <c r="AJ91" s="52"/>
      <c r="AK91" s="263"/>
      <c r="AL91" s="264"/>
      <c r="AM91" s="51"/>
      <c r="AN91" s="263"/>
      <c r="AO91" s="52"/>
      <c r="AP91" s="263"/>
      <c r="AQ91" s="264"/>
      <c r="AR91" s="51"/>
      <c r="AS91" s="263"/>
      <c r="AT91" s="52"/>
      <c r="AU91" s="263"/>
      <c r="AV91" s="264"/>
      <c r="AW91" s="51"/>
      <c r="AX91" s="263"/>
      <c r="AY91" s="52"/>
      <c r="AZ91" s="263"/>
      <c r="BA91" s="264"/>
      <c r="BB91" s="51"/>
      <c r="BC91" s="51"/>
      <c r="BD91" s="52"/>
      <c r="BE91" s="51"/>
      <c r="BF91" s="51"/>
      <c r="BG91" s="51"/>
      <c r="BH91" s="51"/>
      <c r="BI91" s="52"/>
    </row>
    <row r="92" spans="1:64">
      <c r="A92" s="5" t="s">
        <v>205</v>
      </c>
      <c r="B92" s="263">
        <f>Cash_Flow_Qtr!B84</f>
        <v>0.91</v>
      </c>
      <c r="C92" s="263">
        <f>Cash_Flow_Qtr!C84</f>
        <v>0.91</v>
      </c>
      <c r="D92" s="263">
        <f>Cash_Flow_Qtr!D84</f>
        <v>0.91</v>
      </c>
      <c r="E92" s="263">
        <f>Cash_Flow_Qtr!E84</f>
        <v>1.0900000000000001</v>
      </c>
      <c r="F92" s="269">
        <f>Cash_Flow_Qtr!F84</f>
        <v>3.8200000000000003</v>
      </c>
      <c r="G92" s="263">
        <f>Cash_Flow_Qtr!G84</f>
        <v>1.0900000000000001</v>
      </c>
      <c r="H92" s="263">
        <f>Cash_Flow_Qtr!H84</f>
        <v>1.0900000000000001</v>
      </c>
      <c r="I92" s="263">
        <f>Cash_Flow_Qtr!I84</f>
        <v>1.0900000000000001</v>
      </c>
      <c r="J92" s="263">
        <f>Cash_Flow_Qtr!J84</f>
        <v>1.42</v>
      </c>
      <c r="K92" s="269">
        <f>Cash_Flow_Qtr!K84</f>
        <v>4.6900000000000004</v>
      </c>
      <c r="L92" s="263">
        <f>Cash_Flow_Qtr!L84</f>
        <v>1.42</v>
      </c>
      <c r="M92" s="263">
        <f>Cash_Flow_Qtr!M84</f>
        <v>1.42</v>
      </c>
      <c r="N92" s="263">
        <f>Cash_Flow_Qtr!N84</f>
        <v>1.42</v>
      </c>
      <c r="O92" s="263">
        <f>Cash_Flow_Qtr!O84</f>
        <v>1.71</v>
      </c>
      <c r="P92" s="269">
        <f>Cash_Flow_Qtr!P84</f>
        <v>5.97</v>
      </c>
      <c r="Q92" s="263">
        <f>Cash_Flow_Qtr!Q84</f>
        <v>1.71</v>
      </c>
      <c r="R92" s="263">
        <f>Cash_Flow_Qtr!R84</f>
        <v>1.71</v>
      </c>
      <c r="S92" s="263">
        <f>Cash_Flow_Qtr!S84</f>
        <v>1.71</v>
      </c>
      <c r="T92" s="263">
        <f>Cash_Flow_Qtr!T84</f>
        <v>2.0550000000000002</v>
      </c>
      <c r="U92" s="269">
        <f>Cash_Flow_Qtr!U84</f>
        <v>7.1850000000000005</v>
      </c>
      <c r="V92" s="263">
        <f>Cash_Flow_Qtr!V84</f>
        <v>2.0550000000000002</v>
      </c>
      <c r="W92" s="263">
        <f>Cash_Flow_Qtr!W84</f>
        <v>2.0550000000000002</v>
      </c>
      <c r="X92" s="263">
        <f>Cash_Flow_Qtr!X84</f>
        <v>2.0550000000000002</v>
      </c>
      <c r="Y92" s="263">
        <f>Cash_Flow_Qtr!Y84</f>
        <v>2.0550000000000002</v>
      </c>
      <c r="Z92" s="269">
        <f>Cash_Flow_Qtr!Z84</f>
        <v>8.2200000000000006</v>
      </c>
      <c r="AA92" s="263">
        <f>Cash_Flow_Qtr!AA84</f>
        <v>0</v>
      </c>
      <c r="AB92" s="263">
        <f>Cash_Flow_Qtr!AB84</f>
        <v>0</v>
      </c>
      <c r="AC92" s="263">
        <f>Cash_Flow_Qtr!AC84</f>
        <v>0</v>
      </c>
      <c r="AD92" s="263">
        <f>Cash_Flow_Qtr!AD84</f>
        <v>0</v>
      </c>
      <c r="AE92" s="269">
        <f>Cash_Flow_Qtr!AE84</f>
        <v>0</v>
      </c>
      <c r="AF92" s="263">
        <f>Cash_Flow_Qtr!AF84</f>
        <v>0</v>
      </c>
      <c r="AG92" s="263">
        <f>Cash_Flow_Qtr!AG84</f>
        <v>0</v>
      </c>
      <c r="AH92" s="263">
        <f>Cash_Flow_Qtr!AH84</f>
        <v>0</v>
      </c>
      <c r="AI92" s="263">
        <f>Cash_Flow_Qtr!AI84</f>
        <v>0</v>
      </c>
      <c r="AJ92" s="269">
        <f>Cash_Flow_Qtr!AJ84</f>
        <v>0</v>
      </c>
      <c r="AK92" s="263">
        <f>Cash_Flow_Qtr!AK84</f>
        <v>0</v>
      </c>
      <c r="AL92" s="263">
        <f>Cash_Flow_Qtr!AL84</f>
        <v>0</v>
      </c>
      <c r="AM92" s="263">
        <f>Cash_Flow_Qtr!AM84</f>
        <v>0</v>
      </c>
      <c r="AN92" s="263">
        <f>Cash_Flow_Qtr!AN84</f>
        <v>0</v>
      </c>
      <c r="AO92" s="269">
        <f>Cash_Flow_Qtr!AO84</f>
        <v>0</v>
      </c>
      <c r="AP92" s="263">
        <f>Cash_Flow_Qtr!AP84</f>
        <v>0</v>
      </c>
      <c r="AQ92" s="263">
        <f>Cash_Flow_Qtr!AQ84</f>
        <v>0</v>
      </c>
      <c r="AR92" s="263">
        <f>Cash_Flow_Qtr!AR84</f>
        <v>0</v>
      </c>
      <c r="AS92" s="263">
        <f>Cash_Flow_Qtr!AS84</f>
        <v>0</v>
      </c>
      <c r="AT92" s="269">
        <f>Cash_Flow_Qtr!AT84</f>
        <v>0</v>
      </c>
      <c r="AU92" s="263">
        <f>Cash_Flow_Qtr!AU84</f>
        <v>0</v>
      </c>
      <c r="AV92" s="263">
        <f>Cash_Flow_Qtr!AV84</f>
        <v>0</v>
      </c>
      <c r="AW92" s="263">
        <f>Cash_Flow_Qtr!AW84</f>
        <v>0</v>
      </c>
      <c r="AX92" s="263">
        <f>Cash_Flow_Qtr!AX84</f>
        <v>0</v>
      </c>
      <c r="AY92" s="269">
        <f>Cash_Flow_Qtr!AY84</f>
        <v>0</v>
      </c>
      <c r="AZ92" s="263">
        <f>Cash_Flow_Qtr!AZ84</f>
        <v>0</v>
      </c>
      <c r="BA92" s="263">
        <f>Cash_Flow_Qtr!BA84</f>
        <v>0</v>
      </c>
      <c r="BB92" s="263">
        <f>Cash_Flow_Qtr!BB84</f>
        <v>0</v>
      </c>
      <c r="BC92" s="263">
        <f>Cash_Flow_Qtr!BM84</f>
        <v>0</v>
      </c>
      <c r="BD92" s="269">
        <f>Cash_Flow_Qtr!BN84</f>
        <v>0</v>
      </c>
      <c r="BE92" s="263">
        <f>Cash_Flow_Qtr!BE84</f>
        <v>0</v>
      </c>
      <c r="BF92" s="263">
        <f>Cash_Flow_Qtr!BF84</f>
        <v>0</v>
      </c>
      <c r="BG92" s="263">
        <f>Cash_Flow_Qtr!BG84</f>
        <v>0</v>
      </c>
      <c r="BH92" s="263">
        <f>Cash_Flow_Qtr!BH84</f>
        <v>0</v>
      </c>
      <c r="BI92" s="269">
        <f>Cash_Flow_Qtr!BI84</f>
        <v>0</v>
      </c>
    </row>
    <row r="93" spans="1:64">
      <c r="A93" s="1" t="s">
        <v>4</v>
      </c>
      <c r="B93" s="34"/>
      <c r="C93" s="35"/>
      <c r="D93" s="35"/>
      <c r="E93" s="35"/>
      <c r="F93" s="182">
        <f>Cash_Flow_Qtr!F85</f>
        <v>0.23225806451612918</v>
      </c>
      <c r="G93" s="70">
        <f>Cash_Flow_Qtr!G85</f>
        <v>0.19780219780219777</v>
      </c>
      <c r="H93" s="272">
        <f>Cash_Flow_Qtr!H85</f>
        <v>0.19780219780219777</v>
      </c>
      <c r="I93" s="272">
        <f>Cash_Flow_Qtr!I85</f>
        <v>0.19780219780219777</v>
      </c>
      <c r="J93" s="272">
        <f>Cash_Flow_Qtr!J85</f>
        <v>0.30275229357798139</v>
      </c>
      <c r="K93" s="182">
        <f>Cash_Flow_Qtr!K85</f>
        <v>0.22774869109947637</v>
      </c>
      <c r="L93" s="70">
        <f>Cash_Flow_Qtr!L85</f>
        <v>0.30275229357798139</v>
      </c>
      <c r="M93" s="272">
        <f>Cash_Flow_Qtr!M85</f>
        <v>0.30275229357798139</v>
      </c>
      <c r="N93" s="272">
        <f>Cash_Flow_Qtr!N85</f>
        <v>0.30275229357798139</v>
      </c>
      <c r="O93" s="272">
        <f>Cash_Flow_Qtr!O85</f>
        <v>0.20422535211267601</v>
      </c>
      <c r="P93" s="182">
        <f>Cash_Flow_Qtr!P85</f>
        <v>0.27292110874200404</v>
      </c>
      <c r="Q93" s="70">
        <f>Cash_Flow_Qtr!Q85</f>
        <v>0.20422535211267601</v>
      </c>
      <c r="R93" s="272">
        <f>Cash_Flow_Qtr!R85</f>
        <v>0.20422535211267601</v>
      </c>
      <c r="S93" s="272">
        <f>Cash_Flow_Qtr!S85</f>
        <v>0.20422535211267601</v>
      </c>
      <c r="T93" s="272">
        <f>Cash_Flow_Qtr!T85</f>
        <v>0.20175438596491246</v>
      </c>
      <c r="U93" s="182">
        <f>Cash_Flow_Qtr!U85</f>
        <v>0.20351758793969865</v>
      </c>
      <c r="V93" s="70">
        <f>Cash_Flow_Qtr!V85</f>
        <v>0.20175438596491246</v>
      </c>
      <c r="W93" s="272">
        <f>Cash_Flow_Qtr!W85</f>
        <v>0.20175438596491246</v>
      </c>
      <c r="X93" s="272">
        <f>Cash_Flow_Qtr!X85</f>
        <v>0.20175438596491246</v>
      </c>
      <c r="Y93" s="272">
        <f>Cash_Flow_Qtr!Y85</f>
        <v>0</v>
      </c>
      <c r="Z93" s="182">
        <f>Cash_Flow_Qtr!Z85</f>
        <v>0.14405010438413357</v>
      </c>
      <c r="AA93" s="70">
        <f>Cash_Flow_Qtr!AA85</f>
        <v>-1</v>
      </c>
      <c r="AB93" s="272">
        <f>Cash_Flow_Qtr!AB85</f>
        <v>-1</v>
      </c>
      <c r="AC93" s="272">
        <f>Cash_Flow_Qtr!AC85</f>
        <v>-1</v>
      </c>
      <c r="AD93" s="272">
        <f>Cash_Flow_Qtr!AD85</f>
        <v>-1</v>
      </c>
      <c r="AE93" s="182">
        <f>Cash_Flow_Qtr!AE85</f>
        <v>-1</v>
      </c>
      <c r="AF93" s="70" t="str">
        <f>Cash_Flow_Qtr!AF85</f>
        <v>NM</v>
      </c>
      <c r="AG93" s="272" t="str">
        <f>Cash_Flow_Qtr!AG85</f>
        <v>NM</v>
      </c>
      <c r="AH93" s="272" t="str">
        <f>Cash_Flow_Qtr!AH85</f>
        <v>NM</v>
      </c>
      <c r="AI93" s="272" t="str">
        <f>Cash_Flow_Qtr!AI85</f>
        <v>NM</v>
      </c>
      <c r="AJ93" s="182" t="str">
        <f>Cash_Flow_Qtr!AJ85</f>
        <v>NM</v>
      </c>
      <c r="AK93" s="70" t="str">
        <f>Cash_Flow_Qtr!AK85</f>
        <v>NM</v>
      </c>
      <c r="AL93" s="272" t="str">
        <f>Cash_Flow_Qtr!AL85</f>
        <v>NM</v>
      </c>
      <c r="AM93" s="272" t="str">
        <f>Cash_Flow_Qtr!AM85</f>
        <v>NM</v>
      </c>
      <c r="AN93" s="272" t="str">
        <f>Cash_Flow_Qtr!AN85</f>
        <v>NM</v>
      </c>
      <c r="AO93" s="182" t="str">
        <f>Cash_Flow_Qtr!AO85</f>
        <v>NM</v>
      </c>
      <c r="AP93" s="70" t="str">
        <f>Cash_Flow_Qtr!AP85</f>
        <v>NM</v>
      </c>
      <c r="AQ93" s="272" t="str">
        <f>Cash_Flow_Qtr!AQ85</f>
        <v>NM</v>
      </c>
      <c r="AR93" s="272" t="str">
        <f>Cash_Flow_Qtr!AR85</f>
        <v>NM</v>
      </c>
      <c r="AS93" s="272" t="str">
        <f>Cash_Flow_Qtr!AS85</f>
        <v>NM</v>
      </c>
      <c r="AT93" s="182" t="str">
        <f>Cash_Flow_Qtr!AT85</f>
        <v>NM</v>
      </c>
      <c r="AU93" s="70" t="str">
        <f>Cash_Flow_Qtr!AU85</f>
        <v>NM</v>
      </c>
      <c r="AV93" s="272" t="str">
        <f>Cash_Flow_Qtr!AV85</f>
        <v>NM</v>
      </c>
      <c r="AW93" s="272" t="str">
        <f>Cash_Flow_Qtr!AW85</f>
        <v>NM</v>
      </c>
      <c r="AX93" s="272" t="str">
        <f>Cash_Flow_Qtr!AX85</f>
        <v>NM</v>
      </c>
      <c r="AY93" s="182" t="str">
        <f>Cash_Flow_Qtr!AY85</f>
        <v>NM</v>
      </c>
      <c r="AZ93" s="70" t="str">
        <f>Cash_Flow_Qtr!AZ85</f>
        <v>NM</v>
      </c>
      <c r="BA93" s="272" t="str">
        <f>Cash_Flow_Qtr!BA85</f>
        <v>NM</v>
      </c>
      <c r="BB93" s="272" t="str">
        <f>Cash_Flow_Qtr!BB85</f>
        <v>NM</v>
      </c>
      <c r="BC93" s="272">
        <f>Cash_Flow_Qtr!BM85</f>
        <v>0</v>
      </c>
      <c r="BD93" s="182">
        <f>Cash_Flow_Qtr!BN85</f>
        <v>0</v>
      </c>
      <c r="BE93" s="272" t="str">
        <f>Cash_Flow_Qtr!BE85</f>
        <v>NM</v>
      </c>
      <c r="BF93" s="272" t="str">
        <f>Cash_Flow_Qtr!BF85</f>
        <v>NM</v>
      </c>
      <c r="BG93" s="272" t="str">
        <f>Cash_Flow_Qtr!BG85</f>
        <v>NM</v>
      </c>
      <c r="BH93" s="272">
        <f>Cash_Flow_Qtr!BR85</f>
        <v>0</v>
      </c>
      <c r="BI93" s="182">
        <f>Cash_Flow_Qtr!BS85</f>
        <v>0</v>
      </c>
    </row>
    <row r="94" spans="1:64">
      <c r="A94" s="2"/>
      <c r="B94" s="45"/>
      <c r="C94" s="46"/>
      <c r="E94" s="46"/>
      <c r="F94" s="44"/>
      <c r="G94" s="45"/>
      <c r="H94" s="46"/>
      <c r="J94" s="46"/>
      <c r="K94" s="44"/>
      <c r="L94" s="45"/>
      <c r="M94" s="46"/>
      <c r="O94" s="46"/>
      <c r="P94" s="44"/>
      <c r="Q94" s="45"/>
      <c r="R94" s="46"/>
      <c r="T94" s="46"/>
      <c r="U94" s="44"/>
      <c r="V94" s="45"/>
      <c r="W94" s="46"/>
      <c r="Y94" s="46"/>
      <c r="Z94" s="44"/>
      <c r="AA94" s="45"/>
      <c r="AB94" s="46"/>
      <c r="AD94" s="46"/>
      <c r="AE94" s="44"/>
      <c r="AF94" s="46"/>
      <c r="AG94" s="46"/>
      <c r="AI94" s="46"/>
      <c r="AJ94" s="44"/>
      <c r="AK94" s="46"/>
      <c r="AL94" s="46"/>
      <c r="AN94" s="46"/>
      <c r="AO94" s="44"/>
      <c r="AP94" s="46"/>
      <c r="AQ94" s="46"/>
      <c r="AS94" s="46"/>
      <c r="AT94" s="44"/>
      <c r="AU94" s="46"/>
      <c r="AV94" s="46"/>
      <c r="AX94" s="46"/>
      <c r="AY94" s="44"/>
      <c r="AZ94" s="46"/>
      <c r="BA94" s="46"/>
      <c r="BC94" s="46"/>
      <c r="BD94" s="44"/>
      <c r="BH94" s="46"/>
      <c r="BI94" s="44"/>
    </row>
    <row r="95" spans="1:64">
      <c r="A95" s="113" t="s">
        <v>17</v>
      </c>
      <c r="B95" s="68"/>
      <c r="C95" s="68"/>
      <c r="D95" s="68"/>
      <c r="E95" s="68"/>
      <c r="F95" s="114"/>
      <c r="G95" s="68"/>
      <c r="H95" s="68"/>
      <c r="I95" s="68"/>
      <c r="J95" s="68"/>
      <c r="K95" s="114"/>
      <c r="L95" s="68"/>
      <c r="M95" s="68"/>
      <c r="N95" s="68"/>
      <c r="O95" s="68"/>
      <c r="P95" s="114"/>
      <c r="Q95" s="68"/>
      <c r="R95" s="68"/>
      <c r="S95" s="68"/>
      <c r="T95" s="68"/>
      <c r="U95" s="114"/>
      <c r="V95" s="68"/>
      <c r="W95" s="68"/>
      <c r="X95" s="68"/>
      <c r="Y95" s="68"/>
      <c r="Z95" s="114"/>
      <c r="AA95" s="68"/>
      <c r="AB95" s="68"/>
      <c r="AC95" s="68"/>
      <c r="AD95" s="68"/>
      <c r="AE95" s="114"/>
      <c r="AF95" s="68"/>
      <c r="AG95" s="68"/>
      <c r="AH95" s="68"/>
      <c r="AI95" s="68"/>
      <c r="AJ95" s="114"/>
      <c r="AK95" s="68"/>
      <c r="AL95" s="68"/>
      <c r="AM95" s="68"/>
      <c r="AN95" s="68"/>
      <c r="AO95" s="114"/>
      <c r="AP95" s="68"/>
      <c r="AQ95" s="68"/>
      <c r="AR95" s="68"/>
      <c r="AS95" s="68"/>
      <c r="AT95" s="114"/>
      <c r="AU95" s="68"/>
      <c r="AV95" s="68"/>
      <c r="AW95" s="68"/>
      <c r="AX95" s="68"/>
      <c r="AY95" s="114"/>
      <c r="AZ95" s="68"/>
      <c r="BA95" s="68"/>
      <c r="BB95" s="68"/>
      <c r="BC95" s="68"/>
      <c r="BD95" s="114"/>
      <c r="BE95" s="68"/>
      <c r="BF95" s="68"/>
      <c r="BG95" s="68"/>
      <c r="BH95" s="68"/>
      <c r="BI95" s="114"/>
    </row>
    <row r="96" spans="1:64">
      <c r="A96" s="1" t="s">
        <v>58</v>
      </c>
      <c r="B96" s="123">
        <f>Cash_Flow_Qtr!B5</f>
        <v>459</v>
      </c>
      <c r="C96" s="37">
        <f>Cash_Flow_Qtr!C5</f>
        <v>453</v>
      </c>
      <c r="D96" s="37">
        <f>Cash_Flow_Qtr!D5</f>
        <v>437</v>
      </c>
      <c r="E96" s="177">
        <f>Cash_Flow_Qtr!E5</f>
        <v>484</v>
      </c>
      <c r="F96" s="38">
        <f>Cash_Flow_Qtr!F5</f>
        <v>1833</v>
      </c>
      <c r="G96" s="123">
        <f>Cash_Flow_Qtr!G5</f>
        <v>443</v>
      </c>
      <c r="H96" s="37">
        <f>Cash_Flow_Qtr!H5</f>
        <v>447</v>
      </c>
      <c r="I96" s="37">
        <f>Cash_Flow_Qtr!I5</f>
        <v>474</v>
      </c>
      <c r="J96" s="177">
        <f>Cash_Flow_Qtr!J5</f>
        <v>546</v>
      </c>
      <c r="K96" s="38">
        <f>Cash_Flow_Qtr!K5</f>
        <v>1910</v>
      </c>
      <c r="L96" s="123">
        <f>Cash_Flow_Qtr!L5</f>
        <v>468</v>
      </c>
      <c r="M96" s="37">
        <f>Cash_Flow_Qtr!M5</f>
        <v>488</v>
      </c>
      <c r="N96" s="37">
        <f>Cash_Flow_Qtr!N5</f>
        <v>514</v>
      </c>
      <c r="O96" s="177">
        <f>Cash_Flow_Qtr!O5</f>
        <v>577</v>
      </c>
      <c r="P96" s="38">
        <f>Cash_Flow_Qtr!P5</f>
        <v>2047</v>
      </c>
      <c r="Q96" s="123">
        <f>Cash_Flow_Qtr!Q5</f>
        <v>501</v>
      </c>
      <c r="R96" s="37">
        <f>Cash_Flow_Qtr!R5</f>
        <v>507</v>
      </c>
      <c r="S96" s="37">
        <f>Cash_Flow_Qtr!S5</f>
        <v>523</v>
      </c>
      <c r="T96" s="177">
        <f>Cash_Flow_Qtr!T5</f>
        <v>583</v>
      </c>
      <c r="U96" s="38">
        <f>Cash_Flow_Qtr!U5</f>
        <v>2114</v>
      </c>
      <c r="V96" s="123">
        <f>Cash_Flow_Qtr!V5</f>
        <v>521</v>
      </c>
      <c r="W96" s="37">
        <f>Cash_Flow_Qtr!W5</f>
        <v>546</v>
      </c>
      <c r="X96" s="37">
        <f>Cash_Flow_Qtr!X5</f>
        <v>576</v>
      </c>
      <c r="Y96" s="177">
        <f>Cash_Flow_Qtr!Y5</f>
        <v>628</v>
      </c>
      <c r="Z96" s="38">
        <f>Cash_Flow_Qtr!Z5</f>
        <v>2271</v>
      </c>
      <c r="AA96" s="123">
        <f>Cash_Flow_Qtr!AA5</f>
        <v>556</v>
      </c>
      <c r="AB96" s="37">
        <f>Cash_Flow_Qtr!AB5</f>
        <v>547</v>
      </c>
      <c r="AC96" s="37">
        <f>Cash_Flow_Qtr!AC5</f>
        <v>565</v>
      </c>
      <c r="AD96" s="177">
        <f>Cash_Flow_Qtr!AD5</f>
        <v>578</v>
      </c>
      <c r="AE96" s="38">
        <f>Cash_Flow_Qtr!AE5</f>
        <v>2246</v>
      </c>
      <c r="AF96" s="37">
        <f>Cash_Flow_Qtr!AF5</f>
        <v>536</v>
      </c>
      <c r="AG96" s="37">
        <f>Cash_Flow_Qtr!AG5</f>
        <v>551</v>
      </c>
      <c r="AH96" s="37">
        <f>Cash_Flow_Qtr!AH5</f>
        <v>523</v>
      </c>
      <c r="AI96" s="177">
        <f>Cash_Flow_Qtr!AI5</f>
        <v>534</v>
      </c>
      <c r="AJ96" s="38">
        <f>Cash_Flow_Qtr!AJ5</f>
        <v>2144</v>
      </c>
      <c r="AK96" s="37">
        <f>Cash_Flow_Qtr!AK5</f>
        <v>486</v>
      </c>
      <c r="AL96" s="37">
        <f>Cash_Flow_Qtr!AL5</f>
        <v>498</v>
      </c>
      <c r="AM96" s="37">
        <f>Cash_Flow_Qtr!AM5</f>
        <v>493</v>
      </c>
      <c r="AN96" s="177">
        <f>Cash_Flow_Qtr!AN5</f>
        <v>502</v>
      </c>
      <c r="AO96" s="38">
        <f>Cash_Flow_Qtr!AO5</f>
        <v>1979</v>
      </c>
      <c r="AP96" s="37">
        <f>Cash_Flow_Qtr!AP5</f>
        <v>457</v>
      </c>
      <c r="AQ96" s="37">
        <f>Cash_Flow_Qtr!AQ5</f>
        <v>456</v>
      </c>
      <c r="AR96" s="37">
        <f>Cash_Flow_Qtr!AR5</f>
        <v>467</v>
      </c>
      <c r="AS96" s="177">
        <f>Cash_Flow_Qtr!AS5</f>
        <v>481</v>
      </c>
      <c r="AT96" s="38">
        <f>Cash_Flow_Qtr!AT5</f>
        <v>1861</v>
      </c>
      <c r="AU96" s="37">
        <f>Cash_Flow_Qtr!AU5</f>
        <v>442</v>
      </c>
      <c r="AV96" s="37">
        <f>Cash_Flow_Qtr!AV5</f>
        <v>441</v>
      </c>
      <c r="AW96" s="37">
        <f>Cash_Flow_Qtr!AW5</f>
        <v>444</v>
      </c>
      <c r="AX96" s="177">
        <f>Cash_Flow_Qtr!AX5</f>
        <v>509</v>
      </c>
      <c r="AY96" s="38">
        <f>Cash_Flow_Qtr!AY5</f>
        <v>1836</v>
      </c>
      <c r="AZ96" s="37">
        <f>Cash_Flow_Qtr!AZ5</f>
        <v>466</v>
      </c>
      <c r="BA96" s="37">
        <f>Cash_Flow_Qtr!BA5</f>
        <v>460</v>
      </c>
      <c r="BB96" s="37">
        <f>Cash_Flow_Qtr!BB5</f>
        <v>491</v>
      </c>
      <c r="BC96" s="37">
        <f>Cash_Flow_Qtr!BC5</f>
        <v>536</v>
      </c>
      <c r="BD96" s="38">
        <f>Cash_Flow_Qtr!BD5</f>
        <v>1953</v>
      </c>
      <c r="BE96" s="37">
        <f>Cash_Flow_Qtr!BE5</f>
        <v>518.43375000000003</v>
      </c>
      <c r="BF96" s="37">
        <f>Cash_Flow_Qtr!BF5</f>
        <v>534.94893205170911</v>
      </c>
      <c r="BG96" s="37">
        <f>Cash_Flow_Qtr!BG5</f>
        <v>551.20617695917304</v>
      </c>
      <c r="BH96" s="37">
        <f>Cash_Flow_Qtr!BH5</f>
        <v>469.14614098911784</v>
      </c>
      <c r="BI96" s="38">
        <f>Cash_Flow_Qtr!BI5</f>
        <v>2073.7350000000001</v>
      </c>
    </row>
    <row r="97" spans="1:63">
      <c r="A97" s="9" t="s">
        <v>39</v>
      </c>
      <c r="B97" s="24">
        <f>B34+B96</f>
        <v>2478</v>
      </c>
      <c r="C97" s="24">
        <f>C34+C96</f>
        <v>2136</v>
      </c>
      <c r="D97" s="24">
        <f>D34+D96</f>
        <v>3017</v>
      </c>
      <c r="E97" s="24">
        <f>F97-SUM(B97:D97)</f>
        <v>1645</v>
      </c>
      <c r="F97" s="25">
        <f>F34+F96</f>
        <v>9276</v>
      </c>
      <c r="G97" s="24">
        <f>G34+G96</f>
        <v>2231</v>
      </c>
      <c r="H97" s="24">
        <f>H34+H96</f>
        <v>28</v>
      </c>
      <c r="I97" s="24">
        <f>I34+I96</f>
        <v>2756</v>
      </c>
      <c r="J97" s="24">
        <f>K97-SUM(G97:I97)</f>
        <v>2729</v>
      </c>
      <c r="K97" s="25">
        <f>K34+K96</f>
        <v>7744</v>
      </c>
      <c r="L97" s="24">
        <f>L34+L96</f>
        <v>2674</v>
      </c>
      <c r="M97" s="24">
        <f>M34+M96</f>
        <v>3018</v>
      </c>
      <c r="N97" s="24">
        <f>N34+N96</f>
        <v>3144</v>
      </c>
      <c r="O97" s="24">
        <f>P97-SUM(L97:N97)</f>
        <v>3555</v>
      </c>
      <c r="P97" s="25">
        <f>P34+P96</f>
        <v>12391</v>
      </c>
      <c r="Q97" s="24">
        <f>Q34+Q96</f>
        <v>3376</v>
      </c>
      <c r="R97" s="24">
        <f>R34+R96</f>
        <v>3217</v>
      </c>
      <c r="S97" s="24">
        <f>S34+S96</f>
        <v>2750</v>
      </c>
      <c r="T97" s="24">
        <f>U97-SUM(Q97:S97)</f>
        <v>4758</v>
      </c>
      <c r="U97" s="25">
        <f>U34+U96</f>
        <v>14101</v>
      </c>
      <c r="V97" s="24">
        <f>V34+V96</f>
        <v>2871</v>
      </c>
      <c r="W97" s="24">
        <f>W34+W96</f>
        <v>-2834</v>
      </c>
      <c r="X97" s="24">
        <f>X34+X96</f>
        <v>1835</v>
      </c>
      <c r="Y97" s="24">
        <f>Z97-SUM(V97:X97)</f>
        <v>-1576</v>
      </c>
      <c r="Z97" s="25">
        <f>Z34+Z96</f>
        <v>296</v>
      </c>
      <c r="AA97" s="24">
        <f>AA34+AA96</f>
        <v>-797</v>
      </c>
      <c r="AB97" s="24">
        <f>AB34+AB96</f>
        <v>-2417</v>
      </c>
      <c r="AC97" s="24">
        <f>AC34+AC96</f>
        <v>164</v>
      </c>
      <c r="AD97" s="24">
        <f>AE97-SUM(AA97:AC97)</f>
        <v>-7471</v>
      </c>
      <c r="AE97" s="25">
        <f>AE34+AE96</f>
        <v>-10521</v>
      </c>
      <c r="AF97" s="24">
        <f>AF34+AF96</f>
        <v>453</v>
      </c>
      <c r="AG97" s="24">
        <f>AG34+AG96</f>
        <v>1574</v>
      </c>
      <c r="AH97" s="24">
        <f>AH34+AH96</f>
        <v>852</v>
      </c>
      <c r="AI97" s="24">
        <f>AJ97-SUM(AF97:AH97)</f>
        <v>-3637</v>
      </c>
      <c r="AJ97" s="25">
        <f t="shared" ref="AJ97:AM97" si="281">AJ34+AJ96</f>
        <v>-758</v>
      </c>
      <c r="AK97" s="24">
        <f t="shared" si="281"/>
        <v>-683</v>
      </c>
      <c r="AL97" s="24">
        <f t="shared" si="281"/>
        <v>1272</v>
      </c>
      <c r="AM97" s="24">
        <f t="shared" si="281"/>
        <v>-2306</v>
      </c>
      <c r="AN97" s="24">
        <f>AO97-SUM(AK97:AM97)</f>
        <v>149</v>
      </c>
      <c r="AO97" s="25">
        <f t="shared" ref="AO97:AR97" si="282">AO34+AO96</f>
        <v>-1568</v>
      </c>
      <c r="AP97" s="24">
        <f t="shared" si="282"/>
        <v>308</v>
      </c>
      <c r="AQ97" s="24">
        <f t="shared" si="282"/>
        <v>357</v>
      </c>
      <c r="AR97" s="24">
        <f t="shared" si="282"/>
        <v>-341</v>
      </c>
      <c r="AS97" s="24">
        <f>AT97-SUM(AP97:AR97)</f>
        <v>764</v>
      </c>
      <c r="AT97" s="25">
        <f t="shared" ref="AT97:AW97" si="283">AT34+AT96</f>
        <v>1088</v>
      </c>
      <c r="AU97" s="24">
        <f t="shared" si="283"/>
        <v>356</v>
      </c>
      <c r="AV97" s="24">
        <f t="shared" si="283"/>
        <v>-649</v>
      </c>
      <c r="AW97" s="24">
        <f t="shared" si="283"/>
        <v>-5317</v>
      </c>
      <c r="AX97" s="24">
        <f>AY97-SUM(AU97:AW97)</f>
        <v>-3261</v>
      </c>
      <c r="AY97" s="25">
        <f t="shared" ref="AY97:BB97" si="284">AY34+AY96</f>
        <v>-8871</v>
      </c>
      <c r="AZ97" s="24">
        <f t="shared" si="284"/>
        <v>927</v>
      </c>
      <c r="BA97" s="24">
        <f t="shared" si="284"/>
        <v>284</v>
      </c>
      <c r="BB97" s="24">
        <f t="shared" si="284"/>
        <v>-4290</v>
      </c>
      <c r="BC97" s="24">
        <f>BC34+BC96</f>
        <v>9313</v>
      </c>
      <c r="BD97" s="25">
        <f>BD34+BD96</f>
        <v>6234</v>
      </c>
      <c r="BE97" s="24">
        <f t="shared" ref="BE97:BG97" si="285">BE34+BE96</f>
        <v>698.76193204005438</v>
      </c>
      <c r="BF97" s="24">
        <f t="shared" si="285"/>
        <v>1015.9959678638552</v>
      </c>
      <c r="BG97" s="24">
        <f t="shared" si="285"/>
        <v>1238.8574381234316</v>
      </c>
      <c r="BH97" s="24">
        <f>BH34+BH96</f>
        <v>1232.1134172272741</v>
      </c>
      <c r="BI97" s="25">
        <f>BI34+BI96</f>
        <v>4185.728755254615</v>
      </c>
    </row>
    <row r="98" spans="1:63">
      <c r="A98" s="1" t="s">
        <v>40</v>
      </c>
      <c r="B98" s="110">
        <f t="shared" ref="B98:AH98" si="286">B97/B10</f>
        <v>0.11187864011919274</v>
      </c>
      <c r="C98" s="111">
        <f t="shared" si="286"/>
        <v>8.7030925314753704E-2</v>
      </c>
      <c r="D98" s="111">
        <f t="shared" si="286"/>
        <v>0.11671631397732987</v>
      </c>
      <c r="E98" s="111">
        <f t="shared" si="286"/>
        <v>6.9783226572773943E-2</v>
      </c>
      <c r="F98" s="112">
        <f t="shared" si="286"/>
        <v>9.6510393907235162E-2</v>
      </c>
      <c r="G98" s="110">
        <f t="shared" si="286"/>
        <v>9.8577235772357719E-2</v>
      </c>
      <c r="H98" s="111">
        <f t="shared" si="286"/>
        <v>1.1310846293678045E-3</v>
      </c>
      <c r="I98" s="111">
        <f t="shared" si="286"/>
        <v>0.11532345802996066</v>
      </c>
      <c r="J98" s="111">
        <f t="shared" si="286"/>
        <v>0.11719488104440437</v>
      </c>
      <c r="K98" s="112">
        <f t="shared" si="286"/>
        <v>8.1885567457254338E-2</v>
      </c>
      <c r="L98" s="110">
        <f t="shared" si="286"/>
        <v>0.12176130413004872</v>
      </c>
      <c r="M98" s="111">
        <f t="shared" si="286"/>
        <v>0.13092707474729948</v>
      </c>
      <c r="N98" s="111">
        <f t="shared" si="286"/>
        <v>0.12979399744044917</v>
      </c>
      <c r="O98" s="111">
        <f t="shared" si="286"/>
        <v>0.14352038756560356</v>
      </c>
      <c r="P98" s="112">
        <f t="shared" si="286"/>
        <v>0.13181213765225255</v>
      </c>
      <c r="Q98" s="110">
        <f t="shared" si="286"/>
        <v>0.14438456932683261</v>
      </c>
      <c r="R98" s="111">
        <f t="shared" si="286"/>
        <v>0.13261604419160689</v>
      </c>
      <c r="S98" s="111">
        <f t="shared" si="286"/>
        <v>0.10936132983377078</v>
      </c>
      <c r="T98" s="111">
        <f t="shared" si="286"/>
        <v>0.1678839843336509</v>
      </c>
      <c r="U98" s="112">
        <f t="shared" si="286"/>
        <v>0.13943852779178656</v>
      </c>
      <c r="V98" s="110">
        <f t="shared" si="286"/>
        <v>0.12527817777195968</v>
      </c>
      <c r="W98" s="111">
        <f t="shared" si="286"/>
        <v>-0.17992508412164307</v>
      </c>
      <c r="X98" s="111">
        <f t="shared" si="286"/>
        <v>9.184184184184184E-2</v>
      </c>
      <c r="Y98" s="111">
        <f t="shared" si="286"/>
        <v>-8.7990620289207747E-2</v>
      </c>
      <c r="Z98" s="112">
        <f t="shared" si="286"/>
        <v>3.8662991940856071E-3</v>
      </c>
      <c r="AA98" s="110">
        <f t="shared" si="286"/>
        <v>-4.7137449727939436E-2</v>
      </c>
      <c r="AB98" s="110">
        <f t="shared" si="286"/>
        <v>-0.20470907089014992</v>
      </c>
      <c r="AC98" s="111">
        <f t="shared" si="286"/>
        <v>1.1599122993139543E-2</v>
      </c>
      <c r="AD98" s="111">
        <f t="shared" si="286"/>
        <v>-0.48817302665969681</v>
      </c>
      <c r="AE98" s="112">
        <f t="shared" si="286"/>
        <v>-0.18090374497059733</v>
      </c>
      <c r="AF98" s="111">
        <f t="shared" si="286"/>
        <v>2.9769336925806664E-2</v>
      </c>
      <c r="AG98" s="110">
        <f>AG97/AG10</f>
        <v>9.2599129309330508E-2</v>
      </c>
      <c r="AH98" s="111">
        <f t="shared" si="286"/>
        <v>5.576646157874067E-2</v>
      </c>
      <c r="AI98" s="111">
        <f t="shared" ref="AI98:AM98" si="287">AI97/AI10</f>
        <v>-0.24585952815520853</v>
      </c>
      <c r="AJ98" s="112">
        <f t="shared" si="287"/>
        <v>-1.2169668946472723E-2</v>
      </c>
      <c r="AK98" s="111">
        <f t="shared" si="287"/>
        <v>-4.8817096705024661E-2</v>
      </c>
      <c r="AL98" s="110">
        <f t="shared" si="287"/>
        <v>7.6254421197769914E-2</v>
      </c>
      <c r="AM98" s="111">
        <f t="shared" si="287"/>
        <v>-0.14452243670092754</v>
      </c>
      <c r="AN98" s="111">
        <f t="shared" ref="AN98:AR98" si="288">AN97/AN10</f>
        <v>7.4574574574574571E-3</v>
      </c>
      <c r="AO98" s="112">
        <f t="shared" si="288"/>
        <v>-2.354071582993034E-2</v>
      </c>
      <c r="AP98" s="111">
        <f t="shared" si="288"/>
        <v>1.7186540929635622E-2</v>
      </c>
      <c r="AQ98" s="110">
        <f t="shared" si="288"/>
        <v>1.8075034175484787E-2</v>
      </c>
      <c r="AR98" s="111">
        <f t="shared" si="288"/>
        <v>-1.8835616438356163E-2</v>
      </c>
      <c r="AS98" s="111">
        <f t="shared" ref="AS98:AW98" si="289">AS97/AS10</f>
        <v>3.4698882732309928E-2</v>
      </c>
      <c r="AT98" s="112">
        <f t="shared" si="289"/>
        <v>1.3985654420649408E-2</v>
      </c>
      <c r="AU98" s="111">
        <f t="shared" si="289"/>
        <v>2.1485907417466352E-2</v>
      </c>
      <c r="AV98" s="110">
        <f t="shared" si="289"/>
        <v>-3.8479781809557689E-2</v>
      </c>
      <c r="AW98" s="111">
        <f t="shared" si="289"/>
        <v>-0.29803811659192825</v>
      </c>
      <c r="AX98" s="111">
        <f t="shared" ref="AX98:BB98" si="290">AX97/AX10</f>
        <v>-0.21394830074793333</v>
      </c>
      <c r="AY98" s="112">
        <f t="shared" si="290"/>
        <v>-0.13336440308492567</v>
      </c>
      <c r="AZ98" s="111">
        <f t="shared" si="290"/>
        <v>4.7548215018465324E-2</v>
      </c>
      <c r="BA98" s="110">
        <f t="shared" si="290"/>
        <v>1.2484065233636644E-2</v>
      </c>
      <c r="BB98" s="111">
        <f t="shared" si="290"/>
        <v>-0.18435754189944134</v>
      </c>
      <c r="BC98" s="111">
        <f>BC97/BC10</f>
        <v>0.38888424920661435</v>
      </c>
      <c r="BD98" s="112">
        <f>BD97/BD10</f>
        <v>6.9682438550015088E-2</v>
      </c>
      <c r="BE98" s="111">
        <f t="shared" ref="BE98:BG98" si="291">BE97/BE11</f>
        <v>2587.4789696161301</v>
      </c>
      <c r="BF98" s="111">
        <f t="shared" si="291"/>
        <v>10364.551096350786</v>
      </c>
      <c r="BG98" s="111">
        <f t="shared" si="291"/>
        <v>16033.537405055797</v>
      </c>
      <c r="BH98" s="111">
        <f>BH97/BH10</f>
        <v>4.9468570591181392E-2</v>
      </c>
      <c r="BI98" s="112">
        <f>BI97/BI10</f>
        <v>4.1976930986819982E-2</v>
      </c>
    </row>
    <row r="99" spans="1:63">
      <c r="A99" s="2"/>
      <c r="B99" s="34"/>
      <c r="C99" s="35"/>
      <c r="D99" s="35"/>
      <c r="E99" s="35"/>
      <c r="F99" s="36"/>
      <c r="G99" s="34"/>
      <c r="H99" s="35"/>
      <c r="I99" s="35"/>
      <c r="J99" s="35"/>
      <c r="K99" s="36"/>
      <c r="L99" s="34"/>
      <c r="M99" s="35"/>
      <c r="N99" s="35"/>
      <c r="O99" s="35"/>
      <c r="P99" s="36"/>
      <c r="Q99" s="34"/>
      <c r="R99" s="35"/>
      <c r="S99" s="35"/>
      <c r="T99" s="35"/>
      <c r="U99" s="36"/>
      <c r="V99" s="34"/>
      <c r="W99" s="35"/>
      <c r="X99" s="35"/>
      <c r="Y99" s="35"/>
      <c r="Z99" s="36"/>
      <c r="AA99" s="195"/>
      <c r="AB99" s="195"/>
      <c r="AC99" s="35"/>
      <c r="AD99" s="35"/>
      <c r="AE99" s="36"/>
      <c r="AF99" s="194"/>
      <c r="AG99" s="195"/>
      <c r="AH99" s="35"/>
      <c r="AI99" s="35"/>
      <c r="AJ99" s="36"/>
      <c r="AK99" s="194"/>
      <c r="AL99" s="195"/>
      <c r="AM99" s="35"/>
      <c r="AN99" s="35"/>
      <c r="AO99" s="36"/>
      <c r="AP99" s="194"/>
      <c r="AQ99" s="195"/>
      <c r="AR99" s="35"/>
      <c r="AS99" s="35"/>
      <c r="AT99" s="36"/>
      <c r="AU99" s="194"/>
      <c r="AV99" s="195"/>
      <c r="AW99" s="35"/>
      <c r="AX99" s="35"/>
      <c r="AY99" s="36"/>
      <c r="AZ99" s="194"/>
      <c r="BA99" s="195"/>
      <c r="BB99" s="35"/>
      <c r="BC99" s="35"/>
      <c r="BD99" s="36"/>
      <c r="BE99" s="35"/>
      <c r="BF99" s="35"/>
      <c r="BG99" s="35"/>
      <c r="BH99" s="35"/>
      <c r="BI99" s="36"/>
    </row>
    <row r="100" spans="1:63">
      <c r="A100" s="1" t="s">
        <v>15</v>
      </c>
      <c r="B100" s="41">
        <f>-16380-2100</f>
        <v>-18480</v>
      </c>
      <c r="C100" s="41">
        <f>-19247-2086</f>
        <v>-21333</v>
      </c>
      <c r="D100" s="41">
        <f>-19393-2191</f>
        <v>-21584</v>
      </c>
      <c r="E100" s="22">
        <f>F100-SUM(B100:D100)</f>
        <v>-20627</v>
      </c>
      <c r="F100" s="43">
        <f>-73446-8578</f>
        <v>-82024</v>
      </c>
      <c r="G100" s="41">
        <f>-16945-2136</f>
        <v>-19081</v>
      </c>
      <c r="H100" s="41">
        <f>-20265-2044</f>
        <v>-22309</v>
      </c>
      <c r="I100" s="41">
        <f>-17907-1983</f>
        <v>-19890</v>
      </c>
      <c r="J100" s="22">
        <f>K100-SUM(G100:I100)</f>
        <v>-19451</v>
      </c>
      <c r="K100" s="43">
        <f>-72713-8018</f>
        <v>-80731</v>
      </c>
      <c r="L100" s="41">
        <f>-16062-1998</f>
        <v>-18060</v>
      </c>
      <c r="M100" s="41">
        <f>-16824-1865</f>
        <v>-18689</v>
      </c>
      <c r="N100" s="41">
        <f>-18050-1879</f>
        <v>-19929</v>
      </c>
      <c r="O100" s="22">
        <f>P100-SUM(L100:N100)</f>
        <v>-19864</v>
      </c>
      <c r="P100" s="43">
        <f>-68879-7663</f>
        <v>-76542</v>
      </c>
      <c r="Q100" s="41">
        <f>-16816-1992</f>
        <v>-18808</v>
      </c>
      <c r="R100" s="41">
        <f>-17436-2083</f>
        <v>-19519</v>
      </c>
      <c r="S100" s="41">
        <f>-18882-2140</f>
        <v>-21022</v>
      </c>
      <c r="T100" s="22">
        <f>U100-SUM(Q100:S100)</f>
        <v>-22072</v>
      </c>
      <c r="U100" s="43">
        <f>-72922-8499</f>
        <v>-81421</v>
      </c>
      <c r="V100" s="41">
        <f>-16238-2389</f>
        <v>-18627</v>
      </c>
      <c r="W100" s="41">
        <f>-15672-2122</f>
        <v>-17794</v>
      </c>
      <c r="X100" s="41">
        <f>-14674-2241</f>
        <v>-16915</v>
      </c>
      <c r="Y100" s="22">
        <f>Z100-SUM(V100:X100)</f>
        <v>-18695</v>
      </c>
      <c r="Z100" s="43">
        <f>-62877-9154</f>
        <v>-72031</v>
      </c>
      <c r="AA100" s="41">
        <f>-14713-2043</f>
        <v>-16756</v>
      </c>
      <c r="AB100" s="41">
        <f>-10378-2589</f>
        <v>-12967</v>
      </c>
      <c r="AC100" s="41">
        <f>-10910-2185</f>
        <v>-13095</v>
      </c>
      <c r="AD100" s="230">
        <f>-10910-2185</f>
        <v>-13095</v>
      </c>
      <c r="AE100" s="78">
        <f>SUM(AA100:AD100)</f>
        <v>-55913</v>
      </c>
      <c r="AF100" s="41">
        <f>-11632-2167</f>
        <v>-13799</v>
      </c>
      <c r="AG100" s="41">
        <f>-12263-2316</f>
        <v>-14579</v>
      </c>
      <c r="AH100" s="41">
        <f>-11271-2288</f>
        <v>-13559</v>
      </c>
      <c r="AI100" s="230">
        <f>-14788-2512</f>
        <v>-17300</v>
      </c>
      <c r="AJ100" s="78">
        <f>SUM(AF100:AI100)</f>
        <v>-59237</v>
      </c>
      <c r="AK100" s="41">
        <f>-11412-2226</f>
        <v>-13638</v>
      </c>
      <c r="AL100" s="41">
        <f>-12284-2269</f>
        <v>-14553</v>
      </c>
      <c r="AM100" s="41">
        <f>-14541-2230</f>
        <v>-16771</v>
      </c>
      <c r="AN100" s="230">
        <f>-15732-2384</f>
        <v>-18116</v>
      </c>
      <c r="AO100" s="78">
        <f>SUM(AK100:AN100)</f>
        <v>-63078</v>
      </c>
      <c r="AP100" s="41">
        <f>-14914-3007</f>
        <v>-17921</v>
      </c>
      <c r="AQ100" s="41">
        <f>-15123-2689</f>
        <v>-17812</v>
      </c>
      <c r="AR100" s="41">
        <f>-(14464+2475)</f>
        <v>-16939</v>
      </c>
      <c r="AS100" s="230">
        <f>-16724-2597</f>
        <v>-19321</v>
      </c>
      <c r="AT100" s="78">
        <f>SUM(AP100:AS100)</f>
        <v>-71993</v>
      </c>
      <c r="AU100" s="41">
        <f>-12064-2629</f>
        <v>-14693</v>
      </c>
      <c r="AV100" s="41">
        <f>-12907-2730</f>
        <v>-15637</v>
      </c>
      <c r="AW100" s="41">
        <f>-18413-2934</f>
        <v>-21347</v>
      </c>
      <c r="AX100" s="230">
        <f>-14010-2821</f>
        <v>-16831</v>
      </c>
      <c r="AY100" s="78">
        <f>SUM(AU100:AX100)</f>
        <v>-68508</v>
      </c>
      <c r="AZ100" s="41">
        <f>-14379-2700</f>
        <v>-17079</v>
      </c>
      <c r="BA100" s="41">
        <f>-17406-2908</f>
        <v>-20314</v>
      </c>
      <c r="BB100" s="41">
        <f>-22737-2908</f>
        <v>-25645</v>
      </c>
      <c r="BC100" s="230">
        <v>-22136</v>
      </c>
      <c r="BD100" s="78">
        <f>SUM(AZ100:BC100)</f>
        <v>-85174</v>
      </c>
      <c r="BE100" s="42">
        <f t="shared" ref="BE100:BG100" si="292">-BE10*(1-BE106)</f>
        <v>-20427.820489014459</v>
      </c>
      <c r="BF100" s="42">
        <f t="shared" si="292"/>
        <v>-20607.670489014457</v>
      </c>
      <c r="BG100" s="42">
        <f t="shared" si="292"/>
        <v>-20681.095489014457</v>
      </c>
      <c r="BH100" s="42">
        <f>-BH10*(1-BH106)</f>
        <v>-20548.27048901446</v>
      </c>
      <c r="BI100" s="78">
        <f>SUM(BE100:BH100)</f>
        <v>-82264.856956057833</v>
      </c>
    </row>
    <row r="101" spans="1:63">
      <c r="A101" s="1" t="s">
        <v>292</v>
      </c>
      <c r="B101" s="41">
        <v>-16</v>
      </c>
      <c r="C101" s="41">
        <v>-17</v>
      </c>
      <c r="D101" s="41">
        <v>-16</v>
      </c>
      <c r="E101" s="22">
        <f>F101-SUM(B101:D101)</f>
        <v>-15</v>
      </c>
      <c r="F101" s="43">
        <v>-64</v>
      </c>
      <c r="G101" s="41">
        <v>-16</v>
      </c>
      <c r="H101" s="41">
        <v>-16</v>
      </c>
      <c r="I101" s="41">
        <v>-14</v>
      </c>
      <c r="J101" s="22">
        <f>K101-SUM(G101:I101)</f>
        <v>-13</v>
      </c>
      <c r="K101" s="43">
        <v>-59</v>
      </c>
      <c r="L101" s="41">
        <v>-13</v>
      </c>
      <c r="M101" s="41">
        <v>-13</v>
      </c>
      <c r="N101" s="41">
        <v>-27</v>
      </c>
      <c r="O101" s="22">
        <f>P101-SUM(L101:N101)</f>
        <v>-17</v>
      </c>
      <c r="P101" s="43">
        <v>-70</v>
      </c>
      <c r="Q101" s="41">
        <v>-16</v>
      </c>
      <c r="R101" s="41">
        <v>-17</v>
      </c>
      <c r="S101" s="41">
        <v>-18</v>
      </c>
      <c r="T101" s="22">
        <f>U101-SUM(Q101:S101)</f>
        <v>-18</v>
      </c>
      <c r="U101" s="43">
        <v>-69</v>
      </c>
      <c r="V101" s="41">
        <v>-18</v>
      </c>
      <c r="W101" s="41">
        <v>-16</v>
      </c>
      <c r="X101" s="41">
        <v>-15</v>
      </c>
      <c r="Y101" s="22">
        <f>Z101-SUM(V101:X101)</f>
        <v>-13</v>
      </c>
      <c r="Z101" s="43">
        <v>-62</v>
      </c>
      <c r="AA101" s="41">
        <v>-12</v>
      </c>
      <c r="AB101" s="41">
        <v>-11</v>
      </c>
      <c r="AC101" s="41">
        <v>-10</v>
      </c>
      <c r="AD101" s="41">
        <v>-10</v>
      </c>
      <c r="AE101" s="78">
        <f>SUM(AA101:AD101)</f>
        <v>-43</v>
      </c>
      <c r="AF101" s="41">
        <v>-9</v>
      </c>
      <c r="AG101" s="41">
        <v>-9</v>
      </c>
      <c r="AH101" s="41">
        <v>-7</v>
      </c>
      <c r="AI101" s="41">
        <v>-7</v>
      </c>
      <c r="AJ101" s="78">
        <f>SUM(AF101:AI101)</f>
        <v>-32</v>
      </c>
      <c r="AK101" s="41">
        <v>-7</v>
      </c>
      <c r="AL101" s="41">
        <v>-6</v>
      </c>
      <c r="AM101" s="41">
        <v>-7</v>
      </c>
      <c r="AN101" s="41">
        <v>-8</v>
      </c>
      <c r="AO101" s="78">
        <f>SUM(AK101:AN101)</f>
        <v>-28</v>
      </c>
      <c r="AP101" s="41">
        <v>0</v>
      </c>
      <c r="AQ101" s="41">
        <v>0</v>
      </c>
      <c r="AR101" s="41"/>
      <c r="AS101" s="41"/>
      <c r="AT101" s="78">
        <f>SUM(AP101:AS101)</f>
        <v>0</v>
      </c>
      <c r="AU101" s="41">
        <v>0</v>
      </c>
      <c r="AV101" s="41">
        <v>0</v>
      </c>
      <c r="AW101" s="41">
        <v>0</v>
      </c>
      <c r="AX101" s="41"/>
      <c r="AY101" s="78">
        <f>SUM(AU101:AX101)</f>
        <v>0</v>
      </c>
      <c r="AZ101" s="41">
        <v>0</v>
      </c>
      <c r="BA101" s="41">
        <v>0</v>
      </c>
      <c r="BB101" s="41">
        <v>0</v>
      </c>
      <c r="BC101" s="41">
        <v>0</v>
      </c>
      <c r="BD101" s="78">
        <f>SUM(AZ101:BC101)</f>
        <v>0</v>
      </c>
      <c r="BE101" s="41">
        <v>0</v>
      </c>
      <c r="BF101" s="41">
        <v>0</v>
      </c>
      <c r="BG101" s="41">
        <v>0</v>
      </c>
      <c r="BH101" s="22">
        <f>BI101-SUM(BE101:BG101)</f>
        <v>0</v>
      </c>
      <c r="BI101" s="266">
        <v>0</v>
      </c>
    </row>
    <row r="102" spans="1:63">
      <c r="A102" s="14" t="s">
        <v>10</v>
      </c>
      <c r="B102" s="167">
        <f>+B100+B101</f>
        <v>-18496</v>
      </c>
      <c r="C102" s="168">
        <f>+C100+C101</f>
        <v>-21350</v>
      </c>
      <c r="D102" s="168">
        <f>+D100+D101</f>
        <v>-21600</v>
      </c>
      <c r="E102" s="77">
        <f>F102-SUM(B102:D102)</f>
        <v>-20642</v>
      </c>
      <c r="F102" s="78">
        <f>+F100+F101</f>
        <v>-82088</v>
      </c>
      <c r="G102" s="167">
        <f>+G100+G101</f>
        <v>-19097</v>
      </c>
      <c r="H102" s="168">
        <f>+H100+H101</f>
        <v>-22325</v>
      </c>
      <c r="I102" s="168">
        <f>+I100+I101</f>
        <v>-19904</v>
      </c>
      <c r="J102" s="77">
        <f>K102-SUM(G102:I102)</f>
        <v>-19464</v>
      </c>
      <c r="K102" s="78">
        <f>+K100+K101</f>
        <v>-80790</v>
      </c>
      <c r="L102" s="167">
        <f>+L100+L101</f>
        <v>-18073</v>
      </c>
      <c r="M102" s="168">
        <f>+M100+M101</f>
        <v>-18702</v>
      </c>
      <c r="N102" s="168">
        <f>+N100+N101</f>
        <v>-19956</v>
      </c>
      <c r="O102" s="77">
        <f>P102-SUM(L102:N102)</f>
        <v>-19881</v>
      </c>
      <c r="P102" s="78">
        <f>+P100+P101</f>
        <v>-76612</v>
      </c>
      <c r="Q102" s="167">
        <f>+Q100+Q101</f>
        <v>-18824</v>
      </c>
      <c r="R102" s="168">
        <f>+R100+R101</f>
        <v>-19536</v>
      </c>
      <c r="S102" s="168">
        <f>+S100+S101</f>
        <v>-21040</v>
      </c>
      <c r="T102" s="77">
        <f>U102-SUM(Q102:S102)</f>
        <v>-22090</v>
      </c>
      <c r="U102" s="78">
        <f>+U100+U101</f>
        <v>-81490</v>
      </c>
      <c r="V102" s="167">
        <f>+V100+V101</f>
        <v>-18645</v>
      </c>
      <c r="W102" s="168">
        <f>+W100+W101</f>
        <v>-17810</v>
      </c>
      <c r="X102" s="168">
        <f>+X100+X101</f>
        <v>-16930</v>
      </c>
      <c r="Y102" s="77">
        <f>Z102-SUM(V102:X102)</f>
        <v>-18708</v>
      </c>
      <c r="Z102" s="78">
        <f>+Z100+Z101</f>
        <v>-72093</v>
      </c>
      <c r="AA102" s="167">
        <f>+AA100+AA101</f>
        <v>-16768</v>
      </c>
      <c r="AB102" s="167">
        <f>+AB100+AB101</f>
        <v>-12978</v>
      </c>
      <c r="AC102" s="167">
        <f>+AC100+AC101</f>
        <v>-13105</v>
      </c>
      <c r="AD102" s="77">
        <f>AE102-SUM(AA102:AC102)</f>
        <v>-13105</v>
      </c>
      <c r="AE102" s="78">
        <f>+AE100+AE101</f>
        <v>-55956</v>
      </c>
      <c r="AF102" s="167">
        <f>+AF100+AF101</f>
        <v>-13808</v>
      </c>
      <c r="AG102" s="167">
        <f>+AG100+AG101</f>
        <v>-14588</v>
      </c>
      <c r="AH102" s="167">
        <f>+AH100+AH101</f>
        <v>-13566</v>
      </c>
      <c r="AI102" s="77">
        <f>AJ102-SUM(AF102:AH102)</f>
        <v>-17307</v>
      </c>
      <c r="AJ102" s="78">
        <f t="shared" ref="AJ102:AM102" si="293">+AJ100+AJ101</f>
        <v>-59269</v>
      </c>
      <c r="AK102" s="167">
        <f t="shared" si="293"/>
        <v>-13645</v>
      </c>
      <c r="AL102" s="167">
        <f t="shared" si="293"/>
        <v>-14559</v>
      </c>
      <c r="AM102" s="167">
        <f t="shared" si="293"/>
        <v>-16778</v>
      </c>
      <c r="AN102" s="77">
        <f>AO102-SUM(AK102:AM102)</f>
        <v>-18124</v>
      </c>
      <c r="AO102" s="78">
        <f t="shared" ref="AO102:AR102" si="294">+AO100+AO101</f>
        <v>-63106</v>
      </c>
      <c r="AP102" s="167">
        <f t="shared" si="294"/>
        <v>-17921</v>
      </c>
      <c r="AQ102" s="167">
        <f t="shared" si="294"/>
        <v>-17812</v>
      </c>
      <c r="AR102" s="167">
        <f t="shared" si="294"/>
        <v>-16939</v>
      </c>
      <c r="AS102" s="77">
        <f>AT102-SUM(AP102:AR102)</f>
        <v>-19321</v>
      </c>
      <c r="AT102" s="78">
        <f t="shared" ref="AT102:AW102" si="295">+AT100+AT101</f>
        <v>-71993</v>
      </c>
      <c r="AU102" s="167">
        <f t="shared" si="295"/>
        <v>-14693</v>
      </c>
      <c r="AV102" s="167">
        <f t="shared" si="295"/>
        <v>-15637</v>
      </c>
      <c r="AW102" s="167">
        <f t="shared" si="295"/>
        <v>-21347</v>
      </c>
      <c r="AX102" s="77">
        <f>AY102-SUM(AU102:AW102)</f>
        <v>-16831</v>
      </c>
      <c r="AY102" s="78">
        <f t="shared" ref="AY102:BB102" si="296">+AY100+AY101</f>
        <v>-68508</v>
      </c>
      <c r="AZ102" s="167">
        <f t="shared" si="296"/>
        <v>-17079</v>
      </c>
      <c r="BA102" s="167">
        <f t="shared" si="296"/>
        <v>-20314</v>
      </c>
      <c r="BB102" s="167">
        <f t="shared" si="296"/>
        <v>-25645</v>
      </c>
      <c r="BC102" s="77">
        <f t="shared" ref="BC102:BG102" si="297">+BC100+BC101</f>
        <v>-22136</v>
      </c>
      <c r="BD102" s="78">
        <f t="shared" si="297"/>
        <v>-85174</v>
      </c>
      <c r="BE102" s="77">
        <f t="shared" si="297"/>
        <v>-20427.820489014459</v>
      </c>
      <c r="BF102" s="77">
        <f t="shared" si="297"/>
        <v>-20607.670489014457</v>
      </c>
      <c r="BG102" s="77">
        <f t="shared" si="297"/>
        <v>-20681.095489014457</v>
      </c>
      <c r="BH102" s="77">
        <f t="shared" ref="BH102:BI102" si="298">+BH100+BH101</f>
        <v>-20548.27048901446</v>
      </c>
      <c r="BI102" s="78">
        <f t="shared" si="298"/>
        <v>-82264.856956057833</v>
      </c>
    </row>
    <row r="103" spans="1:63">
      <c r="A103" s="1" t="s">
        <v>4</v>
      </c>
      <c r="B103" s="34"/>
      <c r="C103" s="35"/>
      <c r="D103" s="35"/>
      <c r="E103" s="35"/>
      <c r="F103" s="36">
        <f>F102/Income_Statement_Annual!P102-1</f>
        <v>6.9522618303106132E-2</v>
      </c>
      <c r="G103" s="34">
        <f t="shared" ref="G103:Z103" si="299">G102/B102-1</f>
        <v>3.2493512110726597E-2</v>
      </c>
      <c r="H103" s="35">
        <f t="shared" si="299"/>
        <v>4.5667447306791509E-2</v>
      </c>
      <c r="I103" s="35">
        <f t="shared" si="299"/>
        <v>-7.8518518518518543E-2</v>
      </c>
      <c r="J103" s="35">
        <f t="shared" si="299"/>
        <v>-5.7068113554888056E-2</v>
      </c>
      <c r="K103" s="36">
        <f t="shared" si="299"/>
        <v>-1.5812298996199181E-2</v>
      </c>
      <c r="L103" s="34">
        <f t="shared" si="299"/>
        <v>-5.3620987589673819E-2</v>
      </c>
      <c r="M103" s="35">
        <f t="shared" si="299"/>
        <v>-0.16228443449048158</v>
      </c>
      <c r="N103" s="35">
        <f t="shared" si="299"/>
        <v>2.612540192926005E-3</v>
      </c>
      <c r="O103" s="35">
        <f t="shared" si="299"/>
        <v>2.1424167694204632E-2</v>
      </c>
      <c r="P103" s="36">
        <f t="shared" si="299"/>
        <v>-5.1714321079341485E-2</v>
      </c>
      <c r="Q103" s="34">
        <f t="shared" si="299"/>
        <v>4.1553698887843771E-2</v>
      </c>
      <c r="R103" s="35">
        <f t="shared" si="299"/>
        <v>4.4594161052293968E-2</v>
      </c>
      <c r="S103" s="35">
        <f t="shared" si="299"/>
        <v>5.431950290639409E-2</v>
      </c>
      <c r="T103" s="35">
        <f t="shared" si="299"/>
        <v>0.11111111111111116</v>
      </c>
      <c r="U103" s="36">
        <f t="shared" si="299"/>
        <v>6.3671487495431611E-2</v>
      </c>
      <c r="V103" s="34">
        <f t="shared" si="299"/>
        <v>-9.5091372715682132E-3</v>
      </c>
      <c r="W103" s="35">
        <f t="shared" si="299"/>
        <v>-8.834971334971331E-2</v>
      </c>
      <c r="X103" s="35">
        <f t="shared" si="299"/>
        <v>-0.19534220532319391</v>
      </c>
      <c r="Y103" s="35">
        <f t="shared" si="299"/>
        <v>-0.15310095065640561</v>
      </c>
      <c r="Z103" s="36">
        <f t="shared" si="299"/>
        <v>-0.1153147625475518</v>
      </c>
      <c r="AA103" s="34">
        <f t="shared" ref="AA103:AG103" si="300">AA102/V102-1</f>
        <v>-0.10067042102440338</v>
      </c>
      <c r="AB103" s="34">
        <f t="shared" si="300"/>
        <v>-0.27130825379000556</v>
      </c>
      <c r="AC103" s="34">
        <f t="shared" si="300"/>
        <v>-0.2259303012404017</v>
      </c>
      <c r="AD103" s="34">
        <f t="shared" si="300"/>
        <v>-0.29949754115886251</v>
      </c>
      <c r="AE103" s="36">
        <f t="shared" si="300"/>
        <v>-0.22383587865673504</v>
      </c>
      <c r="AF103" s="34">
        <f>AF102/AA102-1</f>
        <v>-0.17652671755725191</v>
      </c>
      <c r="AG103" s="34">
        <f t="shared" si="300"/>
        <v>0.12405609492988123</v>
      </c>
      <c r="AH103" s="34">
        <f t="shared" ref="AH103:AR103" si="301">AH102/AC102-1</f>
        <v>3.5177413201068264E-2</v>
      </c>
      <c r="AI103" s="34">
        <f t="shared" si="301"/>
        <v>0.32064097672644021</v>
      </c>
      <c r="AJ103" s="36">
        <f t="shared" si="301"/>
        <v>5.9207234255486352E-2</v>
      </c>
      <c r="AK103" s="34">
        <f t="shared" si="301"/>
        <v>-1.1804750869061409E-2</v>
      </c>
      <c r="AL103" s="34">
        <f t="shared" si="301"/>
        <v>-1.9879352892788749E-3</v>
      </c>
      <c r="AM103" s="34">
        <f t="shared" si="301"/>
        <v>0.23676839156715324</v>
      </c>
      <c r="AN103" s="34">
        <f t="shared" ref="AN103" si="302">AN102/AI102-1</f>
        <v>4.7206332697752318E-2</v>
      </c>
      <c r="AO103" s="36">
        <f t="shared" ref="AO103" si="303">AO102/AJ102-1</f>
        <v>6.4738733570669282E-2</v>
      </c>
      <c r="AP103" s="34">
        <f t="shared" si="301"/>
        <v>0.31337486258702829</v>
      </c>
      <c r="AQ103" s="34">
        <f t="shared" si="301"/>
        <v>0.22343567552716537</v>
      </c>
      <c r="AR103" s="34">
        <f t="shared" si="301"/>
        <v>9.5958993920610691E-3</v>
      </c>
      <c r="AS103" s="34">
        <f t="shared" ref="AS103" si="304">AS102/AN102-1</f>
        <v>6.604502317369243E-2</v>
      </c>
      <c r="AT103" s="36">
        <f t="shared" ref="AT103:AW103" si="305">AT102/AO102-1</f>
        <v>0.14082654581180876</v>
      </c>
      <c r="AU103" s="34">
        <f t="shared" si="305"/>
        <v>-0.18012387701579158</v>
      </c>
      <c r="AV103" s="34">
        <f t="shared" si="305"/>
        <v>-0.1221086907702672</v>
      </c>
      <c r="AW103" s="34">
        <f t="shared" si="305"/>
        <v>0.26022787649802237</v>
      </c>
      <c r="AX103" s="34">
        <f t="shared" ref="AX103" si="306">AX102/AS102-1</f>
        <v>-0.12887531701257704</v>
      </c>
      <c r="AY103" s="36">
        <f t="shared" ref="AY103:BB103" si="307">AY102/AT102-1</f>
        <v>-4.8407484060950412E-2</v>
      </c>
      <c r="AZ103" s="34">
        <f t="shared" si="307"/>
        <v>0.16239025386238337</v>
      </c>
      <c r="BA103" s="34">
        <f t="shared" si="307"/>
        <v>0.29909829251135123</v>
      </c>
      <c r="BB103" s="34">
        <f t="shared" si="307"/>
        <v>0.20133976671195009</v>
      </c>
      <c r="BC103" s="34">
        <f>BC102/AX102-1</f>
        <v>0.31519220486007971</v>
      </c>
      <c r="BD103" s="36">
        <f>BD102/AY102-1</f>
        <v>0.2432708588777952</v>
      </c>
      <c r="BE103" s="34">
        <f t="shared" ref="BE103:BG103" si="308">BE102/AZ102-1</f>
        <v>0.1960782533529164</v>
      </c>
      <c r="BF103" s="34">
        <f t="shared" si="308"/>
        <v>1.445655651346156E-2</v>
      </c>
      <c r="BG103" s="34">
        <f t="shared" si="308"/>
        <v>-0.19356227377600088</v>
      </c>
      <c r="BH103" s="34">
        <f>BH102/BC102-1</f>
        <v>-7.1726125360749071E-2</v>
      </c>
      <c r="BI103" s="36">
        <f>BI102/BD102-1</f>
        <v>-3.4155294384931589E-2</v>
      </c>
    </row>
    <row r="104" spans="1:63">
      <c r="A104" s="2"/>
      <c r="B104" s="34"/>
      <c r="C104" s="35"/>
      <c r="D104" s="35"/>
      <c r="E104" s="35"/>
      <c r="F104" s="36"/>
      <c r="G104" s="34"/>
      <c r="H104" s="35"/>
      <c r="I104" s="35"/>
      <c r="J104" s="35"/>
      <c r="K104" s="36"/>
      <c r="L104" s="34"/>
      <c r="M104" s="35"/>
      <c r="N104" s="35"/>
      <c r="O104" s="35"/>
      <c r="P104" s="36"/>
      <c r="Q104" s="34"/>
      <c r="R104" s="35"/>
      <c r="S104" s="35"/>
      <c r="T104" s="35"/>
      <c r="U104" s="36"/>
      <c r="V104" s="34"/>
      <c r="W104" s="35"/>
      <c r="X104" s="35"/>
      <c r="Y104" s="35"/>
      <c r="Z104" s="36"/>
      <c r="AA104" s="167"/>
      <c r="AB104" s="167"/>
      <c r="AC104" s="35"/>
      <c r="AD104" s="35"/>
      <c r="AE104" s="36"/>
      <c r="AF104" s="35"/>
      <c r="AG104" s="167"/>
      <c r="AH104" s="35"/>
      <c r="AI104" s="35"/>
      <c r="AJ104" s="36"/>
      <c r="AK104" s="35"/>
      <c r="AL104" s="167"/>
      <c r="AM104" s="35"/>
      <c r="AN104" s="35"/>
      <c r="AO104" s="36"/>
      <c r="AP104" s="35"/>
      <c r="AQ104" s="167"/>
      <c r="AR104" s="35"/>
      <c r="AS104" s="35"/>
      <c r="AT104" s="36"/>
      <c r="AU104" s="35"/>
      <c r="AV104" s="167"/>
      <c r="AW104" s="35"/>
      <c r="AX104" s="35"/>
      <c r="AY104" s="36"/>
      <c r="AZ104" s="35"/>
      <c r="BA104" s="167"/>
      <c r="BB104" s="35"/>
      <c r="BC104" s="35"/>
      <c r="BD104" s="36"/>
      <c r="BE104" s="35"/>
      <c r="BF104" s="35"/>
      <c r="BG104" s="35"/>
      <c r="BH104" s="35"/>
      <c r="BI104" s="36"/>
    </row>
    <row r="105" spans="1:63">
      <c r="A105" s="5" t="s">
        <v>13</v>
      </c>
      <c r="B105" s="77">
        <f>B10+B100</f>
        <v>3669</v>
      </c>
      <c r="C105" s="77">
        <f>C10+C100</f>
        <v>3210</v>
      </c>
      <c r="D105" s="77">
        <f>D10+D100</f>
        <v>4265</v>
      </c>
      <c r="E105" s="77">
        <f>+F105-SUM(B105:D105)</f>
        <v>2946</v>
      </c>
      <c r="F105" s="78">
        <f>F10+F100</f>
        <v>14090</v>
      </c>
      <c r="G105" s="77">
        <f>G10+G100</f>
        <v>3551</v>
      </c>
      <c r="H105" s="77">
        <f>H10+H100</f>
        <v>2446</v>
      </c>
      <c r="I105" s="77">
        <f>I10+I100</f>
        <v>4008</v>
      </c>
      <c r="J105" s="77">
        <f>+K105-SUM(G105:I105)</f>
        <v>3835</v>
      </c>
      <c r="K105" s="78">
        <f>K10+K100</f>
        <v>13840</v>
      </c>
      <c r="L105" s="77">
        <f>L10+L100</f>
        <v>3901</v>
      </c>
      <c r="M105" s="77">
        <f>M10+M100</f>
        <v>4362</v>
      </c>
      <c r="N105" s="77">
        <f>N10+N100</f>
        <v>4294</v>
      </c>
      <c r="O105" s="77">
        <f>+P105-SUM(L105:N105)</f>
        <v>4906</v>
      </c>
      <c r="P105" s="78">
        <f>P10+P100</f>
        <v>17463</v>
      </c>
      <c r="Q105" s="77">
        <f>Q10+Q100</f>
        <v>4574</v>
      </c>
      <c r="R105" s="77">
        <f>R10+R100</f>
        <v>4739</v>
      </c>
      <c r="S105" s="77">
        <f>S10+S100</f>
        <v>4124</v>
      </c>
      <c r="T105" s="77">
        <f>+U105-SUM(Q105:S105)</f>
        <v>6269</v>
      </c>
      <c r="U105" s="78">
        <f>U10+U100</f>
        <v>19706</v>
      </c>
      <c r="V105" s="77">
        <f>V10+V100</f>
        <v>4290</v>
      </c>
      <c r="W105" s="77">
        <f>W10+W100</f>
        <v>-2043</v>
      </c>
      <c r="X105" s="77">
        <f>X10+X100</f>
        <v>3065</v>
      </c>
      <c r="Y105" s="77">
        <f>+Z105-SUM(V105:X105)</f>
        <v>-784</v>
      </c>
      <c r="Z105" s="78">
        <f t="shared" ref="Z105:AE105" si="309">Z10+Z100</f>
        <v>4528</v>
      </c>
      <c r="AA105" s="77">
        <f t="shared" si="309"/>
        <v>152</v>
      </c>
      <c r="AB105" s="77">
        <f t="shared" si="309"/>
        <v>-1160</v>
      </c>
      <c r="AC105" s="77">
        <f t="shared" si="309"/>
        <v>1044</v>
      </c>
      <c r="AD105" s="77">
        <f t="shared" si="309"/>
        <v>2209</v>
      </c>
      <c r="AE105" s="78">
        <f t="shared" si="309"/>
        <v>2245</v>
      </c>
      <c r="AF105" s="77">
        <f t="shared" ref="AF105:AM105" si="310">AF10+AF100</f>
        <v>1418</v>
      </c>
      <c r="AG105" s="77">
        <f t="shared" si="310"/>
        <v>2419</v>
      </c>
      <c r="AH105" s="77">
        <f t="shared" si="310"/>
        <v>1719</v>
      </c>
      <c r="AI105" s="77">
        <f t="shared" si="310"/>
        <v>-2507</v>
      </c>
      <c r="AJ105" s="78">
        <f t="shared" si="310"/>
        <v>3049</v>
      </c>
      <c r="AK105" s="77">
        <f t="shared" si="310"/>
        <v>353</v>
      </c>
      <c r="AL105" s="77">
        <f t="shared" si="310"/>
        <v>2128</v>
      </c>
      <c r="AM105" s="77">
        <f t="shared" si="310"/>
        <v>-815</v>
      </c>
      <c r="AN105" s="77">
        <f t="shared" ref="AN105:AR105" si="311">AN10+AN100</f>
        <v>1864</v>
      </c>
      <c r="AO105" s="78">
        <f t="shared" si="311"/>
        <v>3530</v>
      </c>
      <c r="AP105" s="77">
        <f t="shared" si="311"/>
        <v>0</v>
      </c>
      <c r="AQ105" s="77">
        <f t="shared" si="311"/>
        <v>1939</v>
      </c>
      <c r="AR105" s="77">
        <f t="shared" si="311"/>
        <v>1165</v>
      </c>
      <c r="AS105" s="77">
        <f t="shared" ref="AS105:AW105" si="312">AS10+AS100</f>
        <v>2697</v>
      </c>
      <c r="AT105" s="78">
        <f t="shared" si="312"/>
        <v>5801</v>
      </c>
      <c r="AU105" s="77">
        <f t="shared" si="312"/>
        <v>1876</v>
      </c>
      <c r="AV105" s="77">
        <f t="shared" si="312"/>
        <v>1229</v>
      </c>
      <c r="AW105" s="77">
        <f t="shared" si="312"/>
        <v>-3507</v>
      </c>
      <c r="AX105" s="77">
        <f t="shared" ref="AX105:BB105" si="313">AX10+AX100</f>
        <v>-1589</v>
      </c>
      <c r="AY105" s="78">
        <f t="shared" si="313"/>
        <v>-1991</v>
      </c>
      <c r="AZ105" s="77">
        <f t="shared" si="313"/>
        <v>2417</v>
      </c>
      <c r="BA105" s="77">
        <f t="shared" si="313"/>
        <v>2435</v>
      </c>
      <c r="BB105" s="77">
        <f t="shared" si="313"/>
        <v>-2375</v>
      </c>
      <c r="BC105" s="77">
        <f>BD105-SUM(AZ105:BB105)</f>
        <v>1812</v>
      </c>
      <c r="BD105" s="78">
        <f t="shared" ref="BD105" si="314">BD10+BD100</f>
        <v>4289</v>
      </c>
      <c r="BE105" s="77">
        <f t="shared" ref="BE105:BG105" si="315">BE10*BE106</f>
        <v>4333.1740431242788</v>
      </c>
      <c r="BF105" s="77">
        <f t="shared" si="315"/>
        <v>4371.3240431242793</v>
      </c>
      <c r="BG105" s="77">
        <f t="shared" si="315"/>
        <v>4386.8990431242792</v>
      </c>
      <c r="BH105" s="77">
        <f>BI105-SUM(BE105:BG105)</f>
        <v>4358.724043124279</v>
      </c>
      <c r="BI105" s="78">
        <f>BI10*BI106</f>
        <v>17450.121172497114</v>
      </c>
    </row>
    <row r="106" spans="1:63">
      <c r="A106" s="1" t="s">
        <v>12</v>
      </c>
      <c r="B106" s="34">
        <f t="shared" ref="B106:AB106" si="316">B105/B10</f>
        <v>0.16565081945008803</v>
      </c>
      <c r="C106" s="35">
        <f t="shared" si="316"/>
        <v>0.13079085686346412</v>
      </c>
      <c r="D106" s="35">
        <f t="shared" si="316"/>
        <v>0.16499671167163141</v>
      </c>
      <c r="E106" s="35">
        <f t="shared" si="316"/>
        <v>0.12497348661604378</v>
      </c>
      <c r="F106" s="36">
        <f t="shared" si="316"/>
        <v>0.14659674969307282</v>
      </c>
      <c r="G106" s="34">
        <f t="shared" si="316"/>
        <v>0.15690173206079888</v>
      </c>
      <c r="H106" s="35">
        <f t="shared" si="316"/>
        <v>9.8808321551201783E-2</v>
      </c>
      <c r="I106" s="35">
        <f t="shared" si="316"/>
        <v>0.16771277931207632</v>
      </c>
      <c r="J106" s="35">
        <f t="shared" si="316"/>
        <v>0.16469123078244438</v>
      </c>
      <c r="K106" s="36">
        <f t="shared" si="316"/>
        <v>0.14634507407133265</v>
      </c>
      <c r="L106" s="34">
        <f t="shared" si="316"/>
        <v>0.17763307681799553</v>
      </c>
      <c r="M106" s="35">
        <f t="shared" si="316"/>
        <v>0.18923257125504317</v>
      </c>
      <c r="N106" s="35">
        <f t="shared" si="316"/>
        <v>0.17726953721669489</v>
      </c>
      <c r="O106" s="35">
        <f t="shared" si="316"/>
        <v>0.19806217198223658</v>
      </c>
      <c r="P106" s="36">
        <f t="shared" si="316"/>
        <v>0.18576671453646082</v>
      </c>
      <c r="Q106" s="34">
        <f t="shared" si="316"/>
        <v>0.19562056282610554</v>
      </c>
      <c r="R106" s="35">
        <f t="shared" si="316"/>
        <v>0.1953582323357243</v>
      </c>
      <c r="S106" s="35">
        <f t="shared" si="316"/>
        <v>0.16400222699435299</v>
      </c>
      <c r="T106" s="35">
        <f t="shared" si="316"/>
        <v>0.22119896969055433</v>
      </c>
      <c r="U106" s="36">
        <f t="shared" si="316"/>
        <v>0.19486388402701554</v>
      </c>
      <c r="V106" s="34">
        <f t="shared" si="316"/>
        <v>0.18719727713051446</v>
      </c>
      <c r="W106" s="35">
        <f t="shared" si="316"/>
        <v>-0.12970605040949781</v>
      </c>
      <c r="X106" s="35">
        <f t="shared" si="316"/>
        <v>0.15340340340340342</v>
      </c>
      <c r="Y106" s="35">
        <f t="shared" si="316"/>
        <v>-4.3771983697169337E-2</v>
      </c>
      <c r="Z106" s="36">
        <f t="shared" si="316"/>
        <v>5.9143928212228476E-2</v>
      </c>
      <c r="AA106" s="34">
        <f t="shared" si="316"/>
        <v>8.9898273006860652E-3</v>
      </c>
      <c r="AB106" s="34">
        <f t="shared" si="316"/>
        <v>-9.8246802744134831E-2</v>
      </c>
      <c r="AC106" s="34">
        <f t="shared" ref="AC106:AM106" si="317">AC105/AC10</f>
        <v>7.383831954169319E-2</v>
      </c>
      <c r="AD106" s="34">
        <f t="shared" si="317"/>
        <v>0.14434134866701515</v>
      </c>
      <c r="AE106" s="36">
        <f t="shared" si="317"/>
        <v>3.8601740087348256E-2</v>
      </c>
      <c r="AF106" s="34">
        <f t="shared" si="317"/>
        <v>9.318525333508576E-2</v>
      </c>
      <c r="AG106" s="34">
        <f t="shared" si="317"/>
        <v>0.14231086010118837</v>
      </c>
      <c r="AH106" s="34">
        <f t="shared" si="317"/>
        <v>0.11251472705851551</v>
      </c>
      <c r="AI106" s="34">
        <f t="shared" si="317"/>
        <v>-0.16947204759007639</v>
      </c>
      <c r="AJ106" s="36">
        <f t="shared" si="317"/>
        <v>4.8951610313714158E-2</v>
      </c>
      <c r="AK106" s="34">
        <f t="shared" si="317"/>
        <v>2.5230505324851691E-2</v>
      </c>
      <c r="AL106" s="34">
        <f t="shared" si="317"/>
        <v>0.12757028955098615</v>
      </c>
      <c r="AM106" s="34">
        <f t="shared" si="317"/>
        <v>-5.107796440210579E-2</v>
      </c>
      <c r="AN106" s="34">
        <f t="shared" ref="AN106:AR106" si="318">AN105/AN10</f>
        <v>9.3293293293293292E-2</v>
      </c>
      <c r="AO106" s="36">
        <f t="shared" si="318"/>
        <v>5.2996637040595727E-2</v>
      </c>
      <c r="AP106" s="34">
        <f t="shared" si="318"/>
        <v>0</v>
      </c>
      <c r="AQ106" s="34">
        <f t="shared" si="318"/>
        <v>9.8172244443319331E-2</v>
      </c>
      <c r="AR106" s="34">
        <f t="shared" si="318"/>
        <v>6.4350419796730007E-2</v>
      </c>
      <c r="AS106" s="34">
        <f t="shared" ref="AS106:AW106" si="319">AS105/AS10</f>
        <v>0.12249068943591607</v>
      </c>
      <c r="AT106" s="36">
        <f t="shared" si="319"/>
        <v>7.4568732807157367E-2</v>
      </c>
      <c r="AU106" s="34">
        <f t="shared" si="319"/>
        <v>0.11322348964934516</v>
      </c>
      <c r="AV106" s="34">
        <f t="shared" si="319"/>
        <v>7.2868492825803391E-2</v>
      </c>
      <c r="AW106" s="34">
        <f t="shared" si="319"/>
        <v>-0.19658071748878925</v>
      </c>
      <c r="AX106" s="34">
        <f t="shared" ref="AX106:BB106" si="320">AX105/AX10</f>
        <v>-0.10425141057603989</v>
      </c>
      <c r="AY106" s="36">
        <f t="shared" si="320"/>
        <v>-2.9932197784025137E-2</v>
      </c>
      <c r="AZ106" s="34">
        <f t="shared" si="320"/>
        <v>0.12397414854329093</v>
      </c>
      <c r="BA106" s="34">
        <f t="shared" si="320"/>
        <v>0.10703767198558178</v>
      </c>
      <c r="BB106" s="34">
        <f t="shared" si="320"/>
        <v>-0.1020627417275462</v>
      </c>
      <c r="BC106" s="111">
        <f t="shared" ref="BC106:BD106" si="321">BC105/BC10</f>
        <v>7.5663938533489225E-2</v>
      </c>
      <c r="BD106" s="36">
        <f t="shared" si="321"/>
        <v>4.7941607144853182E-2</v>
      </c>
      <c r="BE106" s="193">
        <f>$BI106</f>
        <v>0.17499999999999999</v>
      </c>
      <c r="BF106" s="193">
        <f t="shared" ref="BF106:BG106" si="322">$BI106</f>
        <v>0.17499999999999999</v>
      </c>
      <c r="BG106" s="193">
        <f t="shared" si="322"/>
        <v>0.17499999999999999</v>
      </c>
      <c r="BH106" s="111">
        <f t="shared" ref="BH106" si="323">BH105/BH10</f>
        <v>0.17499999999999999</v>
      </c>
      <c r="BI106" s="212">
        <v>0.17499999999999999</v>
      </c>
      <c r="BK106" s="444"/>
    </row>
    <row r="107" spans="1:63">
      <c r="A107" s="1"/>
      <c r="B107" s="34"/>
      <c r="C107" s="35"/>
      <c r="D107" s="35"/>
      <c r="E107" s="35"/>
      <c r="F107" s="36"/>
      <c r="G107" s="34"/>
      <c r="H107" s="35"/>
      <c r="I107" s="35"/>
      <c r="J107" s="35"/>
      <c r="K107" s="36"/>
      <c r="L107" s="34"/>
      <c r="M107" s="35"/>
      <c r="N107" s="35"/>
      <c r="O107" s="35"/>
      <c r="P107" s="36"/>
      <c r="Q107" s="34"/>
      <c r="R107" s="35"/>
      <c r="S107" s="35"/>
      <c r="T107" s="35"/>
      <c r="U107" s="36"/>
      <c r="V107" s="34"/>
      <c r="W107" s="35"/>
      <c r="X107" s="35"/>
      <c r="Y107" s="35"/>
      <c r="Z107" s="36"/>
      <c r="AA107" s="34"/>
      <c r="AB107" s="34"/>
      <c r="AC107" s="190"/>
      <c r="AD107" s="190"/>
      <c r="AE107" s="36"/>
      <c r="AF107" s="190"/>
      <c r="AG107" s="190"/>
      <c r="AH107" s="190"/>
      <c r="AI107" s="190"/>
      <c r="AJ107" s="36"/>
      <c r="AK107" s="190"/>
      <c r="AL107" s="190"/>
      <c r="AM107" s="190"/>
      <c r="AN107" s="190"/>
      <c r="AO107" s="36"/>
      <c r="AP107" s="190"/>
      <c r="AQ107" s="190"/>
      <c r="AR107" s="190"/>
      <c r="AS107" s="190"/>
      <c r="AT107" s="36"/>
      <c r="AU107" s="190"/>
      <c r="AV107" s="190"/>
      <c r="AW107" s="190"/>
      <c r="AX107" s="190"/>
      <c r="AY107" s="36"/>
      <c r="AZ107" s="190"/>
      <c r="BA107" s="190"/>
      <c r="BB107" s="190"/>
      <c r="BC107" s="190"/>
      <c r="BD107" s="36"/>
      <c r="BE107" s="190"/>
      <c r="BF107" s="190"/>
      <c r="BG107" s="190"/>
      <c r="BH107" s="190"/>
      <c r="BI107" s="36"/>
    </row>
    <row r="108" spans="1:63">
      <c r="A108" s="5" t="s">
        <v>287</v>
      </c>
      <c r="B108" s="34"/>
      <c r="C108" s="35"/>
      <c r="D108" s="35"/>
      <c r="E108" s="35"/>
      <c r="F108" s="36"/>
      <c r="G108" s="34"/>
      <c r="H108" s="35"/>
      <c r="I108" s="35"/>
      <c r="J108" s="35"/>
      <c r="K108" s="36"/>
      <c r="L108" s="34"/>
      <c r="M108" s="35"/>
      <c r="N108" s="35"/>
      <c r="O108" s="35"/>
      <c r="P108" s="36"/>
      <c r="Q108" s="34"/>
      <c r="R108" s="35"/>
      <c r="S108" s="35"/>
      <c r="T108" s="35"/>
      <c r="U108" s="36"/>
      <c r="V108" s="34"/>
      <c r="W108" s="35"/>
      <c r="X108" s="35"/>
      <c r="Y108" s="35"/>
      <c r="Z108" s="36"/>
      <c r="AA108" s="34"/>
      <c r="AB108" s="34"/>
      <c r="AC108" s="190"/>
      <c r="AD108" s="190"/>
      <c r="AE108" s="36"/>
      <c r="AF108" s="190"/>
      <c r="AG108" s="190"/>
      <c r="AH108" s="190"/>
      <c r="AI108" s="190"/>
      <c r="AJ108" s="36"/>
      <c r="AK108" s="190"/>
      <c r="AL108" s="190"/>
      <c r="AM108" s="190"/>
      <c r="AN108" s="190"/>
      <c r="AO108" s="36"/>
      <c r="AP108" s="190"/>
      <c r="AQ108" s="190"/>
      <c r="AR108" s="190"/>
      <c r="AS108" s="190"/>
      <c r="AT108" s="36"/>
      <c r="AU108" s="190"/>
      <c r="AV108" s="190"/>
      <c r="AW108" s="190"/>
      <c r="AX108" s="190"/>
      <c r="AY108" s="36"/>
      <c r="AZ108" s="190"/>
      <c r="BA108" s="190"/>
      <c r="BB108" s="190"/>
      <c r="BC108" s="190"/>
      <c r="BD108" s="36"/>
      <c r="BE108" s="190"/>
      <c r="BF108" s="190"/>
      <c r="BG108" s="190"/>
      <c r="BH108" s="190"/>
      <c r="BI108" s="36"/>
    </row>
    <row r="109" spans="1:63">
      <c r="A109" s="1" t="s">
        <v>295</v>
      </c>
      <c r="B109" s="37">
        <f>BCA_Qtr!B6</f>
        <v>0</v>
      </c>
      <c r="C109" s="37">
        <f>BCA_Qtr!C6</f>
        <v>0</v>
      </c>
      <c r="D109" s="37">
        <f>BCA_Qtr!D6</f>
        <v>0</v>
      </c>
      <c r="E109" s="37">
        <f>BCA_Qtr!E6</f>
        <v>0</v>
      </c>
      <c r="F109" s="38">
        <f>BCA_Qtr!F6</f>
        <v>0</v>
      </c>
      <c r="G109" s="37">
        <f>BCA_Qtr!G6</f>
        <v>659</v>
      </c>
      <c r="H109" s="37">
        <f>BCA_Qtr!H6</f>
        <v>1860</v>
      </c>
      <c r="I109" s="37">
        <f>BCA_Qtr!I6</f>
        <v>633</v>
      </c>
      <c r="J109" s="37">
        <f>BCA_Qtr!J6</f>
        <v>554</v>
      </c>
      <c r="K109" s="38">
        <f>BCA_Qtr!K6</f>
        <v>3706</v>
      </c>
      <c r="L109" s="37">
        <f>BCA_Qtr!L6</f>
        <v>625</v>
      </c>
      <c r="M109" s="37">
        <f>BCA_Qtr!M6</f>
        <v>592</v>
      </c>
      <c r="N109" s="37">
        <f>BCA_Qtr!N6</f>
        <v>538</v>
      </c>
      <c r="O109" s="37">
        <f>BCA_Qtr!O6</f>
        <v>492</v>
      </c>
      <c r="P109" s="38">
        <f>BCA_Qtr!P6</f>
        <v>2247</v>
      </c>
      <c r="Q109" s="37">
        <f>BCA_Qtr!Q6</f>
        <v>549</v>
      </c>
      <c r="R109" s="37">
        <f>BCA_Qtr!R6</f>
        <v>550</v>
      </c>
      <c r="S109" s="37">
        <f>BCA_Qtr!S6</f>
        <v>517</v>
      </c>
      <c r="T109" s="37">
        <f>BCA_Qtr!T6</f>
        <v>572</v>
      </c>
      <c r="U109" s="38">
        <f>BCA_Qtr!U6</f>
        <v>2188</v>
      </c>
      <c r="V109" s="37">
        <f>BCA_Qtr!V6</f>
        <v>564</v>
      </c>
      <c r="W109" s="37">
        <f>BCA_Qtr!W6</f>
        <v>498</v>
      </c>
      <c r="X109" s="37">
        <f>BCA_Qtr!X6</f>
        <v>467</v>
      </c>
      <c r="Y109" s="37">
        <f>BCA_Qtr!Y6</f>
        <v>427</v>
      </c>
      <c r="Z109" s="38">
        <f>BCA_Qtr!Z6</f>
        <v>1956</v>
      </c>
      <c r="AA109" s="37">
        <f>BCA_Qtr!AA6</f>
        <v>425</v>
      </c>
      <c r="AB109" s="37">
        <f>BCA_Qtr!AB6</f>
        <v>361</v>
      </c>
      <c r="AC109" s="37">
        <f>BCA_Qtr!AC6</f>
        <v>321</v>
      </c>
      <c r="AD109" s="37">
        <f>BCA_Qtr!AD6</f>
        <v>278</v>
      </c>
      <c r="AE109" s="38">
        <f>BCA_Qtr!AE6</f>
        <v>1385</v>
      </c>
      <c r="AF109" s="37">
        <f>BCA_Qtr!AF6</f>
        <v>269</v>
      </c>
      <c r="AG109" s="37">
        <f>BCA_Qtr!AG6</f>
        <v>255</v>
      </c>
      <c r="AH109" s="37">
        <f>BCA_Qtr!AH6</f>
        <v>293</v>
      </c>
      <c r="AI109" s="37">
        <f>BCA_Qtr!AI6</f>
        <v>323</v>
      </c>
      <c r="AJ109" s="38">
        <f>BCA_Qtr!AJ6</f>
        <v>1140</v>
      </c>
      <c r="AK109" s="37">
        <f>BCA_Qtr!AK6</f>
        <v>321</v>
      </c>
      <c r="AL109" s="37">
        <f>BCA_Qtr!AL6</f>
        <v>372</v>
      </c>
      <c r="AM109" s="37">
        <f>BCA_Qtr!AM6</f>
        <v>409</v>
      </c>
      <c r="AN109" s="37">
        <f>BCA_Qtr!AN6</f>
        <v>408</v>
      </c>
      <c r="AO109" s="38">
        <f>BCA_Qtr!AO6</f>
        <v>1510</v>
      </c>
      <c r="AP109" s="37">
        <f>BCA_Qtr!AP6</f>
        <v>444</v>
      </c>
      <c r="AQ109" s="37">
        <f>BCA_Qtr!AQ6</f>
        <v>471</v>
      </c>
      <c r="AR109" s="37">
        <f>BCA_Qtr!AR6</f>
        <v>623</v>
      </c>
      <c r="AS109" s="37">
        <f>BCA_Qtr!AS6</f>
        <v>498</v>
      </c>
      <c r="AT109" s="38">
        <f>BCA_Qtr!AT6</f>
        <v>2036</v>
      </c>
      <c r="AU109" s="37">
        <f>BCA_Qtr!AU6</f>
        <v>518</v>
      </c>
      <c r="AV109" s="37">
        <f>BCA_Qtr!AV6</f>
        <v>555</v>
      </c>
      <c r="AW109" s="37">
        <f>BCA_Qtr!AW6</f>
        <v>779</v>
      </c>
      <c r="AX109" s="37">
        <f>BCA_Qtr!AX6</f>
        <v>534</v>
      </c>
      <c r="AY109" s="38">
        <f>BCA_Qtr!AY6</f>
        <v>2386</v>
      </c>
      <c r="AZ109" s="37">
        <f>BCA_Qtr!AZ6</f>
        <v>534</v>
      </c>
      <c r="BA109" s="37">
        <f>BCA_Qtr!BA6</f>
        <v>558</v>
      </c>
      <c r="BB109" s="37">
        <f>BCA_Qtr!BB6</f>
        <v>565</v>
      </c>
      <c r="BC109" s="37">
        <f>BCA_Qtr!BC6</f>
        <v>545</v>
      </c>
      <c r="BD109" s="38">
        <f>BCA_Qtr!BD6</f>
        <v>2202</v>
      </c>
      <c r="BE109" s="37">
        <f>BCA_Qtr!BE6</f>
        <v>587.40000000000009</v>
      </c>
      <c r="BF109" s="37">
        <f>BCA_Qtr!BF6</f>
        <v>613.80000000000007</v>
      </c>
      <c r="BG109" s="37">
        <f>BCA_Qtr!BG6</f>
        <v>621.5</v>
      </c>
      <c r="BH109" s="37">
        <f>BCA_Qtr!BH6</f>
        <v>599.5</v>
      </c>
      <c r="BI109" s="38">
        <f>BCA_Qtr!BI6</f>
        <v>2422.2000000000003</v>
      </c>
    </row>
    <row r="110" spans="1:63">
      <c r="A110" s="1" t="s">
        <v>296</v>
      </c>
      <c r="B110" s="37">
        <f>BDS_Qtr!B6</f>
        <v>0</v>
      </c>
      <c r="C110" s="37">
        <f>BDS_Qtr!C6</f>
        <v>0</v>
      </c>
      <c r="D110" s="37">
        <f>BDS_Qtr!D6</f>
        <v>0</v>
      </c>
      <c r="E110" s="37">
        <f>BDS_Qtr!E6</f>
        <v>0</v>
      </c>
      <c r="F110" s="38">
        <f>BDS_Qtr!F6</f>
        <v>0</v>
      </c>
      <c r="G110" s="37">
        <f>BDS_Qtr!G6</f>
        <v>232</v>
      </c>
      <c r="H110" s="37">
        <f>BDS_Qtr!H6</f>
        <v>233</v>
      </c>
      <c r="I110" s="37">
        <f>BDS_Qtr!I6</f>
        <v>201</v>
      </c>
      <c r="J110" s="37">
        <f>BDS_Qtr!J6</f>
        <v>149</v>
      </c>
      <c r="K110" s="38">
        <f>BDS_Qtr!K6</f>
        <v>815</v>
      </c>
      <c r="L110" s="37">
        <f>BDS_Qtr!L6</f>
        <v>196</v>
      </c>
      <c r="M110" s="37">
        <f>BDS_Qtr!M6</f>
        <v>196</v>
      </c>
      <c r="N110" s="37">
        <f>BDS_Qtr!N6</f>
        <v>207</v>
      </c>
      <c r="O110" s="37">
        <f>BDS_Qtr!O6</f>
        <v>235</v>
      </c>
      <c r="P110" s="38">
        <f>BDS_Qtr!P6</f>
        <v>834</v>
      </c>
      <c r="Q110" s="37">
        <f>BDS_Qtr!Q6</f>
        <v>183</v>
      </c>
      <c r="R110" s="37">
        <f>BDS_Qtr!R6</f>
        <v>219</v>
      </c>
      <c r="S110" s="37">
        <f>BDS_Qtr!S6</f>
        <v>211</v>
      </c>
      <c r="T110" s="37">
        <f>BDS_Qtr!T6</f>
        <v>175</v>
      </c>
      <c r="U110" s="38">
        <f>BDS_Qtr!U6</f>
        <v>788</v>
      </c>
      <c r="V110" s="37">
        <f>BDS_Qtr!V6</f>
        <v>184</v>
      </c>
      <c r="W110" s="37">
        <f>BDS_Qtr!W6</f>
        <v>196</v>
      </c>
      <c r="X110" s="37">
        <f>BDS_Qtr!X6</f>
        <v>185</v>
      </c>
      <c r="Y110" s="37">
        <f>BDS_Qtr!Y6</f>
        <v>193</v>
      </c>
      <c r="Z110" s="38">
        <f>BDS_Qtr!Z6</f>
        <v>758</v>
      </c>
      <c r="AA110" s="37">
        <f>BDS_Qtr!AA6</f>
        <v>163</v>
      </c>
      <c r="AB110" s="37">
        <f>BDS_Qtr!AB6</f>
        <v>167</v>
      </c>
      <c r="AC110" s="37">
        <f>BDS_Qtr!AC6</f>
        <v>164</v>
      </c>
      <c r="AD110" s="37">
        <f>BDS_Qtr!AD6</f>
        <v>219</v>
      </c>
      <c r="AE110" s="38">
        <f>BDS_Qtr!AE6</f>
        <v>713</v>
      </c>
      <c r="AF110" s="37">
        <f>BDS_Qtr!AF6</f>
        <v>163</v>
      </c>
      <c r="AG110" s="37">
        <f>BDS_Qtr!AG6</f>
        <v>174</v>
      </c>
      <c r="AH110" s="37">
        <f>BDS_Qtr!AH6</f>
        <v>193</v>
      </c>
      <c r="AI110" s="37">
        <f>BDS_Qtr!AI6</f>
        <v>288</v>
      </c>
      <c r="AJ110" s="38">
        <f>BDS_Qtr!AJ6</f>
        <v>818</v>
      </c>
      <c r="AK110" s="37">
        <f>BDS_Qtr!AK6</f>
        <v>233</v>
      </c>
      <c r="AL110" s="37">
        <f>BDS_Qtr!AL6</f>
        <v>233</v>
      </c>
      <c r="AM110" s="37">
        <f>BDS_Qtr!AM6</f>
        <v>240</v>
      </c>
      <c r="AN110" s="37">
        <f>BDS_Qtr!AN6</f>
        <v>239</v>
      </c>
      <c r="AO110" s="38">
        <f>BDS_Qtr!AO6</f>
        <v>945</v>
      </c>
      <c r="AP110" s="37">
        <f>BDS_Qtr!AP6</f>
        <v>195</v>
      </c>
      <c r="AQ110" s="37">
        <f>BDS_Qtr!AQ6</f>
        <v>225</v>
      </c>
      <c r="AR110" s="37">
        <f>BDS_Qtr!AR6</f>
        <v>232</v>
      </c>
      <c r="AS110" s="37">
        <f>BDS_Qtr!AS6</f>
        <v>267</v>
      </c>
      <c r="AT110" s="38">
        <f>BDS_Qtr!AT6</f>
        <v>919</v>
      </c>
      <c r="AU110" s="37">
        <f>BDS_Qtr!AU6</f>
        <v>235</v>
      </c>
      <c r="AV110" s="37">
        <f>BDS_Qtr!AV6</f>
        <v>259</v>
      </c>
      <c r="AW110" s="37">
        <f>BDS_Qtr!AW6</f>
        <v>234</v>
      </c>
      <c r="AX110" s="37">
        <f>BDS_Qtr!AX6</f>
        <v>189</v>
      </c>
      <c r="AY110" s="38">
        <f>BDS_Qtr!AY6</f>
        <v>917</v>
      </c>
      <c r="AZ110" s="37">
        <f>BDS_Qtr!AZ6</f>
        <v>199</v>
      </c>
      <c r="BA110" s="37">
        <f>BDS_Qtr!BA6</f>
        <v>221</v>
      </c>
      <c r="BB110" s="37">
        <f>BDS_Qtr!BB6</f>
        <v>198</v>
      </c>
      <c r="BC110" s="37">
        <f>BDS_Qtr!BC6</f>
        <v>259</v>
      </c>
      <c r="BD110" s="38">
        <f>BDS_Qtr!BD6</f>
        <v>877</v>
      </c>
      <c r="BE110" s="37">
        <f>BDS_Qtr!BE6</f>
        <v>204.97</v>
      </c>
      <c r="BF110" s="37">
        <f>BDS_Qtr!BF6</f>
        <v>227.63</v>
      </c>
      <c r="BG110" s="37">
        <f>BDS_Qtr!BG6</f>
        <v>203.94</v>
      </c>
      <c r="BH110" s="37">
        <f>BDS_Qtr!BH6</f>
        <v>266.77</v>
      </c>
      <c r="BI110" s="38">
        <f>BDS_Qtr!BI6</f>
        <v>903.31</v>
      </c>
    </row>
    <row r="111" spans="1:63">
      <c r="A111" s="1" t="s">
        <v>297</v>
      </c>
      <c r="B111" s="37">
        <f>BGS_Qtr!B6</f>
        <v>0</v>
      </c>
      <c r="C111" s="37">
        <f>BGS_Qtr!C6</f>
        <v>0</v>
      </c>
      <c r="D111" s="37">
        <f>BGS_Qtr!D6</f>
        <v>0</v>
      </c>
      <c r="E111" s="37">
        <f>BGS_Qtr!E6</f>
        <v>0</v>
      </c>
      <c r="F111" s="38">
        <f>BGS_Qtr!F6</f>
        <v>0</v>
      </c>
      <c r="G111" s="37">
        <f>BGS_Qtr!G6</f>
        <v>38</v>
      </c>
      <c r="H111" s="37">
        <f>BGS_Qtr!H6</f>
        <v>47</v>
      </c>
      <c r="I111" s="37">
        <f>BGS_Qtr!I6</f>
        <v>41</v>
      </c>
      <c r="J111" s="37">
        <f>BGS_Qtr!J6</f>
        <v>27</v>
      </c>
      <c r="K111" s="38">
        <f>BGS_Qtr!K6</f>
        <v>153</v>
      </c>
      <c r="L111" s="37">
        <f>BGS_Qtr!L6</f>
        <v>28</v>
      </c>
      <c r="M111" s="37">
        <f>BGS_Qtr!M6</f>
        <v>35</v>
      </c>
      <c r="N111" s="37">
        <f>BGS_Qtr!N6</f>
        <v>38</v>
      </c>
      <c r="O111" s="37">
        <f>BGS_Qtr!O6</f>
        <v>39</v>
      </c>
      <c r="P111" s="38">
        <f>BGS_Qtr!P6</f>
        <v>140</v>
      </c>
      <c r="Q111" s="37">
        <v>34</v>
      </c>
      <c r="R111" s="37">
        <f>BGS_Qtr!R6</f>
        <v>37</v>
      </c>
      <c r="S111" s="37">
        <f>BGS_Qtr!S6</f>
        <v>48</v>
      </c>
      <c r="T111" s="37">
        <f>BGS_Qtr!T6</f>
        <v>42</v>
      </c>
      <c r="U111" s="38">
        <f>BGS_Qtr!U6</f>
        <v>161</v>
      </c>
      <c r="V111" s="37">
        <f>BGS_Qtr!V6</f>
        <v>40</v>
      </c>
      <c r="W111" s="37">
        <f>BGS_Qtr!W6</f>
        <v>33</v>
      </c>
      <c r="X111" s="37">
        <f>BGS_Qtr!X6</f>
        <v>29</v>
      </c>
      <c r="Y111" s="37">
        <f>BGS_Qtr!Y6</f>
        <v>19</v>
      </c>
      <c r="Z111" s="38">
        <f>BGS_Qtr!Z6</f>
        <v>121</v>
      </c>
      <c r="AA111" s="37">
        <f>BGS_Qtr!AA6</f>
        <v>30</v>
      </c>
      <c r="AB111" s="37">
        <f>BGS_Qtr!AB6</f>
        <v>35</v>
      </c>
      <c r="AC111" s="37">
        <f>BGS_Qtr!AC6</f>
        <v>45</v>
      </c>
      <c r="AD111" s="37">
        <f>BGS_Qtr!AD6</f>
        <v>28</v>
      </c>
      <c r="AE111" s="38">
        <f>BGS_Qtr!AE6</f>
        <v>138</v>
      </c>
      <c r="AF111" s="37">
        <f>BGS_Qtr!AF6</f>
        <v>25</v>
      </c>
      <c r="AG111" s="37">
        <f>BGS_Qtr!AG6</f>
        <v>25</v>
      </c>
      <c r="AH111" s="37">
        <f>BGS_Qtr!AH6</f>
        <v>30</v>
      </c>
      <c r="AI111" s="37">
        <f>BGS_Qtr!AI6</f>
        <v>27</v>
      </c>
      <c r="AJ111" s="38">
        <f>BGS_Qtr!AJ6</f>
        <v>107</v>
      </c>
      <c r="AK111" s="37">
        <f>BGS_Qtr!AK6</f>
        <v>27</v>
      </c>
      <c r="AL111" s="37">
        <f>BGS_Qtr!AL6</f>
        <v>27</v>
      </c>
      <c r="AM111" s="37">
        <f>BGS_Qtr!AM6</f>
        <v>35</v>
      </c>
      <c r="AN111" s="37">
        <f>BGS_Qtr!AN6</f>
        <v>30</v>
      </c>
      <c r="AO111" s="38">
        <f>BGS_Qtr!AO6</f>
        <v>119</v>
      </c>
      <c r="AP111" s="37">
        <f>BGS_Qtr!AP6</f>
        <v>26</v>
      </c>
      <c r="AQ111" s="37">
        <f>BGS_Qtr!AQ6</f>
        <v>28</v>
      </c>
      <c r="AR111" s="37">
        <f>BGS_Qtr!AR6</f>
        <v>30</v>
      </c>
      <c r="AS111" s="37">
        <f>BGS_Qtr!AS6</f>
        <v>23</v>
      </c>
      <c r="AT111" s="38">
        <f>BGS_Qtr!AT6</f>
        <v>107</v>
      </c>
      <c r="AU111" s="37">
        <f>BGS_Qtr!AU6</f>
        <v>26</v>
      </c>
      <c r="AV111" s="37">
        <f>BGS_Qtr!AV6</f>
        <v>41</v>
      </c>
      <c r="AW111" s="37">
        <f>BGS_Qtr!AW6</f>
        <v>36</v>
      </c>
      <c r="AX111" s="37">
        <f>BGS_Qtr!AX6</f>
        <v>29</v>
      </c>
      <c r="AY111" s="38">
        <f>BGS_Qtr!AY6</f>
        <v>132</v>
      </c>
      <c r="AZ111" s="37">
        <f>BGS_Qtr!AZ6</f>
        <v>29</v>
      </c>
      <c r="BA111" s="37">
        <f>BGS_Qtr!BA6</f>
        <v>30</v>
      </c>
      <c r="BB111" s="37">
        <f>BGS_Qtr!BB6</f>
        <v>32</v>
      </c>
      <c r="BC111" s="37">
        <f>BGS_Qtr!BC6</f>
        <v>34</v>
      </c>
      <c r="BD111" s="38">
        <f>BGS_Qtr!BD6</f>
        <v>125</v>
      </c>
      <c r="BE111" s="37">
        <f>BGS_Qtr!BE6</f>
        <v>29.580000000000002</v>
      </c>
      <c r="BF111" s="37">
        <f>BGS_Qtr!BF6</f>
        <v>30.6</v>
      </c>
      <c r="BG111" s="37">
        <f>BGS_Qtr!BG6</f>
        <v>32.64</v>
      </c>
      <c r="BH111" s="37">
        <f>BGS_Qtr!BH6</f>
        <v>34.68</v>
      </c>
      <c r="BI111" s="38">
        <f>BGS_Qtr!BI6</f>
        <v>127.5</v>
      </c>
    </row>
    <row r="112" spans="1:63" outlineLevel="1">
      <c r="A112" s="1" t="s">
        <v>305</v>
      </c>
      <c r="B112" s="37">
        <v>543</v>
      </c>
      <c r="C112" s="37">
        <v>554</v>
      </c>
      <c r="D112" s="37">
        <v>616</v>
      </c>
      <c r="E112" s="37">
        <v>627</v>
      </c>
      <c r="F112" s="38">
        <v>2340</v>
      </c>
      <c r="G112" s="41">
        <v>0</v>
      </c>
      <c r="H112" s="41">
        <v>0</v>
      </c>
      <c r="I112" s="41">
        <v>0</v>
      </c>
      <c r="J112" s="22">
        <f>K112-SUM(G112:I112)</f>
        <v>0</v>
      </c>
      <c r="K112" s="43">
        <v>0</v>
      </c>
      <c r="L112" s="41">
        <v>0</v>
      </c>
      <c r="M112" s="41">
        <v>0</v>
      </c>
      <c r="N112" s="41">
        <v>0</v>
      </c>
      <c r="O112" s="22">
        <f>P112-SUM(L112:N112)</f>
        <v>0</v>
      </c>
      <c r="P112" s="43">
        <v>0</v>
      </c>
      <c r="Q112" s="41">
        <v>0</v>
      </c>
      <c r="R112" s="41">
        <v>0</v>
      </c>
      <c r="S112" s="41">
        <v>0</v>
      </c>
      <c r="T112" s="22">
        <f>U112-SUM(Q112:S112)</f>
        <v>0</v>
      </c>
      <c r="U112" s="43">
        <v>0</v>
      </c>
      <c r="V112" s="41">
        <v>0</v>
      </c>
      <c r="W112" s="41">
        <v>0</v>
      </c>
      <c r="X112" s="41">
        <v>0</v>
      </c>
      <c r="Y112" s="22">
        <f>Z112-SUM(V112:X112)</f>
        <v>0</v>
      </c>
      <c r="Z112" s="43">
        <v>0</v>
      </c>
      <c r="AA112" s="41">
        <v>0</v>
      </c>
      <c r="AB112" s="41">
        <v>0</v>
      </c>
      <c r="AC112" s="41">
        <v>0</v>
      </c>
      <c r="AD112" s="41">
        <v>0</v>
      </c>
      <c r="AE112" s="23">
        <f>SUM(AA112:AD112)</f>
        <v>0</v>
      </c>
      <c r="AF112" s="41">
        <v>0</v>
      </c>
      <c r="AG112" s="41">
        <v>0</v>
      </c>
      <c r="AH112" s="41">
        <v>0</v>
      </c>
      <c r="AI112" s="41">
        <v>0</v>
      </c>
      <c r="AJ112" s="23">
        <f>SUM(AF112:AI112)</f>
        <v>0</v>
      </c>
      <c r="AK112" s="41">
        <v>0</v>
      </c>
      <c r="AL112" s="41">
        <v>0</v>
      </c>
      <c r="AM112" s="41">
        <v>0</v>
      </c>
      <c r="AN112" s="41">
        <v>0</v>
      </c>
      <c r="AO112" s="23">
        <f>SUM(AK112:AN112)</f>
        <v>0</v>
      </c>
      <c r="AP112" s="41">
        <v>0</v>
      </c>
      <c r="AQ112" s="41">
        <v>0</v>
      </c>
      <c r="AR112" s="41">
        <v>0</v>
      </c>
      <c r="AS112" s="41">
        <v>0</v>
      </c>
      <c r="AT112" s="23">
        <f>SUM(AP112:AS112)</f>
        <v>0</v>
      </c>
      <c r="AU112" s="41">
        <v>0</v>
      </c>
      <c r="AV112" s="41">
        <v>0</v>
      </c>
      <c r="AW112" s="41">
        <v>0</v>
      </c>
      <c r="AX112" s="41">
        <v>0</v>
      </c>
      <c r="AY112" s="23">
        <f>SUM(AU112:AX112)</f>
        <v>0</v>
      </c>
      <c r="AZ112" s="41">
        <v>0</v>
      </c>
      <c r="BA112" s="41">
        <v>0</v>
      </c>
      <c r="BB112" s="41">
        <v>0</v>
      </c>
      <c r="BC112" s="22">
        <f>BD112-SUM(AZ112:BB112)</f>
        <v>0</v>
      </c>
      <c r="BD112" s="43">
        <v>0</v>
      </c>
      <c r="BE112" s="41">
        <v>0</v>
      </c>
      <c r="BF112" s="41">
        <v>0</v>
      </c>
      <c r="BG112" s="41">
        <v>0</v>
      </c>
      <c r="BH112" s="22">
        <f>BI112-SUM(BE112:BG112)</f>
        <v>0</v>
      </c>
      <c r="BI112" s="43">
        <v>0</v>
      </c>
    </row>
    <row r="113" spans="1:62" outlineLevel="1">
      <c r="A113" s="1" t="s">
        <v>306</v>
      </c>
      <c r="B113" s="37">
        <v>224</v>
      </c>
      <c r="C113" s="37">
        <v>250</v>
      </c>
      <c r="D113" s="37">
        <v>241</v>
      </c>
      <c r="E113" s="37">
        <v>271</v>
      </c>
      <c r="F113" s="38">
        <v>986</v>
      </c>
      <c r="G113" s="41">
        <v>0</v>
      </c>
      <c r="H113" s="41">
        <v>0</v>
      </c>
      <c r="I113" s="41">
        <v>0</v>
      </c>
      <c r="J113" s="22">
        <f>K113-SUM(G113:I113)</f>
        <v>0</v>
      </c>
      <c r="K113" s="43">
        <v>0</v>
      </c>
      <c r="L113" s="41">
        <v>0</v>
      </c>
      <c r="M113" s="41">
        <v>0</v>
      </c>
      <c r="N113" s="41">
        <v>0</v>
      </c>
      <c r="O113" s="22">
        <f>P113-SUM(L113:N113)</f>
        <v>0</v>
      </c>
      <c r="P113" s="43">
        <v>0</v>
      </c>
      <c r="Q113" s="41">
        <v>0</v>
      </c>
      <c r="R113" s="41">
        <v>0</v>
      </c>
      <c r="S113" s="41">
        <v>0</v>
      </c>
      <c r="T113" s="22">
        <f>U113-SUM(Q113:S113)</f>
        <v>0</v>
      </c>
      <c r="U113" s="43">
        <v>0</v>
      </c>
      <c r="V113" s="41">
        <v>0</v>
      </c>
      <c r="W113" s="41">
        <v>0</v>
      </c>
      <c r="X113" s="41">
        <v>0</v>
      </c>
      <c r="Y113" s="22">
        <f>Z113-SUM(V113:X113)</f>
        <v>0</v>
      </c>
      <c r="Z113" s="43">
        <v>0</v>
      </c>
      <c r="AA113" s="41">
        <v>0</v>
      </c>
      <c r="AB113" s="41">
        <v>0</v>
      </c>
      <c r="AC113" s="41">
        <v>0</v>
      </c>
      <c r="AD113" s="41">
        <v>0</v>
      </c>
      <c r="AE113" s="23">
        <f>SUM(AA113:AD113)</f>
        <v>0</v>
      </c>
      <c r="AF113" s="41">
        <v>0</v>
      </c>
      <c r="AG113" s="41">
        <v>0</v>
      </c>
      <c r="AH113" s="41">
        <v>0</v>
      </c>
      <c r="AI113" s="41">
        <v>0</v>
      </c>
      <c r="AJ113" s="23">
        <f>SUM(AF113:AI113)</f>
        <v>0</v>
      </c>
      <c r="AK113" s="41">
        <v>0</v>
      </c>
      <c r="AL113" s="41">
        <v>0</v>
      </c>
      <c r="AM113" s="41">
        <v>0</v>
      </c>
      <c r="AN113" s="41">
        <v>0</v>
      </c>
      <c r="AO113" s="23">
        <f>SUM(AK113:AN113)</f>
        <v>0</v>
      </c>
      <c r="AP113" s="41">
        <v>0</v>
      </c>
      <c r="AQ113" s="41">
        <v>0</v>
      </c>
      <c r="AR113" s="41">
        <v>0</v>
      </c>
      <c r="AS113" s="41">
        <v>0</v>
      </c>
      <c r="AT113" s="23">
        <f>SUM(AP113:AS113)</f>
        <v>0</v>
      </c>
      <c r="AU113" s="41">
        <v>0</v>
      </c>
      <c r="AV113" s="41">
        <v>0</v>
      </c>
      <c r="AW113" s="41">
        <v>0</v>
      </c>
      <c r="AX113" s="41">
        <v>0</v>
      </c>
      <c r="AY113" s="23">
        <f>SUM(AU113:AX113)</f>
        <v>0</v>
      </c>
      <c r="AZ113" s="41">
        <v>0</v>
      </c>
      <c r="BA113" s="41">
        <v>0</v>
      </c>
      <c r="BB113" s="41">
        <v>0</v>
      </c>
      <c r="BC113" s="22">
        <f>BD113-SUM(AZ113:BB113)</f>
        <v>0</v>
      </c>
      <c r="BD113" s="43">
        <v>0</v>
      </c>
      <c r="BE113" s="41">
        <v>0</v>
      </c>
      <c r="BF113" s="41">
        <v>0</v>
      </c>
      <c r="BG113" s="41">
        <v>0</v>
      </c>
      <c r="BH113" s="22">
        <f>BI113-SUM(BE113:BG113)</f>
        <v>0</v>
      </c>
      <c r="BI113" s="43">
        <v>0</v>
      </c>
    </row>
    <row r="114" spans="1:62">
      <c r="A114" s="1" t="s">
        <v>1</v>
      </c>
      <c r="B114" s="41">
        <v>2</v>
      </c>
      <c r="C114" s="41">
        <v>-4</v>
      </c>
      <c r="D114" s="41">
        <v>0</v>
      </c>
      <c r="E114" s="22">
        <f>F114-SUM(B114:D114)</f>
        <v>7</v>
      </c>
      <c r="F114" s="43">
        <v>5</v>
      </c>
      <c r="G114" s="41">
        <v>-12</v>
      </c>
      <c r="H114" s="41">
        <v>-13</v>
      </c>
      <c r="I114" s="41">
        <v>-18</v>
      </c>
      <c r="J114" s="22">
        <f>K114-SUM(G114:I114)</f>
        <v>-4</v>
      </c>
      <c r="K114" s="43">
        <v>-47</v>
      </c>
      <c r="L114" s="41">
        <v>-13</v>
      </c>
      <c r="M114" s="41">
        <v>-10</v>
      </c>
      <c r="N114" s="41">
        <v>-15</v>
      </c>
      <c r="O114" s="22">
        <f>P114-SUM(L114:N114)</f>
        <v>-4</v>
      </c>
      <c r="P114" s="43">
        <v>-42</v>
      </c>
      <c r="Q114" s="41">
        <v>-2</v>
      </c>
      <c r="R114" s="41">
        <v>21</v>
      </c>
      <c r="S114" s="41">
        <v>50</v>
      </c>
      <c r="T114" s="22">
        <f>U114-SUM(Q114:S114)</f>
        <v>63</v>
      </c>
      <c r="U114" s="43">
        <v>132</v>
      </c>
      <c r="V114" s="41">
        <v>78</v>
      </c>
      <c r="W114" s="41">
        <v>99</v>
      </c>
      <c r="X114" s="41">
        <v>97</v>
      </c>
      <c r="Y114" s="22">
        <f>Z114-SUM(V114:X114)</f>
        <v>110</v>
      </c>
      <c r="Z114" s="43">
        <v>384</v>
      </c>
      <c r="AA114" s="41">
        <v>54</v>
      </c>
      <c r="AB114" s="41">
        <v>62</v>
      </c>
      <c r="AC114" s="41">
        <v>44</v>
      </c>
      <c r="AD114" s="41">
        <v>80</v>
      </c>
      <c r="AE114" s="23">
        <f>SUM(AA114:AD114)</f>
        <v>240</v>
      </c>
      <c r="AF114" s="41">
        <v>42</v>
      </c>
      <c r="AG114" s="41">
        <v>43</v>
      </c>
      <c r="AH114" s="41">
        <v>59</v>
      </c>
      <c r="AI114" s="19">
        <f>80-40</f>
        <v>40</v>
      </c>
      <c r="AJ114" s="23">
        <f>SUM(AF114:AI114)</f>
        <v>184</v>
      </c>
      <c r="AK114" s="41">
        <v>52</v>
      </c>
      <c r="AL114" s="41">
        <v>66</v>
      </c>
      <c r="AM114" s="41">
        <v>43</v>
      </c>
      <c r="AN114" s="19">
        <v>117</v>
      </c>
      <c r="AO114" s="23">
        <f>SUM(AK114:AN114)</f>
        <v>278</v>
      </c>
      <c r="AP114" s="41">
        <v>76</v>
      </c>
      <c r="AQ114" s="41">
        <v>73</v>
      </c>
      <c r="AR114" s="41">
        <v>73</v>
      </c>
      <c r="AS114" s="19">
        <v>93</v>
      </c>
      <c r="AT114" s="23">
        <f>SUM(AP114:AS114)</f>
        <v>315</v>
      </c>
      <c r="AU114" s="41">
        <v>89</v>
      </c>
      <c r="AV114" s="41">
        <v>99</v>
      </c>
      <c r="AW114" s="41">
        <v>105</v>
      </c>
      <c r="AX114" s="19">
        <v>84</v>
      </c>
      <c r="AY114" s="23">
        <f>SUM(AU114:AX114)</f>
        <v>377</v>
      </c>
      <c r="AZ114" s="41">
        <v>82</v>
      </c>
      <c r="BA114" s="41">
        <v>101</v>
      </c>
      <c r="BB114" s="41">
        <v>102</v>
      </c>
      <c r="BC114" s="19">
        <v>126</v>
      </c>
      <c r="BD114" s="23">
        <f>SUM(AZ114:BC114)</f>
        <v>411</v>
      </c>
      <c r="BE114" s="41">
        <f>$BI114/4</f>
        <v>79.023788750000008</v>
      </c>
      <c r="BF114" s="41">
        <f>$BI114/4</f>
        <v>79.023788750000008</v>
      </c>
      <c r="BG114" s="41">
        <f>$BI114/4</f>
        <v>79.023788750000008</v>
      </c>
      <c r="BH114" s="22">
        <f>BI114-SUM(BE114:BG114)</f>
        <v>79.023788749999994</v>
      </c>
      <c r="BI114" s="43">
        <v>316.09515500000003</v>
      </c>
    </row>
    <row r="115" spans="1:62">
      <c r="A115" s="14" t="s">
        <v>311</v>
      </c>
      <c r="B115" s="167">
        <f t="shared" ref="B115:AH115" si="324">SUM(B109:B114)</f>
        <v>769</v>
      </c>
      <c r="C115" s="168">
        <f t="shared" si="324"/>
        <v>800</v>
      </c>
      <c r="D115" s="168">
        <f t="shared" si="324"/>
        <v>857</v>
      </c>
      <c r="E115" s="77">
        <f t="shared" si="324"/>
        <v>905</v>
      </c>
      <c r="F115" s="78">
        <f t="shared" si="324"/>
        <v>3331</v>
      </c>
      <c r="G115" s="167">
        <f t="shared" si="324"/>
        <v>917</v>
      </c>
      <c r="H115" s="168">
        <f t="shared" si="324"/>
        <v>2127</v>
      </c>
      <c r="I115" s="168">
        <f t="shared" si="324"/>
        <v>857</v>
      </c>
      <c r="J115" s="77">
        <f t="shared" si="324"/>
        <v>726</v>
      </c>
      <c r="K115" s="78">
        <f t="shared" si="324"/>
        <v>4627</v>
      </c>
      <c r="L115" s="167">
        <f t="shared" si="324"/>
        <v>836</v>
      </c>
      <c r="M115" s="168">
        <f t="shared" si="324"/>
        <v>813</v>
      </c>
      <c r="N115" s="168">
        <f t="shared" si="324"/>
        <v>768</v>
      </c>
      <c r="O115" s="77">
        <f t="shared" si="324"/>
        <v>762</v>
      </c>
      <c r="P115" s="78">
        <f t="shared" si="324"/>
        <v>3179</v>
      </c>
      <c r="Q115" s="167">
        <f t="shared" si="324"/>
        <v>764</v>
      </c>
      <c r="R115" s="168">
        <f t="shared" si="324"/>
        <v>827</v>
      </c>
      <c r="S115" s="168">
        <f t="shared" si="324"/>
        <v>826</v>
      </c>
      <c r="T115" s="77">
        <f t="shared" si="324"/>
        <v>852</v>
      </c>
      <c r="U115" s="78">
        <f t="shared" si="324"/>
        <v>3269</v>
      </c>
      <c r="V115" s="167">
        <f t="shared" si="324"/>
        <v>866</v>
      </c>
      <c r="W115" s="168">
        <f t="shared" si="324"/>
        <v>826</v>
      </c>
      <c r="X115" s="168">
        <f t="shared" si="324"/>
        <v>778</v>
      </c>
      <c r="Y115" s="77">
        <f t="shared" si="324"/>
        <v>749</v>
      </c>
      <c r="Z115" s="78">
        <f t="shared" si="324"/>
        <v>3219</v>
      </c>
      <c r="AA115" s="167">
        <f t="shared" si="324"/>
        <v>672</v>
      </c>
      <c r="AB115" s="167">
        <f>SUM(AB109:AB114)</f>
        <v>625</v>
      </c>
      <c r="AC115" s="168">
        <f t="shared" si="324"/>
        <v>574</v>
      </c>
      <c r="AD115" s="77">
        <f t="shared" si="324"/>
        <v>605</v>
      </c>
      <c r="AE115" s="78">
        <f t="shared" si="324"/>
        <v>2476</v>
      </c>
      <c r="AF115" s="168">
        <f t="shared" si="324"/>
        <v>499</v>
      </c>
      <c r="AG115" s="168">
        <f t="shared" si="324"/>
        <v>497</v>
      </c>
      <c r="AH115" s="168">
        <f t="shared" si="324"/>
        <v>575</v>
      </c>
      <c r="AI115" s="77">
        <f t="shared" ref="AI115:AM115" si="325">SUM(AI109:AI114)</f>
        <v>678</v>
      </c>
      <c r="AJ115" s="78">
        <f t="shared" si="325"/>
        <v>2249</v>
      </c>
      <c r="AK115" s="168">
        <f t="shared" si="325"/>
        <v>633</v>
      </c>
      <c r="AL115" s="168">
        <f t="shared" si="325"/>
        <v>698</v>
      </c>
      <c r="AM115" s="168">
        <f t="shared" si="325"/>
        <v>727</v>
      </c>
      <c r="AN115" s="77">
        <f t="shared" ref="AN115:AR115" si="326">SUM(AN109:AN114)</f>
        <v>794</v>
      </c>
      <c r="AO115" s="78">
        <f t="shared" si="326"/>
        <v>2852</v>
      </c>
      <c r="AP115" s="168">
        <f t="shared" si="326"/>
        <v>741</v>
      </c>
      <c r="AQ115" s="168">
        <f t="shared" si="326"/>
        <v>797</v>
      </c>
      <c r="AR115" s="168">
        <f t="shared" si="326"/>
        <v>958</v>
      </c>
      <c r="AS115" s="77">
        <f t="shared" ref="AS115:AW115" si="327">SUM(AS109:AS114)</f>
        <v>881</v>
      </c>
      <c r="AT115" s="78">
        <f t="shared" si="327"/>
        <v>3377</v>
      </c>
      <c r="AU115" s="168">
        <f t="shared" si="327"/>
        <v>868</v>
      </c>
      <c r="AV115" s="168">
        <f t="shared" si="327"/>
        <v>954</v>
      </c>
      <c r="AW115" s="168">
        <f t="shared" si="327"/>
        <v>1154</v>
      </c>
      <c r="AX115" s="77">
        <f t="shared" ref="AX115:BB115" si="328">SUM(AX109:AX114)</f>
        <v>836</v>
      </c>
      <c r="AY115" s="78">
        <f t="shared" si="328"/>
        <v>3812</v>
      </c>
      <c r="AZ115" s="168">
        <f t="shared" si="328"/>
        <v>844</v>
      </c>
      <c r="BA115" s="168">
        <f t="shared" si="328"/>
        <v>910</v>
      </c>
      <c r="BB115" s="168">
        <f t="shared" si="328"/>
        <v>897</v>
      </c>
      <c r="BC115" s="437">
        <f t="shared" ref="BC115:BG115" si="329">SUM(BC109:BC114)</f>
        <v>964</v>
      </c>
      <c r="BD115" s="78">
        <f t="shared" si="329"/>
        <v>3615</v>
      </c>
      <c r="BE115" s="77">
        <f t="shared" si="329"/>
        <v>900.97378875000015</v>
      </c>
      <c r="BF115" s="77">
        <f t="shared" si="329"/>
        <v>951.05378875000008</v>
      </c>
      <c r="BG115" s="77">
        <f t="shared" si="329"/>
        <v>937.10378875000004</v>
      </c>
      <c r="BH115" s="77">
        <f t="shared" ref="BH115:BI115" si="330">SUM(BH109:BH114)</f>
        <v>979.97378874999993</v>
      </c>
      <c r="BI115" s="78">
        <f t="shared" si="330"/>
        <v>3769.1051550000002</v>
      </c>
      <c r="BJ115" t="s">
        <v>642</v>
      </c>
    </row>
    <row r="116" spans="1:62">
      <c r="A116" s="14"/>
      <c r="B116" s="167"/>
      <c r="C116" s="168"/>
      <c r="D116" s="168"/>
      <c r="E116" s="77"/>
      <c r="F116" s="78"/>
      <c r="G116" s="167"/>
      <c r="H116" s="168"/>
      <c r="I116" s="168"/>
      <c r="J116" s="77"/>
      <c r="K116" s="78"/>
      <c r="L116" s="167"/>
      <c r="M116" s="168"/>
      <c r="N116" s="168"/>
      <c r="O116" s="77"/>
      <c r="P116" s="78"/>
      <c r="Q116" s="167"/>
      <c r="R116" s="168"/>
      <c r="S116" s="168"/>
      <c r="T116" s="77"/>
      <c r="U116" s="78"/>
      <c r="V116" s="167"/>
      <c r="W116" s="168"/>
      <c r="X116" s="168"/>
      <c r="Y116" s="77"/>
      <c r="Z116" s="78"/>
      <c r="AA116" s="167"/>
      <c r="AB116" s="167"/>
      <c r="AC116" s="168"/>
      <c r="AD116" s="77"/>
      <c r="AE116" s="78"/>
      <c r="AF116" s="168"/>
      <c r="AG116" s="168"/>
      <c r="AH116" s="168"/>
      <c r="AI116" s="77"/>
      <c r="AJ116" s="78"/>
      <c r="AK116" s="168"/>
      <c r="AL116" s="168"/>
      <c r="AM116" s="168"/>
      <c r="AN116" s="77"/>
      <c r="AO116" s="78"/>
      <c r="AP116" s="168"/>
      <c r="AQ116" s="77"/>
      <c r="AR116" s="168"/>
      <c r="AS116" s="77"/>
      <c r="AT116" s="78"/>
      <c r="AU116" s="168"/>
      <c r="AV116" s="77"/>
      <c r="AW116" s="168"/>
      <c r="AX116" s="77"/>
      <c r="AY116" s="78"/>
      <c r="AZ116" s="168"/>
      <c r="BA116" s="77"/>
      <c r="BB116" s="168"/>
      <c r="BC116" s="77"/>
      <c r="BD116" s="78"/>
      <c r="BE116" s="77"/>
      <c r="BF116" s="77"/>
      <c r="BG116" s="77"/>
      <c r="BH116" s="77"/>
      <c r="BI116" s="78"/>
    </row>
    <row r="117" spans="1:62">
      <c r="A117" s="113" t="s">
        <v>60</v>
      </c>
      <c r="B117" s="68"/>
      <c r="C117" s="68"/>
      <c r="D117" s="68"/>
      <c r="E117" s="68"/>
      <c r="F117" s="114"/>
      <c r="G117" s="68"/>
      <c r="H117" s="68"/>
      <c r="I117" s="68"/>
      <c r="J117" s="68"/>
      <c r="K117" s="114"/>
      <c r="L117" s="68"/>
      <c r="M117" s="68"/>
      <c r="N117" s="68"/>
      <c r="O117" s="68"/>
      <c r="P117" s="114"/>
      <c r="Q117" s="68"/>
      <c r="R117" s="68"/>
      <c r="S117" s="68"/>
      <c r="T117" s="68"/>
      <c r="U117" s="114"/>
      <c r="V117" s="68"/>
      <c r="W117" s="68"/>
      <c r="X117" s="68"/>
      <c r="Y117" s="68"/>
      <c r="Z117" s="114"/>
      <c r="AA117" s="68"/>
      <c r="AB117" s="68"/>
      <c r="AC117" s="68"/>
      <c r="AD117" s="68"/>
      <c r="AE117" s="114"/>
      <c r="AF117" s="68"/>
      <c r="AG117" s="68"/>
      <c r="AH117" s="68"/>
      <c r="AI117" s="68"/>
      <c r="AJ117" s="114"/>
      <c r="AK117" s="68"/>
      <c r="AL117" s="68"/>
      <c r="AM117" s="68"/>
      <c r="AN117" s="68"/>
      <c r="AO117" s="114"/>
      <c r="AP117" s="68"/>
      <c r="AQ117" s="68"/>
      <c r="AR117" s="68"/>
      <c r="AS117" s="68"/>
      <c r="AT117" s="114"/>
      <c r="AU117" s="68"/>
      <c r="AV117" s="68"/>
      <c r="AW117" s="68"/>
      <c r="AX117" s="68"/>
      <c r="AY117" s="114"/>
      <c r="AZ117" s="68"/>
      <c r="BA117" s="68"/>
      <c r="BB117" s="68"/>
      <c r="BC117" s="68"/>
      <c r="BD117" s="114"/>
      <c r="BE117" s="68"/>
      <c r="BF117" s="68"/>
      <c r="BG117" s="68"/>
      <c r="BH117" s="68"/>
      <c r="BI117" s="114"/>
    </row>
    <row r="118" spans="1:62" outlineLevel="1">
      <c r="A118" s="14" t="s">
        <v>419</v>
      </c>
      <c r="B118" s="167">
        <f t="shared" ref="B118:AH118" si="331">B34</f>
        <v>2019</v>
      </c>
      <c r="C118" s="168">
        <f t="shared" si="331"/>
        <v>1683</v>
      </c>
      <c r="D118" s="168">
        <f t="shared" si="331"/>
        <v>2580</v>
      </c>
      <c r="E118" s="77">
        <f t="shared" si="331"/>
        <v>1161</v>
      </c>
      <c r="F118" s="78">
        <f t="shared" si="331"/>
        <v>7443</v>
      </c>
      <c r="G118" s="167">
        <f t="shared" si="331"/>
        <v>1788</v>
      </c>
      <c r="H118" s="168">
        <f t="shared" si="331"/>
        <v>-419</v>
      </c>
      <c r="I118" s="168">
        <f t="shared" si="331"/>
        <v>2282</v>
      </c>
      <c r="J118" s="77">
        <f t="shared" si="331"/>
        <v>2183</v>
      </c>
      <c r="K118" s="78">
        <f t="shared" si="331"/>
        <v>5834</v>
      </c>
      <c r="L118" s="167">
        <f t="shared" si="331"/>
        <v>2206</v>
      </c>
      <c r="M118" s="168">
        <f t="shared" si="331"/>
        <v>2530</v>
      </c>
      <c r="N118" s="168">
        <f t="shared" si="331"/>
        <v>2630</v>
      </c>
      <c r="O118" s="77">
        <f t="shared" si="331"/>
        <v>2978</v>
      </c>
      <c r="P118" s="78">
        <f t="shared" si="331"/>
        <v>10344</v>
      </c>
      <c r="Q118" s="167">
        <f t="shared" si="331"/>
        <v>2875</v>
      </c>
      <c r="R118" s="168">
        <f t="shared" si="331"/>
        <v>2710</v>
      </c>
      <c r="S118" s="168">
        <f t="shared" si="331"/>
        <v>2227</v>
      </c>
      <c r="T118" s="77">
        <f t="shared" si="331"/>
        <v>4175</v>
      </c>
      <c r="U118" s="78">
        <f t="shared" si="331"/>
        <v>11987</v>
      </c>
      <c r="V118" s="167">
        <f t="shared" si="331"/>
        <v>2350</v>
      </c>
      <c r="W118" s="168">
        <f t="shared" si="331"/>
        <v>-3380</v>
      </c>
      <c r="X118" s="168">
        <f t="shared" si="331"/>
        <v>1259</v>
      </c>
      <c r="Y118" s="77">
        <f t="shared" si="331"/>
        <v>-2204</v>
      </c>
      <c r="Z118" s="78">
        <f t="shared" si="331"/>
        <v>-1975</v>
      </c>
      <c r="AA118" s="167">
        <f t="shared" si="331"/>
        <v>-1353</v>
      </c>
      <c r="AB118" s="167">
        <f t="shared" si="331"/>
        <v>-2964</v>
      </c>
      <c r="AC118" s="168">
        <f t="shared" si="331"/>
        <v>-401</v>
      </c>
      <c r="AD118" s="77">
        <f t="shared" si="331"/>
        <v>-8049</v>
      </c>
      <c r="AE118" s="78">
        <f t="shared" si="331"/>
        <v>-12767</v>
      </c>
      <c r="AF118" s="168">
        <f t="shared" si="331"/>
        <v>-83</v>
      </c>
      <c r="AG118" s="168">
        <f t="shared" si="331"/>
        <v>1023</v>
      </c>
      <c r="AH118" s="168">
        <f t="shared" si="331"/>
        <v>329</v>
      </c>
      <c r="AI118" s="77">
        <f t="shared" ref="AI118:AQ118" si="332">AI34</f>
        <v>-4171</v>
      </c>
      <c r="AJ118" s="78">
        <f t="shared" si="332"/>
        <v>-2902</v>
      </c>
      <c r="AK118" s="168">
        <f t="shared" si="332"/>
        <v>-1169</v>
      </c>
      <c r="AL118" s="168">
        <f t="shared" si="332"/>
        <v>774</v>
      </c>
      <c r="AM118" s="168">
        <f t="shared" si="332"/>
        <v>-2799</v>
      </c>
      <c r="AN118" s="77">
        <f t="shared" ref="AN118:AP118" si="333">AN34</f>
        <v>-353</v>
      </c>
      <c r="AO118" s="78">
        <f t="shared" si="333"/>
        <v>-3547</v>
      </c>
      <c r="AP118" s="168">
        <f t="shared" si="333"/>
        <v>-149</v>
      </c>
      <c r="AQ118" s="77">
        <f t="shared" si="332"/>
        <v>-99</v>
      </c>
      <c r="AR118" s="168">
        <f t="shared" ref="AR118:AV118" si="334">AR34</f>
        <v>-808</v>
      </c>
      <c r="AS118" s="77">
        <f t="shared" si="334"/>
        <v>283</v>
      </c>
      <c r="AT118" s="78">
        <f t="shared" si="334"/>
        <v>-773</v>
      </c>
      <c r="AU118" s="168">
        <f t="shared" si="334"/>
        <v>-86</v>
      </c>
      <c r="AV118" s="77">
        <f t="shared" si="334"/>
        <v>-1090</v>
      </c>
      <c r="AW118" s="168">
        <f t="shared" ref="AW118:AZ118" si="335">AW34</f>
        <v>-5761</v>
      </c>
      <c r="AX118" s="77">
        <f t="shared" si="335"/>
        <v>-3770</v>
      </c>
      <c r="AY118" s="78">
        <f t="shared" si="335"/>
        <v>-10707</v>
      </c>
      <c r="AZ118" s="168">
        <f t="shared" si="335"/>
        <v>461</v>
      </c>
      <c r="BA118" s="77">
        <f t="shared" ref="BA118" si="336">BA35</f>
        <v>-7.7366038067607371E-3</v>
      </c>
      <c r="BB118" s="168">
        <f t="shared" ref="BB118" si="337">BB34</f>
        <v>-4781</v>
      </c>
      <c r="BC118" s="77">
        <f t="shared" ref="BC118:BD118" si="338">BC34</f>
        <v>8777</v>
      </c>
      <c r="BD118" s="78">
        <f t="shared" si="338"/>
        <v>4281</v>
      </c>
      <c r="BE118" s="77">
        <f t="shared" ref="BE118:BG118" si="339">BE35</f>
        <v>7.2827519834066387E-3</v>
      </c>
      <c r="BF118" s="77">
        <f t="shared" si="339"/>
        <v>1.9258062416932606E-2</v>
      </c>
      <c r="BG118" s="77">
        <f t="shared" si="339"/>
        <v>2.7431442921476892E-2</v>
      </c>
      <c r="BH118" s="77">
        <f t="shared" ref="BH118:BI118" si="340">BH34</f>
        <v>762.96727623815627</v>
      </c>
      <c r="BI118" s="78">
        <f t="shared" si="340"/>
        <v>2111.9937552546153</v>
      </c>
    </row>
    <row r="119" spans="1:62" outlineLevel="1">
      <c r="A119" s="1" t="s">
        <v>281</v>
      </c>
      <c r="B119" s="62">
        <v>152</v>
      </c>
      <c r="C119" s="63">
        <v>57</v>
      </c>
      <c r="D119" s="63">
        <v>84</v>
      </c>
      <c r="E119" s="67">
        <f>+F119-SUM(B119:D119)</f>
        <v>128</v>
      </c>
      <c r="F119" s="43">
        <v>421</v>
      </c>
      <c r="G119" s="62">
        <v>-45</v>
      </c>
      <c r="H119" s="63">
        <v>-34</v>
      </c>
      <c r="I119" s="63">
        <v>-50</v>
      </c>
      <c r="J119" s="67">
        <f>+K119-SUM(G119:I119)</f>
        <v>-88</v>
      </c>
      <c r="K119" s="43">
        <v>-217</v>
      </c>
      <c r="L119" s="62">
        <v>-262</v>
      </c>
      <c r="M119" s="63">
        <v>-278</v>
      </c>
      <c r="N119" s="63">
        <v>-271</v>
      </c>
      <c r="O119" s="67">
        <f>+P119-SUM(L119:N119)</f>
        <v>-316</v>
      </c>
      <c r="P119" s="43">
        <f>-1127</f>
        <v>-1127</v>
      </c>
      <c r="Q119" s="62">
        <v>-283</v>
      </c>
      <c r="R119" s="63">
        <v>-237</v>
      </c>
      <c r="S119" s="63">
        <v>-260</v>
      </c>
      <c r="T119" s="67">
        <f>+U119-SUM(Q119:S119)</f>
        <v>-225</v>
      </c>
      <c r="U119" s="43">
        <v>-1005</v>
      </c>
      <c r="V119" s="62">
        <v>-274</v>
      </c>
      <c r="W119" s="63">
        <v>-275</v>
      </c>
      <c r="X119" s="63">
        <v>-274</v>
      </c>
      <c r="Y119" s="67">
        <f>+Z119-SUM(V119:X119)</f>
        <v>-248</v>
      </c>
      <c r="Z119" s="43">
        <v>-1071</v>
      </c>
      <c r="AA119" s="62">
        <v>-255</v>
      </c>
      <c r="AB119" s="62">
        <v>-258</v>
      </c>
      <c r="AC119" s="63">
        <v>-260</v>
      </c>
      <c r="AD119" s="63">
        <v>-251</v>
      </c>
      <c r="AE119" s="23">
        <f>SUM(AA119:AD119)</f>
        <v>-1024</v>
      </c>
      <c r="AF119" s="290">
        <f t="shared" ref="AF119:AH120" si="341">-AF22</f>
        <v>-193</v>
      </c>
      <c r="AG119" s="290">
        <f t="shared" si="341"/>
        <v>-191</v>
      </c>
      <c r="AH119" s="290">
        <f t="shared" si="341"/>
        <v>-192</v>
      </c>
      <c r="AI119" s="63">
        <v>-306</v>
      </c>
      <c r="AJ119" s="23">
        <f>SUM(AF119:AI119)</f>
        <v>-882</v>
      </c>
      <c r="AK119" s="290">
        <f t="shared" ref="AK119:AM120" si="342">-AK22</f>
        <v>-208</v>
      </c>
      <c r="AL119" s="290">
        <f t="shared" si="342"/>
        <v>-205</v>
      </c>
      <c r="AM119" s="290">
        <f t="shared" si="342"/>
        <v>-208</v>
      </c>
      <c r="AN119" s="63">
        <v>-228</v>
      </c>
      <c r="AO119" s="23">
        <f>SUM(AK119:AN119)</f>
        <v>-849</v>
      </c>
      <c r="AP119" s="290">
        <f t="shared" ref="AP119" si="343">-AP22</f>
        <v>-223</v>
      </c>
      <c r="AQ119" s="290">
        <f>-AQ22</f>
        <v>-222</v>
      </c>
      <c r="AR119" s="290">
        <f>-AR22</f>
        <v>-218</v>
      </c>
      <c r="AS119" s="63">
        <v>-136</v>
      </c>
      <c r="AT119" s="23">
        <f>SUM(AP119:AS119)</f>
        <v>-799</v>
      </c>
      <c r="AU119" s="290">
        <f t="shared" ref="AU119:AW120" si="344">-AU22</f>
        <v>-230</v>
      </c>
      <c r="AV119" s="290">
        <f t="shared" si="344"/>
        <v>-230</v>
      </c>
      <c r="AW119" s="290">
        <f t="shared" si="344"/>
        <v>-148</v>
      </c>
      <c r="AX119" s="63">
        <v>-203</v>
      </c>
      <c r="AY119" s="23">
        <f>SUM(AU119:AX119)</f>
        <v>-811</v>
      </c>
      <c r="AZ119" s="290">
        <f t="shared" ref="AZ119" si="345">-AZ22</f>
        <v>-193</v>
      </c>
      <c r="BA119" s="290">
        <f t="shared" ref="BA119:BC119" si="346">-BA22</f>
        <v>-197</v>
      </c>
      <c r="BB119" s="290">
        <f t="shared" si="346"/>
        <v>-198</v>
      </c>
      <c r="BC119" s="290">
        <f t="shared" si="346"/>
        <v>-196</v>
      </c>
      <c r="BD119" s="23">
        <f>SUM(AZ119:BC119)</f>
        <v>-784</v>
      </c>
      <c r="BE119" s="290">
        <f t="shared" ref="BE119:BG120" si="347">-BE22</f>
        <v>-212.5</v>
      </c>
      <c r="BF119" s="290">
        <f t="shared" si="347"/>
        <v>-212.5</v>
      </c>
      <c r="BG119" s="290">
        <f t="shared" si="347"/>
        <v>-212.5</v>
      </c>
      <c r="BH119" s="290">
        <f t="shared" ref="BH119" si="348">-BH22</f>
        <v>-212.5</v>
      </c>
      <c r="BI119" s="23">
        <f>SUM(BE119:BH119)</f>
        <v>-850</v>
      </c>
    </row>
    <row r="120" spans="1:62" outlineLevel="1">
      <c r="A120" s="1" t="s">
        <v>282</v>
      </c>
      <c r="B120" s="62">
        <v>-39</v>
      </c>
      <c r="C120" s="63">
        <v>-27</v>
      </c>
      <c r="D120" s="63">
        <v>-27</v>
      </c>
      <c r="E120" s="67">
        <f>+F120-SUM(B120:D120)</f>
        <v>-30</v>
      </c>
      <c r="F120" s="43">
        <v>-123</v>
      </c>
      <c r="G120" s="62">
        <v>-49</v>
      </c>
      <c r="H120" s="63">
        <v>-35</v>
      </c>
      <c r="I120" s="63">
        <v>-38</v>
      </c>
      <c r="J120" s="67">
        <f>+K120-SUM(G120:I120)</f>
        <v>-31</v>
      </c>
      <c r="K120" s="43">
        <v>-153</v>
      </c>
      <c r="L120" s="62">
        <v>-84</v>
      </c>
      <c r="M120" s="63">
        <v>-79</v>
      </c>
      <c r="N120" s="63">
        <v>-75</v>
      </c>
      <c r="O120" s="67">
        <f>+P120-SUM(L120:N120)</f>
        <v>-73</v>
      </c>
      <c r="P120" s="43">
        <v>-311</v>
      </c>
      <c r="Q120" s="62">
        <v>-82</v>
      </c>
      <c r="R120" s="63">
        <v>-80</v>
      </c>
      <c r="S120" s="63">
        <v>-77</v>
      </c>
      <c r="T120" s="67">
        <f>+U120-SUM(Q120:S120)</f>
        <v>-83</v>
      </c>
      <c r="U120" s="43">
        <v>-322</v>
      </c>
      <c r="V120" s="62">
        <v>-90</v>
      </c>
      <c r="W120" s="63">
        <v>-90</v>
      </c>
      <c r="X120" s="63">
        <v>-90</v>
      </c>
      <c r="Y120" s="67">
        <f>+Z120-SUM(V120:X120)</f>
        <v>-74</v>
      </c>
      <c r="Z120" s="43">
        <v>-344</v>
      </c>
      <c r="AA120" s="62">
        <v>-92</v>
      </c>
      <c r="AB120" s="62">
        <v>-97</v>
      </c>
      <c r="AC120" s="63">
        <v>-93</v>
      </c>
      <c r="AD120" s="63">
        <v>-77</v>
      </c>
      <c r="AE120" s="23">
        <f>SUM(AA120:AD120)</f>
        <v>-359</v>
      </c>
      <c r="AF120" s="290">
        <f t="shared" si="341"/>
        <v>-77</v>
      </c>
      <c r="AG120" s="290">
        <f t="shared" si="341"/>
        <v>-77</v>
      </c>
      <c r="AH120" s="290">
        <f t="shared" si="341"/>
        <v>-78</v>
      </c>
      <c r="AI120" s="63">
        <v>-59</v>
      </c>
      <c r="AJ120" s="23">
        <f>SUM(AF120:AI120)</f>
        <v>-291</v>
      </c>
      <c r="AK120" s="290">
        <f t="shared" si="342"/>
        <v>-75</v>
      </c>
      <c r="AL120" s="290">
        <f t="shared" si="342"/>
        <v>-79</v>
      </c>
      <c r="AM120" s="290">
        <f t="shared" si="342"/>
        <v>-71</v>
      </c>
      <c r="AN120" s="63">
        <v>-69</v>
      </c>
      <c r="AO120" s="23">
        <f>SUM(AK120:AN120)</f>
        <v>-294</v>
      </c>
      <c r="AP120" s="290">
        <f t="shared" ref="AP120" si="349">-AP23</f>
        <v>-68</v>
      </c>
      <c r="AQ120" s="290">
        <f>-AQ23</f>
        <v>-69</v>
      </c>
      <c r="AR120" s="290">
        <f>-AR23</f>
        <v>-63</v>
      </c>
      <c r="AS120" s="63">
        <v>-57</v>
      </c>
      <c r="AT120" s="23">
        <f>SUM(AP120:AS120)</f>
        <v>-257</v>
      </c>
      <c r="AU120" s="290">
        <f t="shared" si="344"/>
        <v>-72</v>
      </c>
      <c r="AV120" s="290">
        <f t="shared" si="344"/>
        <v>-72</v>
      </c>
      <c r="AW120" s="290">
        <f t="shared" si="344"/>
        <v>-80</v>
      </c>
      <c r="AX120" s="63">
        <v>-69</v>
      </c>
      <c r="AY120" s="23">
        <f>SUM(AU120:AX120)</f>
        <v>-293</v>
      </c>
      <c r="AZ120" s="290">
        <f t="shared" ref="AZ120" si="350">-AZ23</f>
        <v>-69</v>
      </c>
      <c r="BA120" s="290">
        <f t="shared" ref="BA120:BC120" si="351">-BA23</f>
        <v>-60</v>
      </c>
      <c r="BB120" s="290">
        <f t="shared" si="351"/>
        <v>-70</v>
      </c>
      <c r="BC120" s="290">
        <f t="shared" si="351"/>
        <v>-62</v>
      </c>
      <c r="BD120" s="23">
        <f>SUM(AZ120:BC120)</f>
        <v>-261</v>
      </c>
      <c r="BE120" s="290">
        <f t="shared" si="347"/>
        <v>-65</v>
      </c>
      <c r="BF120" s="290">
        <f t="shared" si="347"/>
        <v>-65</v>
      </c>
      <c r="BG120" s="290">
        <f t="shared" si="347"/>
        <v>-65</v>
      </c>
      <c r="BH120" s="290">
        <f t="shared" ref="BH120" si="352">-BH23</f>
        <v>-65</v>
      </c>
      <c r="BI120" s="23">
        <f>SUM(BE120:BH120)</f>
        <v>-260</v>
      </c>
    </row>
    <row r="121" spans="1:62" outlineLevel="1">
      <c r="A121" s="14" t="s">
        <v>421</v>
      </c>
      <c r="B121" s="167">
        <f>B118+B119+B120</f>
        <v>2132</v>
      </c>
      <c r="C121" s="168">
        <f t="shared" ref="C121:AH121" si="353">C118+C119+C120</f>
        <v>1713</v>
      </c>
      <c r="D121" s="168">
        <f t="shared" si="353"/>
        <v>2637</v>
      </c>
      <c r="E121" s="77">
        <f t="shared" si="353"/>
        <v>1259</v>
      </c>
      <c r="F121" s="78">
        <f t="shared" si="353"/>
        <v>7741</v>
      </c>
      <c r="G121" s="167">
        <f t="shared" si="353"/>
        <v>1694</v>
      </c>
      <c r="H121" s="168">
        <f t="shared" si="353"/>
        <v>-488</v>
      </c>
      <c r="I121" s="168">
        <f t="shared" si="353"/>
        <v>2194</v>
      </c>
      <c r="J121" s="77">
        <f t="shared" si="353"/>
        <v>2064</v>
      </c>
      <c r="K121" s="78">
        <f t="shared" si="353"/>
        <v>5464</v>
      </c>
      <c r="L121" s="167">
        <f t="shared" si="353"/>
        <v>1860</v>
      </c>
      <c r="M121" s="168">
        <f t="shared" si="353"/>
        <v>2173</v>
      </c>
      <c r="N121" s="168">
        <f t="shared" si="353"/>
        <v>2284</v>
      </c>
      <c r="O121" s="77">
        <f t="shared" si="353"/>
        <v>2589</v>
      </c>
      <c r="P121" s="78">
        <f t="shared" si="353"/>
        <v>8906</v>
      </c>
      <c r="Q121" s="167">
        <f t="shared" si="353"/>
        <v>2510</v>
      </c>
      <c r="R121" s="168">
        <f t="shared" si="353"/>
        <v>2393</v>
      </c>
      <c r="S121" s="168">
        <f t="shared" si="353"/>
        <v>1890</v>
      </c>
      <c r="T121" s="77">
        <f t="shared" si="353"/>
        <v>3867</v>
      </c>
      <c r="U121" s="78">
        <f t="shared" si="353"/>
        <v>10660</v>
      </c>
      <c r="V121" s="167">
        <f t="shared" si="353"/>
        <v>1986</v>
      </c>
      <c r="W121" s="168">
        <f t="shared" si="353"/>
        <v>-3745</v>
      </c>
      <c r="X121" s="168">
        <f t="shared" si="353"/>
        <v>895</v>
      </c>
      <c r="Y121" s="77">
        <f t="shared" si="353"/>
        <v>-2526</v>
      </c>
      <c r="Z121" s="78">
        <f t="shared" si="353"/>
        <v>-3390</v>
      </c>
      <c r="AA121" s="167">
        <f t="shared" si="353"/>
        <v>-1700</v>
      </c>
      <c r="AB121" s="167">
        <f>AB118+AB119+AB120</f>
        <v>-3319</v>
      </c>
      <c r="AC121" s="168">
        <f t="shared" si="353"/>
        <v>-754</v>
      </c>
      <c r="AD121" s="77">
        <f t="shared" si="353"/>
        <v>-8377</v>
      </c>
      <c r="AE121" s="78">
        <f t="shared" si="353"/>
        <v>-14150</v>
      </c>
      <c r="AF121" s="168">
        <f t="shared" si="353"/>
        <v>-353</v>
      </c>
      <c r="AG121" s="168">
        <f t="shared" si="353"/>
        <v>755</v>
      </c>
      <c r="AH121" s="168">
        <f t="shared" si="353"/>
        <v>59</v>
      </c>
      <c r="AI121" s="77">
        <f t="shared" ref="AI121:AQ121" si="354">AI118+AI119+AI120</f>
        <v>-4536</v>
      </c>
      <c r="AJ121" s="78">
        <f t="shared" si="354"/>
        <v>-4075</v>
      </c>
      <c r="AK121" s="168">
        <f t="shared" si="354"/>
        <v>-1452</v>
      </c>
      <c r="AL121" s="168">
        <f t="shared" si="354"/>
        <v>490</v>
      </c>
      <c r="AM121" s="168">
        <f t="shared" si="354"/>
        <v>-3078</v>
      </c>
      <c r="AN121" s="77">
        <f t="shared" ref="AN121:AP121" si="355">AN118+AN119+AN120</f>
        <v>-650</v>
      </c>
      <c r="AO121" s="78">
        <f t="shared" si="355"/>
        <v>-4690</v>
      </c>
      <c r="AP121" s="168">
        <f t="shared" si="355"/>
        <v>-440</v>
      </c>
      <c r="AQ121" s="77">
        <f t="shared" si="354"/>
        <v>-390</v>
      </c>
      <c r="AR121" s="168">
        <f t="shared" ref="AR121:AV121" si="356">AR118+AR119+AR120</f>
        <v>-1089</v>
      </c>
      <c r="AS121" s="77">
        <f t="shared" si="356"/>
        <v>90</v>
      </c>
      <c r="AT121" s="78">
        <f t="shared" si="356"/>
        <v>-1829</v>
      </c>
      <c r="AU121" s="168">
        <f t="shared" si="356"/>
        <v>-388</v>
      </c>
      <c r="AV121" s="77">
        <f t="shared" si="356"/>
        <v>-1392</v>
      </c>
      <c r="AW121" s="168">
        <f t="shared" ref="AW121:AZ121" si="357">AW118+AW119+AW120</f>
        <v>-5989</v>
      </c>
      <c r="AX121" s="77">
        <f t="shared" si="357"/>
        <v>-4042</v>
      </c>
      <c r="AY121" s="78">
        <f t="shared" si="357"/>
        <v>-11811</v>
      </c>
      <c r="AZ121" s="168">
        <f t="shared" si="357"/>
        <v>199</v>
      </c>
      <c r="BA121" s="77">
        <f t="shared" ref="BA121:BB121" si="358">BA118+BA119+BA120</f>
        <v>-257.00773660380673</v>
      </c>
      <c r="BB121" s="168">
        <f t="shared" si="358"/>
        <v>-5049</v>
      </c>
      <c r="BC121" s="77">
        <f t="shared" ref="BC121:BG121" si="359">BC118+BC119+BC120</f>
        <v>8519</v>
      </c>
      <c r="BD121" s="78">
        <f t="shared" si="359"/>
        <v>3236</v>
      </c>
      <c r="BE121" s="77">
        <f t="shared" si="359"/>
        <v>-277.49271724801656</v>
      </c>
      <c r="BF121" s="77">
        <f t="shared" si="359"/>
        <v>-277.48074193758305</v>
      </c>
      <c r="BG121" s="77">
        <f t="shared" si="359"/>
        <v>-277.47256855707849</v>
      </c>
      <c r="BH121" s="77">
        <f t="shared" ref="BH121:BI121" si="360">BH118+BH119+BH120</f>
        <v>485.46727623815627</v>
      </c>
      <c r="BI121" s="78">
        <f t="shared" si="360"/>
        <v>1001.9937552546153</v>
      </c>
    </row>
    <row r="122" spans="1:62" outlineLevel="1">
      <c r="A122" s="1" t="s">
        <v>1</v>
      </c>
      <c r="B122" s="62">
        <v>0</v>
      </c>
      <c r="C122" s="63">
        <v>0</v>
      </c>
      <c r="D122" s="63">
        <v>0</v>
      </c>
      <c r="E122" s="67">
        <f>+F122-SUM(B122:D122)</f>
        <v>0</v>
      </c>
      <c r="F122" s="43">
        <v>0</v>
      </c>
      <c r="G122" s="62">
        <v>0</v>
      </c>
      <c r="H122" s="63">
        <v>0</v>
      </c>
      <c r="I122" s="63">
        <v>0</v>
      </c>
      <c r="J122" s="67">
        <f>+K122-SUM(G122:I122)</f>
        <v>0</v>
      </c>
      <c r="K122" s="43">
        <v>0</v>
      </c>
      <c r="L122" s="62">
        <v>0</v>
      </c>
      <c r="M122" s="63">
        <v>0</v>
      </c>
      <c r="N122" s="63">
        <v>0</v>
      </c>
      <c r="O122" s="67">
        <f>+P122-SUM(L122:N122)</f>
        <v>0</v>
      </c>
      <c r="P122" s="43">
        <v>0</v>
      </c>
      <c r="Q122" s="62">
        <v>0</v>
      </c>
      <c r="R122" s="63">
        <v>0</v>
      </c>
      <c r="S122" s="63">
        <v>0</v>
      </c>
      <c r="T122" s="67">
        <f>+U122-SUM(Q122:S122)</f>
        <v>0</v>
      </c>
      <c r="U122" s="43">
        <v>0</v>
      </c>
      <c r="V122" s="62">
        <v>0</v>
      </c>
      <c r="W122" s="63">
        <v>0</v>
      </c>
      <c r="X122" s="63">
        <v>0</v>
      </c>
      <c r="Y122" s="67">
        <f>+Z122-SUM(V122:X122)</f>
        <v>0</v>
      </c>
      <c r="Z122" s="43">
        <v>0</v>
      </c>
      <c r="AA122" s="62">
        <v>0</v>
      </c>
      <c r="AB122" s="62">
        <v>0</v>
      </c>
      <c r="AC122" s="63">
        <v>0</v>
      </c>
      <c r="AD122" s="63">
        <v>0</v>
      </c>
      <c r="AE122" s="23">
        <f>SUM(AA122:AD122)</f>
        <v>0</v>
      </c>
      <c r="AF122" s="62">
        <v>0</v>
      </c>
      <c r="AG122" s="63">
        <v>0</v>
      </c>
      <c r="AH122" s="63">
        <v>0</v>
      </c>
      <c r="AI122" s="63">
        <v>0</v>
      </c>
      <c r="AJ122" s="23">
        <f>SUM(AF122:AI122)</f>
        <v>0</v>
      </c>
      <c r="AK122" s="62">
        <v>0</v>
      </c>
      <c r="AL122" s="63">
        <v>0</v>
      </c>
      <c r="AM122" s="63">
        <v>0</v>
      </c>
      <c r="AN122" s="63">
        <v>0</v>
      </c>
      <c r="AO122" s="23">
        <f>SUM(AK122:AN122)</f>
        <v>0</v>
      </c>
      <c r="AP122" s="62">
        <v>0</v>
      </c>
      <c r="AQ122" s="63">
        <v>0</v>
      </c>
      <c r="AR122" s="63">
        <v>0</v>
      </c>
      <c r="AS122" s="63">
        <v>0</v>
      </c>
      <c r="AT122" s="23">
        <f>SUM(AP122:AS122)</f>
        <v>0</v>
      </c>
      <c r="AU122" s="62">
        <v>0</v>
      </c>
      <c r="AV122" s="63">
        <v>0</v>
      </c>
      <c r="AW122" s="63">
        <v>0</v>
      </c>
      <c r="AX122" s="63">
        <v>0</v>
      </c>
      <c r="AY122" s="23">
        <f>SUM(AU122:AX122)</f>
        <v>0</v>
      </c>
      <c r="AZ122" s="62">
        <v>0</v>
      </c>
      <c r="BA122" s="63">
        <v>0</v>
      </c>
      <c r="BB122" s="63">
        <v>0</v>
      </c>
      <c r="BC122" s="63">
        <v>0</v>
      </c>
      <c r="BD122" s="23">
        <f>SUM(AZ122:BC122)</f>
        <v>0</v>
      </c>
      <c r="BE122" s="63">
        <v>0</v>
      </c>
      <c r="BF122" s="63">
        <v>0</v>
      </c>
      <c r="BG122" s="63">
        <v>0</v>
      </c>
      <c r="BH122" s="63">
        <v>0</v>
      </c>
      <c r="BI122" s="23">
        <f>SUM(BE122:BH122)</f>
        <v>0</v>
      </c>
    </row>
    <row r="123" spans="1:62" outlineLevel="1">
      <c r="A123" s="5" t="s">
        <v>422</v>
      </c>
      <c r="B123" s="167">
        <f t="shared" ref="B123:AH123" si="361">B121+B122</f>
        <v>2132</v>
      </c>
      <c r="C123" s="168">
        <f t="shared" si="361"/>
        <v>1713</v>
      </c>
      <c r="D123" s="168">
        <f t="shared" si="361"/>
        <v>2637</v>
      </c>
      <c r="E123" s="77">
        <f t="shared" si="361"/>
        <v>1259</v>
      </c>
      <c r="F123" s="78">
        <f t="shared" si="361"/>
        <v>7741</v>
      </c>
      <c r="G123" s="167">
        <f t="shared" si="361"/>
        <v>1694</v>
      </c>
      <c r="H123" s="168">
        <f t="shared" si="361"/>
        <v>-488</v>
      </c>
      <c r="I123" s="168">
        <f t="shared" si="361"/>
        <v>2194</v>
      </c>
      <c r="J123" s="77">
        <f t="shared" si="361"/>
        <v>2064</v>
      </c>
      <c r="K123" s="78">
        <f t="shared" si="361"/>
        <v>5464</v>
      </c>
      <c r="L123" s="167">
        <f t="shared" si="361"/>
        <v>1860</v>
      </c>
      <c r="M123" s="168">
        <f t="shared" si="361"/>
        <v>2173</v>
      </c>
      <c r="N123" s="168">
        <f t="shared" si="361"/>
        <v>2284</v>
      </c>
      <c r="O123" s="77">
        <f t="shared" si="361"/>
        <v>2589</v>
      </c>
      <c r="P123" s="78">
        <f t="shared" si="361"/>
        <v>8906</v>
      </c>
      <c r="Q123" s="167">
        <f t="shared" si="361"/>
        <v>2510</v>
      </c>
      <c r="R123" s="168">
        <f t="shared" si="361"/>
        <v>2393</v>
      </c>
      <c r="S123" s="168">
        <f t="shared" si="361"/>
        <v>1890</v>
      </c>
      <c r="T123" s="77">
        <f t="shared" si="361"/>
        <v>3867</v>
      </c>
      <c r="U123" s="78">
        <f t="shared" si="361"/>
        <v>10660</v>
      </c>
      <c r="V123" s="167">
        <f t="shared" si="361"/>
        <v>1986</v>
      </c>
      <c r="W123" s="168">
        <f t="shared" si="361"/>
        <v>-3745</v>
      </c>
      <c r="X123" s="168">
        <f t="shared" si="361"/>
        <v>895</v>
      </c>
      <c r="Y123" s="77">
        <f t="shared" si="361"/>
        <v>-2526</v>
      </c>
      <c r="Z123" s="78">
        <f t="shared" si="361"/>
        <v>-3390</v>
      </c>
      <c r="AA123" s="167">
        <f t="shared" si="361"/>
        <v>-1700</v>
      </c>
      <c r="AB123" s="167">
        <f>AB121+AB122</f>
        <v>-3319</v>
      </c>
      <c r="AC123" s="168">
        <f t="shared" si="361"/>
        <v>-754</v>
      </c>
      <c r="AD123" s="77">
        <f t="shared" si="361"/>
        <v>-8377</v>
      </c>
      <c r="AE123" s="78">
        <f t="shared" si="361"/>
        <v>-14150</v>
      </c>
      <c r="AF123" s="168">
        <f t="shared" si="361"/>
        <v>-353</v>
      </c>
      <c r="AG123" s="168">
        <f t="shared" si="361"/>
        <v>755</v>
      </c>
      <c r="AH123" s="168">
        <f t="shared" si="361"/>
        <v>59</v>
      </c>
      <c r="AI123" s="77">
        <f t="shared" ref="AI123:AQ123" si="362">AI121+AI122</f>
        <v>-4536</v>
      </c>
      <c r="AJ123" s="78">
        <f t="shared" si="362"/>
        <v>-4075</v>
      </c>
      <c r="AK123" s="168">
        <f t="shared" si="362"/>
        <v>-1452</v>
      </c>
      <c r="AL123" s="168">
        <f t="shared" si="362"/>
        <v>490</v>
      </c>
      <c r="AM123" s="168">
        <f t="shared" si="362"/>
        <v>-3078</v>
      </c>
      <c r="AN123" s="77">
        <f t="shared" ref="AN123:AP123" si="363">AN121+AN122</f>
        <v>-650</v>
      </c>
      <c r="AO123" s="78">
        <f t="shared" si="363"/>
        <v>-4690</v>
      </c>
      <c r="AP123" s="168">
        <f t="shared" si="363"/>
        <v>-440</v>
      </c>
      <c r="AQ123" s="77">
        <f t="shared" si="362"/>
        <v>-390</v>
      </c>
      <c r="AR123" s="168">
        <f t="shared" ref="AR123:AV123" si="364">AR121+AR122</f>
        <v>-1089</v>
      </c>
      <c r="AS123" s="77">
        <f t="shared" si="364"/>
        <v>90</v>
      </c>
      <c r="AT123" s="78">
        <f t="shared" si="364"/>
        <v>-1829</v>
      </c>
      <c r="AU123" s="168">
        <f t="shared" si="364"/>
        <v>-388</v>
      </c>
      <c r="AV123" s="77">
        <f t="shared" si="364"/>
        <v>-1392</v>
      </c>
      <c r="AW123" s="168">
        <f t="shared" ref="AW123:AZ123" si="365">AW121+AW122</f>
        <v>-5989</v>
      </c>
      <c r="AX123" s="77">
        <f t="shared" si="365"/>
        <v>-4042</v>
      </c>
      <c r="AY123" s="78">
        <f t="shared" si="365"/>
        <v>-11811</v>
      </c>
      <c r="AZ123" s="168">
        <f t="shared" si="365"/>
        <v>199</v>
      </c>
      <c r="BA123" s="77">
        <f t="shared" ref="BA123:BB123" si="366">BA121+BA122</f>
        <v>-257.00773660380673</v>
      </c>
      <c r="BB123" s="168">
        <f t="shared" si="366"/>
        <v>-5049</v>
      </c>
      <c r="BC123" s="77">
        <f t="shared" ref="BC123:BG123" si="367">BC121+BC122</f>
        <v>8519</v>
      </c>
      <c r="BD123" s="78">
        <f t="shared" si="367"/>
        <v>3236</v>
      </c>
      <c r="BE123" s="77">
        <f t="shared" si="367"/>
        <v>-277.49271724801656</v>
      </c>
      <c r="BF123" s="77">
        <f t="shared" si="367"/>
        <v>-277.48074193758305</v>
      </c>
      <c r="BG123" s="77">
        <f t="shared" si="367"/>
        <v>-277.47256855707849</v>
      </c>
      <c r="BH123" s="77">
        <f t="shared" ref="BH123:BI123" si="368">BH121+BH122</f>
        <v>485.46727623815627</v>
      </c>
      <c r="BI123" s="78">
        <f t="shared" si="368"/>
        <v>1001.9937552546153</v>
      </c>
    </row>
    <row r="124" spans="1:62" outlineLevel="1">
      <c r="A124" s="1"/>
      <c r="B124" s="62"/>
      <c r="C124" s="63"/>
      <c r="D124" s="63"/>
      <c r="E124" s="67"/>
      <c r="F124" s="43"/>
      <c r="G124" s="284"/>
      <c r="H124" s="63"/>
      <c r="I124" s="63"/>
      <c r="J124" s="67"/>
      <c r="K124" s="43"/>
      <c r="L124" s="62"/>
      <c r="M124" s="63"/>
      <c r="N124" s="63"/>
      <c r="O124" s="67"/>
      <c r="P124" s="43"/>
      <c r="Q124" s="62"/>
      <c r="R124" s="63"/>
      <c r="S124" s="63"/>
      <c r="T124" s="67"/>
      <c r="U124" s="43"/>
      <c r="V124" s="62"/>
      <c r="W124" s="63"/>
      <c r="X124" s="63"/>
      <c r="Y124" s="67"/>
      <c r="Z124" s="43"/>
      <c r="AA124" s="62"/>
      <c r="AB124" s="62"/>
      <c r="AC124" s="168"/>
      <c r="AD124" s="77"/>
      <c r="AE124" s="78"/>
      <c r="AF124" s="168"/>
      <c r="AG124" s="168"/>
      <c r="AH124" s="168"/>
      <c r="AI124" s="77"/>
      <c r="AJ124" s="78"/>
      <c r="AK124" s="168"/>
      <c r="AL124" s="168"/>
      <c r="AM124" s="168"/>
      <c r="AN124" s="77"/>
      <c r="AO124" s="78"/>
      <c r="AP124" s="168"/>
      <c r="AQ124" s="77"/>
      <c r="AR124" s="168"/>
      <c r="AS124" s="77"/>
      <c r="AT124" s="78"/>
      <c r="AU124" s="168"/>
      <c r="AV124" s="77"/>
      <c r="AW124" s="168"/>
      <c r="AX124" s="77"/>
      <c r="AY124" s="78"/>
      <c r="AZ124" s="168"/>
      <c r="BA124" s="77"/>
      <c r="BB124" s="168"/>
      <c r="BC124" s="77"/>
      <c r="BD124" s="78"/>
      <c r="BE124" s="77"/>
      <c r="BF124" s="77"/>
      <c r="BG124" s="77"/>
      <c r="BH124" s="77"/>
      <c r="BI124" s="78"/>
    </row>
    <row r="125" spans="1:62" outlineLevel="1">
      <c r="A125" s="14" t="s">
        <v>328</v>
      </c>
      <c r="B125" s="167"/>
      <c r="C125" s="168"/>
      <c r="D125" s="168"/>
      <c r="E125" s="77"/>
      <c r="F125" s="78"/>
      <c r="G125" s="167"/>
      <c r="H125" s="168"/>
      <c r="I125" s="168"/>
      <c r="J125" s="77"/>
      <c r="K125" s="78"/>
      <c r="L125" s="167"/>
      <c r="M125" s="168"/>
      <c r="N125" s="168"/>
      <c r="O125" s="77"/>
      <c r="P125" s="78"/>
      <c r="Q125" s="167"/>
      <c r="R125" s="168"/>
      <c r="S125" s="168"/>
      <c r="T125" s="77"/>
      <c r="U125" s="78"/>
      <c r="V125" s="167"/>
      <c r="W125" s="168"/>
      <c r="X125" s="168"/>
      <c r="Y125" s="77"/>
      <c r="Z125" s="78"/>
      <c r="AA125" s="167"/>
      <c r="AB125" s="167"/>
      <c r="AC125" s="168"/>
      <c r="AD125" s="77"/>
      <c r="AE125" s="78"/>
      <c r="AF125" s="168"/>
      <c r="AG125" s="168"/>
      <c r="AH125" s="168"/>
      <c r="AI125" s="77"/>
      <c r="AJ125" s="78"/>
      <c r="AK125" s="168"/>
      <c r="AL125" s="168"/>
      <c r="AM125" s="168"/>
      <c r="AN125" s="77"/>
      <c r="AO125" s="78"/>
      <c r="AP125" s="168"/>
      <c r="AQ125" s="77"/>
      <c r="AR125" s="168"/>
      <c r="AS125" s="77"/>
      <c r="AT125" s="78"/>
      <c r="AU125" s="168"/>
      <c r="AV125" s="77"/>
      <c r="AW125" s="168"/>
      <c r="AX125" s="77"/>
      <c r="AY125" s="78"/>
      <c r="AZ125" s="168"/>
      <c r="BA125" s="77"/>
      <c r="BB125" s="168"/>
      <c r="BC125" s="77"/>
      <c r="BD125" s="78"/>
      <c r="BE125" s="77"/>
      <c r="BF125" s="77"/>
      <c r="BG125" s="77"/>
      <c r="BH125" s="77"/>
      <c r="BI125" s="78"/>
    </row>
    <row r="126" spans="1:62" outlineLevel="1">
      <c r="A126" s="1" t="s">
        <v>329</v>
      </c>
      <c r="B126" s="62">
        <v>0</v>
      </c>
      <c r="C126" s="63">
        <v>0</v>
      </c>
      <c r="D126" s="63">
        <v>0</v>
      </c>
      <c r="E126" s="67">
        <f>+F126-SUM(B126:D126)</f>
        <v>0</v>
      </c>
      <c r="F126" s="43">
        <v>0</v>
      </c>
      <c r="G126" s="62">
        <v>0</v>
      </c>
      <c r="H126" s="63">
        <v>0</v>
      </c>
      <c r="I126" s="63">
        <v>0</v>
      </c>
      <c r="J126" s="67">
        <f>+K126-SUM(G126:I126)</f>
        <v>0</v>
      </c>
      <c r="K126" s="43">
        <v>0</v>
      </c>
      <c r="L126" s="62">
        <v>-34</v>
      </c>
      <c r="M126" s="63">
        <v>-28</v>
      </c>
      <c r="N126" s="63">
        <v>-26</v>
      </c>
      <c r="O126" s="67">
        <f>+P126-SUM(L126:N126)</f>
        <v>-29</v>
      </c>
      <c r="P126" s="43">
        <v>-117</v>
      </c>
      <c r="Q126" s="62">
        <v>-42</v>
      </c>
      <c r="R126" s="63">
        <v>-6</v>
      </c>
      <c r="S126" s="63">
        <v>-50</v>
      </c>
      <c r="T126" s="67">
        <f>+U126-SUM(Q126:S126)</f>
        <v>-45</v>
      </c>
      <c r="U126" s="43">
        <v>-143</v>
      </c>
      <c r="V126" s="62">
        <v>-93</v>
      </c>
      <c r="W126" s="63">
        <v>-94</v>
      </c>
      <c r="X126" s="63">
        <v>-93</v>
      </c>
      <c r="Y126" s="67">
        <f>+Z126-SUM(V126:X126)</f>
        <v>-94</v>
      </c>
      <c r="Z126" s="43">
        <v>-374</v>
      </c>
      <c r="AA126" s="62">
        <v>-87</v>
      </c>
      <c r="AB126" s="62">
        <v>-84</v>
      </c>
      <c r="AC126" s="63">
        <v>-84</v>
      </c>
      <c r="AD126" s="63">
        <v>-85</v>
      </c>
      <c r="AE126" s="23">
        <f>SUM(AA126:AD126)</f>
        <v>-340</v>
      </c>
      <c r="AF126" s="62">
        <v>-177</v>
      </c>
      <c r="AG126" s="62">
        <v>-175</v>
      </c>
      <c r="AH126" s="63">
        <v>-29</v>
      </c>
      <c r="AI126" s="63">
        <v>-147</v>
      </c>
      <c r="AJ126" s="23">
        <f>SUM(AF126:AI126)</f>
        <v>-528</v>
      </c>
      <c r="AK126" s="62">
        <v>-220</v>
      </c>
      <c r="AL126" s="62">
        <v>-221</v>
      </c>
      <c r="AM126" s="63">
        <v>-225</v>
      </c>
      <c r="AN126" s="63">
        <v>-215</v>
      </c>
      <c r="AO126" s="23">
        <f>SUM(AK126:AN126)</f>
        <v>-881</v>
      </c>
      <c r="AP126" s="62">
        <v>-134</v>
      </c>
      <c r="AQ126" s="63">
        <v>-134</v>
      </c>
      <c r="AR126" s="63">
        <v>-134</v>
      </c>
      <c r="AS126" s="63">
        <v>-127</v>
      </c>
      <c r="AT126" s="23">
        <f>SUM(AP126:AS126)</f>
        <v>-529</v>
      </c>
      <c r="AU126" s="62">
        <v>-123</v>
      </c>
      <c r="AV126" s="63">
        <v>-122</v>
      </c>
      <c r="AW126" s="63">
        <v>-123</v>
      </c>
      <c r="AX126" s="63">
        <v>-108</v>
      </c>
      <c r="AY126" s="23">
        <f>SUM(AU126:AX126)</f>
        <v>-476</v>
      </c>
      <c r="AZ126" s="62">
        <v>-43</v>
      </c>
      <c r="BA126" s="63">
        <v>-42</v>
      </c>
      <c r="BB126" s="63">
        <v>-42</v>
      </c>
      <c r="BC126" s="63">
        <v>-49</v>
      </c>
      <c r="BD126" s="23">
        <f>SUM(AZ126:BC126)</f>
        <v>-176</v>
      </c>
      <c r="BE126" s="41">
        <f t="shared" ref="BE126:BG127" si="369">$BI126/4</f>
        <v>-50</v>
      </c>
      <c r="BF126" s="41">
        <f t="shared" si="369"/>
        <v>-50</v>
      </c>
      <c r="BG126" s="41">
        <f t="shared" si="369"/>
        <v>-50</v>
      </c>
      <c r="BH126" s="22">
        <f>BI126-SUM(BE126:BG126)</f>
        <v>-50</v>
      </c>
      <c r="BI126" s="43">
        <v>-200</v>
      </c>
    </row>
    <row r="127" spans="1:62" outlineLevel="1">
      <c r="A127" s="1" t="s">
        <v>330</v>
      </c>
      <c r="B127" s="62">
        <v>0</v>
      </c>
      <c r="C127" s="63">
        <v>0</v>
      </c>
      <c r="D127" s="63">
        <v>0</v>
      </c>
      <c r="E127" s="67">
        <f>+F127-SUM(B127:D127)</f>
        <v>0</v>
      </c>
      <c r="F127" s="43">
        <v>0</v>
      </c>
      <c r="G127" s="62">
        <v>0</v>
      </c>
      <c r="H127" s="63">
        <v>0</v>
      </c>
      <c r="I127" s="63">
        <v>0</v>
      </c>
      <c r="J127" s="67">
        <f>+K127-SUM(G127:I127)</f>
        <v>0</v>
      </c>
      <c r="K127" s="43">
        <v>0</v>
      </c>
      <c r="L127" s="62">
        <v>30</v>
      </c>
      <c r="M127" s="63">
        <v>30</v>
      </c>
      <c r="N127" s="63">
        <v>31</v>
      </c>
      <c r="O127" s="67">
        <f>+P127-SUM(L127:N127)</f>
        <v>32</v>
      </c>
      <c r="P127" s="43">
        <v>123</v>
      </c>
      <c r="Q127" s="62">
        <v>24</v>
      </c>
      <c r="R127" s="63">
        <v>24</v>
      </c>
      <c r="S127" s="63">
        <v>29</v>
      </c>
      <c r="T127" s="67">
        <f>+U127-SUM(Q127:S127)</f>
        <v>24</v>
      </c>
      <c r="U127" s="43">
        <v>101</v>
      </c>
      <c r="V127" s="62">
        <v>27</v>
      </c>
      <c r="W127" s="63">
        <v>26</v>
      </c>
      <c r="X127" s="63">
        <v>27</v>
      </c>
      <c r="Y127" s="67">
        <f>+Z127-SUM(V127:X127)</f>
        <v>27</v>
      </c>
      <c r="Z127" s="43">
        <v>107</v>
      </c>
      <c r="AA127" s="62">
        <v>13</v>
      </c>
      <c r="AB127" s="62">
        <v>14</v>
      </c>
      <c r="AC127" s="63">
        <v>10</v>
      </c>
      <c r="AD127" s="63">
        <v>-21</v>
      </c>
      <c r="AE127" s="23">
        <f>SUM(AA127:AD127)</f>
        <v>16</v>
      </c>
      <c r="AF127" s="62">
        <v>-5</v>
      </c>
      <c r="AG127" s="62">
        <v>-5</v>
      </c>
      <c r="AH127" s="63">
        <v>-6</v>
      </c>
      <c r="AI127" s="63">
        <v>15</v>
      </c>
      <c r="AJ127" s="23">
        <f>SUM(AF127:AI127)</f>
        <v>-1</v>
      </c>
      <c r="AK127" s="62">
        <v>-15</v>
      </c>
      <c r="AL127" s="62">
        <v>-14</v>
      </c>
      <c r="AM127" s="63">
        <v>-15</v>
      </c>
      <c r="AN127" s="63">
        <v>-14</v>
      </c>
      <c r="AO127" s="23">
        <f>SUM(AK127:AN127)</f>
        <v>-58</v>
      </c>
      <c r="AP127" s="62">
        <v>-15</v>
      </c>
      <c r="AQ127" s="63">
        <v>-14</v>
      </c>
      <c r="AR127" s="63">
        <v>-15</v>
      </c>
      <c r="AS127" s="63">
        <v>-14</v>
      </c>
      <c r="AT127" s="23">
        <f>SUM(AP127:AS127)</f>
        <v>-58</v>
      </c>
      <c r="AU127" s="62">
        <v>-18</v>
      </c>
      <c r="AV127" s="63">
        <v>-19</v>
      </c>
      <c r="AW127" s="63">
        <v>-18</v>
      </c>
      <c r="AX127" s="63">
        <v>-18</v>
      </c>
      <c r="AY127" s="23">
        <f>SUM(AU127:AX127)</f>
        <v>-73</v>
      </c>
      <c r="AZ127" s="62">
        <v>-5</v>
      </c>
      <c r="BA127" s="63">
        <v>-4</v>
      </c>
      <c r="BB127" s="63">
        <v>-5</v>
      </c>
      <c r="BC127" s="63">
        <v>-5</v>
      </c>
      <c r="BD127" s="23">
        <f>SUM(AZ127:BC127)</f>
        <v>-19</v>
      </c>
      <c r="BE127" s="41">
        <f t="shared" si="369"/>
        <v>-10</v>
      </c>
      <c r="BF127" s="41">
        <f t="shared" si="369"/>
        <v>-10</v>
      </c>
      <c r="BG127" s="41">
        <f t="shared" si="369"/>
        <v>-10</v>
      </c>
      <c r="BH127" s="22">
        <f>BI127-SUM(BE127:BG127)</f>
        <v>-10</v>
      </c>
      <c r="BI127" s="43">
        <v>-40</v>
      </c>
    </row>
    <row r="128" spans="1:62" outlineLevel="1">
      <c r="A128" s="1" t="s">
        <v>331</v>
      </c>
      <c r="B128" s="62">
        <f>-113+0.1*713.1</f>
        <v>-41.69</v>
      </c>
      <c r="C128" s="63">
        <f>-0.02*697.8</f>
        <v>-13.956</v>
      </c>
      <c r="D128" s="63">
        <f>-0.03*687.8</f>
        <v>-20.633999999999997</v>
      </c>
      <c r="E128" s="67">
        <f>+F128-SUM(B128:D128)</f>
        <v>-27.97</v>
      </c>
      <c r="F128" s="43">
        <f>-0.15*695</f>
        <v>-104.25</v>
      </c>
      <c r="G128" s="62">
        <f>0.05*664.8</f>
        <v>33.24</v>
      </c>
      <c r="H128" s="62">
        <f>0.04*635.3</f>
        <v>25.411999999999999</v>
      </c>
      <c r="I128" s="62">
        <f>0.05*631.8</f>
        <v>31.59</v>
      </c>
      <c r="J128" s="67">
        <f>+K128-SUM(G128:I128)</f>
        <v>38.317999999999998</v>
      </c>
      <c r="K128" s="43">
        <f>0.2*642.8</f>
        <v>128.56</v>
      </c>
      <c r="L128" s="62">
        <v>122</v>
      </c>
      <c r="M128" s="63">
        <v>125</v>
      </c>
      <c r="N128" s="63">
        <v>119</v>
      </c>
      <c r="O128" s="67">
        <f>+P128-SUM(L128:N128)</f>
        <v>135</v>
      </c>
      <c r="P128" s="43">
        <v>501</v>
      </c>
      <c r="Q128" s="62">
        <v>80</v>
      </c>
      <c r="R128" s="63">
        <v>63</v>
      </c>
      <c r="S128" s="63">
        <v>75</v>
      </c>
      <c r="T128" s="67">
        <f>+U128-SUM(Q128:S128)</f>
        <v>69</v>
      </c>
      <c r="U128" s="43">
        <v>287</v>
      </c>
      <c r="V128" s="62">
        <v>90</v>
      </c>
      <c r="W128" s="63">
        <v>91</v>
      </c>
      <c r="X128" s="63">
        <v>90</v>
      </c>
      <c r="Y128" s="67">
        <f>+Z128-SUM(V128:X128)</f>
        <v>82</v>
      </c>
      <c r="Z128" s="43">
        <v>353</v>
      </c>
      <c r="AA128" s="62">
        <v>88</v>
      </c>
      <c r="AB128" s="62">
        <f>178-AA128</f>
        <v>90</v>
      </c>
      <c r="AC128" s="63">
        <v>90</v>
      </c>
      <c r="AD128" s="63">
        <v>91</v>
      </c>
      <c r="AE128" s="23">
        <f>SUM(AA128:AD128)</f>
        <v>359</v>
      </c>
      <c r="AF128" s="62">
        <v>95</v>
      </c>
      <c r="AG128" s="62">
        <v>94</v>
      </c>
      <c r="AH128" s="63">
        <v>64</v>
      </c>
      <c r="AI128" s="63">
        <v>104</v>
      </c>
      <c r="AJ128" s="23">
        <f>SUM(AF128:AI128)</f>
        <v>357</v>
      </c>
      <c r="AK128" s="62">
        <v>109</v>
      </c>
      <c r="AL128" s="62">
        <v>109</v>
      </c>
      <c r="AM128" s="63">
        <v>109</v>
      </c>
      <c r="AN128" s="63">
        <v>110</v>
      </c>
      <c r="AO128" s="23">
        <f>SUM(AK128:AN128)</f>
        <v>437</v>
      </c>
      <c r="AP128" s="62">
        <v>92</v>
      </c>
      <c r="AQ128" s="63">
        <v>92</v>
      </c>
      <c r="AR128" s="63">
        <v>90</v>
      </c>
      <c r="AS128" s="63">
        <v>70</v>
      </c>
      <c r="AT128" s="23">
        <f>SUM(AP128:AS128)</f>
        <v>344</v>
      </c>
      <c r="AU128" s="62">
        <v>93</v>
      </c>
      <c r="AV128" s="63">
        <v>93</v>
      </c>
      <c r="AW128" s="63">
        <v>77</v>
      </c>
      <c r="AX128" s="63">
        <v>84</v>
      </c>
      <c r="AY128" s="23">
        <f>SUM(AU128:AX128)</f>
        <v>347</v>
      </c>
      <c r="AZ128" s="62">
        <v>64.8</v>
      </c>
      <c r="BA128" s="63">
        <v>63.8</v>
      </c>
      <c r="BB128" s="63">
        <v>65.8</v>
      </c>
      <c r="BC128" s="63">
        <v>65.8</v>
      </c>
      <c r="BD128" s="23">
        <f>SUM(AZ128:BC128)</f>
        <v>260.2</v>
      </c>
      <c r="BE128" s="67">
        <f t="shared" ref="BE128:BG128" si="370">-(BE119+BE120+BE126+BE127)*21%</f>
        <v>70.875</v>
      </c>
      <c r="BF128" s="67">
        <f t="shared" si="370"/>
        <v>70.875</v>
      </c>
      <c r="BG128" s="67">
        <f t="shared" si="370"/>
        <v>70.875</v>
      </c>
      <c r="BH128" s="67">
        <f>-(BH119+BH120+BH126+BH127)*21%</f>
        <v>70.875</v>
      </c>
      <c r="BI128" s="23">
        <f>SUM(BE128:BH128)</f>
        <v>283.5</v>
      </c>
      <c r="BJ128" s="251"/>
    </row>
    <row r="129" spans="1:64" outlineLevel="1">
      <c r="A129" s="1" t="s">
        <v>1</v>
      </c>
      <c r="B129" s="62">
        <v>0</v>
      </c>
      <c r="C129" s="63">
        <v>0</v>
      </c>
      <c r="D129" s="63">
        <v>0</v>
      </c>
      <c r="E129" s="67">
        <f>+F129-SUM(B129:D129)</f>
        <v>0</v>
      </c>
      <c r="F129" s="43">
        <v>0</v>
      </c>
      <c r="G129" s="62">
        <v>0</v>
      </c>
      <c r="H129" s="63">
        <v>0</v>
      </c>
      <c r="I129" s="63">
        <v>0</v>
      </c>
      <c r="J129" s="67">
        <f>+K129-SUM(G129:I129)</f>
        <v>0</v>
      </c>
      <c r="K129" s="43">
        <v>0</v>
      </c>
      <c r="L129" s="62">
        <v>0</v>
      </c>
      <c r="M129" s="63">
        <v>0</v>
      </c>
      <c r="N129" s="63">
        <v>0</v>
      </c>
      <c r="O129" s="67">
        <f>+P129-SUM(L129:N129)</f>
        <v>0</v>
      </c>
      <c r="P129" s="43">
        <v>0</v>
      </c>
      <c r="Q129" s="62">
        <v>0</v>
      </c>
      <c r="R129" s="63">
        <v>0</v>
      </c>
      <c r="S129" s="63">
        <v>0</v>
      </c>
      <c r="T129" s="67">
        <f>+U129-SUM(Q129:S129)</f>
        <v>0</v>
      </c>
      <c r="U129" s="43">
        <v>0</v>
      </c>
      <c r="V129" s="62">
        <v>0</v>
      </c>
      <c r="W129" s="63">
        <v>0</v>
      </c>
      <c r="X129" s="63">
        <v>0</v>
      </c>
      <c r="Y129" s="67">
        <f>+Z129-SUM(V129:X129)</f>
        <v>0</v>
      </c>
      <c r="Z129" s="43">
        <v>0</v>
      </c>
      <c r="AA129" s="62">
        <v>0</v>
      </c>
      <c r="AB129" s="62">
        <v>0</v>
      </c>
      <c r="AC129" s="63">
        <v>0</v>
      </c>
      <c r="AD129" s="63">
        <v>0</v>
      </c>
      <c r="AE129" s="23">
        <f>SUM(AA129:AD129)</f>
        <v>0</v>
      </c>
      <c r="AF129" s="62">
        <v>0</v>
      </c>
      <c r="AG129" s="62">
        <v>0</v>
      </c>
      <c r="AH129" s="63">
        <v>0</v>
      </c>
      <c r="AI129" s="63">
        <v>0</v>
      </c>
      <c r="AJ129" s="23">
        <f>SUM(AF129:AI129)</f>
        <v>0</v>
      </c>
      <c r="AK129" s="62">
        <v>0</v>
      </c>
      <c r="AL129" s="62">
        <v>0</v>
      </c>
      <c r="AM129" s="63">
        <v>0</v>
      </c>
      <c r="AN129" s="63">
        <v>0</v>
      </c>
      <c r="AO129" s="23">
        <f>SUM(AK129:AN129)</f>
        <v>0</v>
      </c>
      <c r="AP129" s="62">
        <v>0</v>
      </c>
      <c r="AQ129" s="63">
        <v>0</v>
      </c>
      <c r="AR129" s="63">
        <v>0</v>
      </c>
      <c r="AS129" s="63">
        <v>0</v>
      </c>
      <c r="AT129" s="23">
        <f>SUM(AP129:AS129)</f>
        <v>0</v>
      </c>
      <c r="AU129" s="62">
        <v>0</v>
      </c>
      <c r="AV129" s="63">
        <v>0</v>
      </c>
      <c r="AW129" s="63">
        <v>0</v>
      </c>
      <c r="AX129" s="63">
        <v>0</v>
      </c>
      <c r="AY129" s="23">
        <f>SUM(AU129:AX129)</f>
        <v>0</v>
      </c>
      <c r="AZ129" s="62">
        <v>0</v>
      </c>
      <c r="BA129" s="63">
        <v>0</v>
      </c>
      <c r="BB129" s="63">
        <v>0</v>
      </c>
      <c r="BC129" s="63">
        <f ca="1">BD129-SUM(AZ129:BB129)</f>
        <v>0</v>
      </c>
      <c r="BD129" s="23">
        <f ca="1">SUM(AZ129:BC129)</f>
        <v>0</v>
      </c>
      <c r="BE129" s="63">
        <v>0</v>
      </c>
      <c r="BF129" s="63">
        <v>0</v>
      </c>
      <c r="BG129" s="63">
        <v>0</v>
      </c>
      <c r="BH129" s="22">
        <f>BI129-SUM(BE129:BG129)</f>
        <v>0</v>
      </c>
      <c r="BI129" s="23">
        <v>0</v>
      </c>
    </row>
    <row r="130" spans="1:64" outlineLevel="1">
      <c r="A130" s="14" t="s">
        <v>332</v>
      </c>
      <c r="B130" s="167">
        <f t="shared" ref="B130:AH130" si="371">B119+B120+B126+B127+B128+B129</f>
        <v>71.31</v>
      </c>
      <c r="C130" s="168">
        <f t="shared" si="371"/>
        <v>16.044</v>
      </c>
      <c r="D130" s="168">
        <f t="shared" si="371"/>
        <v>36.366</v>
      </c>
      <c r="E130" s="77">
        <f t="shared" si="371"/>
        <v>70.03</v>
      </c>
      <c r="F130" s="78">
        <f t="shared" si="371"/>
        <v>193.75</v>
      </c>
      <c r="G130" s="167">
        <f t="shared" si="371"/>
        <v>-60.76</v>
      </c>
      <c r="H130" s="168">
        <f t="shared" si="371"/>
        <v>-43.588000000000001</v>
      </c>
      <c r="I130" s="168">
        <f t="shared" si="371"/>
        <v>-56.41</v>
      </c>
      <c r="J130" s="77">
        <f t="shared" si="371"/>
        <v>-80.682000000000002</v>
      </c>
      <c r="K130" s="78">
        <f t="shared" si="371"/>
        <v>-241.44</v>
      </c>
      <c r="L130" s="167">
        <f t="shared" si="371"/>
        <v>-228</v>
      </c>
      <c r="M130" s="168">
        <f t="shared" si="371"/>
        <v>-230</v>
      </c>
      <c r="N130" s="168">
        <f t="shared" si="371"/>
        <v>-222</v>
      </c>
      <c r="O130" s="77">
        <f t="shared" si="371"/>
        <v>-251</v>
      </c>
      <c r="P130" s="78">
        <f t="shared" si="371"/>
        <v>-931</v>
      </c>
      <c r="Q130" s="167">
        <f t="shared" si="371"/>
        <v>-303</v>
      </c>
      <c r="R130" s="168">
        <f t="shared" si="371"/>
        <v>-236</v>
      </c>
      <c r="S130" s="168">
        <f t="shared" si="371"/>
        <v>-283</v>
      </c>
      <c r="T130" s="77">
        <f t="shared" si="371"/>
        <v>-260</v>
      </c>
      <c r="U130" s="78">
        <f t="shared" si="371"/>
        <v>-1082</v>
      </c>
      <c r="V130" s="167">
        <f t="shared" si="371"/>
        <v>-340</v>
      </c>
      <c r="W130" s="168">
        <f t="shared" si="371"/>
        <v>-342</v>
      </c>
      <c r="X130" s="168">
        <f t="shared" si="371"/>
        <v>-340</v>
      </c>
      <c r="Y130" s="77">
        <f t="shared" si="371"/>
        <v>-307</v>
      </c>
      <c r="Z130" s="78">
        <f t="shared" si="371"/>
        <v>-1329</v>
      </c>
      <c r="AA130" s="167">
        <f t="shared" si="371"/>
        <v>-333</v>
      </c>
      <c r="AB130" s="167">
        <f>AB119+AB120+AB126+AB127+AB128+AB129</f>
        <v>-335</v>
      </c>
      <c r="AC130" s="168">
        <f t="shared" si="371"/>
        <v>-337</v>
      </c>
      <c r="AD130" s="77">
        <f>AD119+AD120+AD126+AD127+AD128+AD129</f>
        <v>-343</v>
      </c>
      <c r="AE130" s="78">
        <f t="shared" si="371"/>
        <v>-1348</v>
      </c>
      <c r="AF130" s="168">
        <f t="shared" si="371"/>
        <v>-357</v>
      </c>
      <c r="AG130" s="168">
        <f t="shared" si="371"/>
        <v>-354</v>
      </c>
      <c r="AH130" s="168">
        <f t="shared" si="371"/>
        <v>-241</v>
      </c>
      <c r="AI130" s="77">
        <f t="shared" ref="AI130:AQ130" si="372">AI119+AI120+AI126+AI127+AI128+AI129</f>
        <v>-393</v>
      </c>
      <c r="AJ130" s="78">
        <f t="shared" si="372"/>
        <v>-1345</v>
      </c>
      <c r="AK130" s="168">
        <f t="shared" si="372"/>
        <v>-409</v>
      </c>
      <c r="AL130" s="168">
        <f t="shared" si="372"/>
        <v>-410</v>
      </c>
      <c r="AM130" s="168">
        <f t="shared" si="372"/>
        <v>-410</v>
      </c>
      <c r="AN130" s="77">
        <f t="shared" ref="AN130:AP130" si="373">AN119+AN120+AN126+AN127+AN128+AN129</f>
        <v>-416</v>
      </c>
      <c r="AO130" s="78">
        <f t="shared" si="373"/>
        <v>-1645</v>
      </c>
      <c r="AP130" s="168">
        <f t="shared" si="373"/>
        <v>-348</v>
      </c>
      <c r="AQ130" s="77">
        <f t="shared" si="372"/>
        <v>-347</v>
      </c>
      <c r="AR130" s="168">
        <f t="shared" ref="AR130:AV130" si="374">AR119+AR120+AR126+AR127+AR128+AR129</f>
        <v>-340</v>
      </c>
      <c r="AS130" s="77">
        <f t="shared" si="374"/>
        <v>-264</v>
      </c>
      <c r="AT130" s="78">
        <f t="shared" si="374"/>
        <v>-1299</v>
      </c>
      <c r="AU130" s="168">
        <f t="shared" si="374"/>
        <v>-350</v>
      </c>
      <c r="AV130" s="77">
        <f t="shared" si="374"/>
        <v>-350</v>
      </c>
      <c r="AW130" s="168">
        <f t="shared" ref="AW130:AZ130" si="375">AW119+AW120+AW126+AW127+AW128+AW129</f>
        <v>-292</v>
      </c>
      <c r="AX130" s="77">
        <f t="shared" si="375"/>
        <v>-314</v>
      </c>
      <c r="AY130" s="78">
        <f t="shared" si="375"/>
        <v>-1306</v>
      </c>
      <c r="AZ130" s="168">
        <f t="shared" si="375"/>
        <v>-245.2</v>
      </c>
      <c r="BA130" s="77">
        <f t="shared" ref="BA130:BB130" si="376">BA119+BA120+BA126+BA127+BA128+BA129</f>
        <v>-239.2</v>
      </c>
      <c r="BB130" s="168">
        <f t="shared" si="376"/>
        <v>-249.2</v>
      </c>
      <c r="BC130" s="77">
        <f t="shared" ref="BC130:BG130" ca="1" si="377">BC119+BC120+BC126+BC127+BC128+BC129</f>
        <v>-246.2</v>
      </c>
      <c r="BD130" s="78">
        <f t="shared" ca="1" si="377"/>
        <v>-979.8</v>
      </c>
      <c r="BE130" s="77">
        <f t="shared" si="377"/>
        <v>-266.625</v>
      </c>
      <c r="BF130" s="77">
        <f t="shared" si="377"/>
        <v>-266.625</v>
      </c>
      <c r="BG130" s="77">
        <f t="shared" si="377"/>
        <v>-266.625</v>
      </c>
      <c r="BH130" s="77">
        <f t="shared" ref="BH130:BI130" si="378">BH119+BH120+BH126+BH127+BH128+BH129</f>
        <v>-266.625</v>
      </c>
      <c r="BI130" s="78">
        <f t="shared" si="378"/>
        <v>-1066.5</v>
      </c>
      <c r="BL130" s="414">
        <f ca="1">BC130/BC79</f>
        <v>-0.30629509828315504</v>
      </c>
    </row>
    <row r="131" spans="1:64">
      <c r="A131" s="2"/>
      <c r="B131" s="34"/>
      <c r="C131" s="35"/>
      <c r="D131" s="35"/>
      <c r="E131" s="35"/>
      <c r="F131" s="36"/>
      <c r="G131" s="34"/>
      <c r="H131" s="35"/>
      <c r="I131" s="35"/>
      <c r="J131" s="35"/>
      <c r="K131" s="36"/>
      <c r="L131" s="34"/>
      <c r="M131" s="35"/>
      <c r="N131" s="35"/>
      <c r="O131" s="35"/>
      <c r="P131" s="36"/>
      <c r="Q131" s="34"/>
      <c r="R131" s="35"/>
      <c r="S131" s="35"/>
      <c r="T131" s="35"/>
      <c r="U131" s="36"/>
      <c r="V131" s="34"/>
      <c r="W131" s="35"/>
      <c r="X131" s="35"/>
      <c r="Y131" s="35"/>
      <c r="Z131" s="36"/>
      <c r="AA131" s="34"/>
      <c r="AB131" s="34"/>
      <c r="AC131" s="35"/>
      <c r="AD131" s="35"/>
      <c r="AE131" s="36"/>
      <c r="AF131" s="35"/>
      <c r="AG131" s="35"/>
      <c r="AH131" s="35"/>
      <c r="AI131" s="35"/>
      <c r="AJ131" s="36"/>
      <c r="AK131" s="35"/>
      <c r="AL131" s="35"/>
      <c r="AM131" s="35"/>
      <c r="AN131" s="35"/>
      <c r="AO131" s="36"/>
      <c r="AP131" s="35"/>
      <c r="AQ131" s="35"/>
      <c r="AR131" s="35"/>
      <c r="AS131" s="35"/>
      <c r="AT131" s="36"/>
      <c r="AU131" s="35"/>
      <c r="AV131" s="35"/>
      <c r="AW131" s="35"/>
      <c r="AX131" s="35"/>
      <c r="AY131" s="36"/>
      <c r="AZ131" s="35"/>
      <c r="BA131" s="35"/>
      <c r="BB131" s="35"/>
      <c r="BC131" s="35"/>
      <c r="BD131" s="36"/>
      <c r="BE131" s="35"/>
      <c r="BF131" s="35"/>
      <c r="BG131" s="35"/>
      <c r="BH131" s="35"/>
      <c r="BI131" s="36"/>
    </row>
    <row r="132" spans="1:64">
      <c r="A132" s="14" t="s">
        <v>61</v>
      </c>
      <c r="B132" s="65"/>
      <c r="C132" s="66"/>
      <c r="D132" s="66"/>
      <c r="E132" s="46"/>
      <c r="F132" s="40"/>
      <c r="G132" s="65"/>
      <c r="H132" s="66"/>
      <c r="I132" s="66"/>
      <c r="J132" s="46"/>
      <c r="K132" s="40"/>
      <c r="L132" s="65"/>
      <c r="M132" s="66"/>
      <c r="N132" s="66"/>
      <c r="O132" s="46"/>
      <c r="P132" s="40"/>
      <c r="Q132" s="65"/>
      <c r="R132" s="66"/>
      <c r="S132" s="66"/>
      <c r="T132" s="46"/>
      <c r="U132" s="40"/>
      <c r="V132" s="65"/>
      <c r="W132" s="66"/>
      <c r="X132" s="66"/>
      <c r="Y132" s="46"/>
      <c r="Z132" s="40"/>
      <c r="AA132" s="65"/>
      <c r="AB132" s="65"/>
      <c r="AC132" s="66"/>
      <c r="AD132" s="46"/>
      <c r="AE132" s="40"/>
      <c r="AF132" s="66"/>
      <c r="AG132" s="66"/>
      <c r="AH132" s="66"/>
      <c r="AI132" s="46"/>
      <c r="AJ132" s="40"/>
      <c r="AK132" s="66"/>
      <c r="AL132" s="66"/>
      <c r="AM132" s="66"/>
      <c r="AN132" s="46"/>
      <c r="AO132" s="40"/>
      <c r="AP132" s="66"/>
      <c r="AQ132" s="46"/>
      <c r="AR132" s="66"/>
      <c r="AS132" s="46"/>
      <c r="AT132" s="40"/>
      <c r="AU132" s="66"/>
      <c r="AV132" s="46"/>
      <c r="AW132" s="46"/>
      <c r="AX132" s="46"/>
      <c r="AY132" s="40"/>
      <c r="AZ132" s="46"/>
      <c r="BA132" s="46"/>
      <c r="BB132" s="46"/>
      <c r="BC132" s="46"/>
      <c r="BD132" s="40"/>
      <c r="BE132" s="46"/>
      <c r="BF132" s="46"/>
      <c r="BG132" s="46"/>
      <c r="BH132" s="46"/>
      <c r="BI132" s="40"/>
    </row>
    <row r="133" spans="1:64">
      <c r="A133" s="1" t="s">
        <v>59</v>
      </c>
      <c r="B133" s="22">
        <f>B22+B38</f>
        <v>-152</v>
      </c>
      <c r="C133" s="22">
        <f>C22+C38</f>
        <v>-57</v>
      </c>
      <c r="D133" s="22">
        <f>D22+D38</f>
        <v>-84</v>
      </c>
      <c r="E133" s="22">
        <f>+F133-SUM(B133:D133)</f>
        <v>-128</v>
      </c>
      <c r="F133" s="23">
        <f>F22+F38</f>
        <v>-421</v>
      </c>
      <c r="G133" s="22">
        <f>G22+G38</f>
        <v>45</v>
      </c>
      <c r="H133" s="22">
        <f>H22+H38</f>
        <v>34</v>
      </c>
      <c r="I133" s="22">
        <f>I22+I38</f>
        <v>50</v>
      </c>
      <c r="J133" s="22">
        <f>+K133-SUM(G133:I133)</f>
        <v>88</v>
      </c>
      <c r="K133" s="23">
        <f>K22+K38</f>
        <v>217</v>
      </c>
      <c r="L133" s="22">
        <f>L22+L38</f>
        <v>262</v>
      </c>
      <c r="M133" s="22">
        <f>M22+M38</f>
        <v>278</v>
      </c>
      <c r="N133" s="22">
        <f>N22+N38</f>
        <v>271</v>
      </c>
      <c r="O133" s="22">
        <f>+P133-SUM(L133:N133)</f>
        <v>316</v>
      </c>
      <c r="P133" s="23">
        <f>P22+P38</f>
        <v>1127</v>
      </c>
      <c r="Q133" s="22">
        <f>Q22+Q38</f>
        <v>283</v>
      </c>
      <c r="R133" s="22">
        <f>R22+R38</f>
        <v>237</v>
      </c>
      <c r="S133" s="22">
        <f>S22+S38</f>
        <v>260</v>
      </c>
      <c r="T133" s="22">
        <f>+U133-SUM(Q133:S133)</f>
        <v>225</v>
      </c>
      <c r="U133" s="23">
        <f>U22+U38</f>
        <v>1005</v>
      </c>
      <c r="V133" s="22">
        <f>V22+V38</f>
        <v>274</v>
      </c>
      <c r="W133" s="22">
        <f>W22+W38</f>
        <v>275</v>
      </c>
      <c r="X133" s="22">
        <f>X22+X38</f>
        <v>274</v>
      </c>
      <c r="Y133" s="22">
        <f>+Z133-SUM(V133:X133)</f>
        <v>248</v>
      </c>
      <c r="Z133" s="23">
        <f>Z22+Z38</f>
        <v>1071</v>
      </c>
      <c r="AA133" s="22">
        <f>AA22+AA38</f>
        <v>255</v>
      </c>
      <c r="AB133" s="22">
        <f>AB22+AB38</f>
        <v>258</v>
      </c>
      <c r="AC133" s="22">
        <f>AC22+AC38</f>
        <v>260</v>
      </c>
      <c r="AD133" s="22">
        <f>AD22+AD38</f>
        <v>251</v>
      </c>
      <c r="AE133" s="23">
        <f>SUM(AA133:AD133)</f>
        <v>1024</v>
      </c>
      <c r="AF133" s="22">
        <f>AF22+AF38</f>
        <v>193</v>
      </c>
      <c r="AG133" s="22">
        <f>AG22+AG38</f>
        <v>191</v>
      </c>
      <c r="AH133" s="22">
        <f>AH22+AH38</f>
        <v>192</v>
      </c>
      <c r="AI133" s="22">
        <f>AI22+AI38</f>
        <v>306</v>
      </c>
      <c r="AJ133" s="23">
        <f>SUM(AF133:AI133)</f>
        <v>882</v>
      </c>
      <c r="AK133" s="22">
        <f>AK22+AK38</f>
        <v>208</v>
      </c>
      <c r="AL133" s="22">
        <f>AL22+AL38</f>
        <v>205</v>
      </c>
      <c r="AM133" s="22">
        <f>AM22+AM38</f>
        <v>208</v>
      </c>
      <c r="AN133" s="22">
        <f>AN22+AN38</f>
        <v>228</v>
      </c>
      <c r="AO133" s="23">
        <f>SUM(AK133:AN133)</f>
        <v>849</v>
      </c>
      <c r="AP133" s="22">
        <f>AP22+AP38</f>
        <v>223</v>
      </c>
      <c r="AQ133" s="22">
        <f t="shared" ref="AQ133" si="379">AQ22+AQ38</f>
        <v>222</v>
      </c>
      <c r="AR133" s="22">
        <f>AR22+AR38</f>
        <v>218</v>
      </c>
      <c r="AS133" s="22">
        <f>AS22+AS38</f>
        <v>136</v>
      </c>
      <c r="AT133" s="23">
        <f>SUM(AP133:AS133)</f>
        <v>799</v>
      </c>
      <c r="AU133" s="22">
        <f t="shared" ref="AU133:AV133" si="380">AU22+AU38</f>
        <v>230</v>
      </c>
      <c r="AV133" s="22">
        <f t="shared" si="380"/>
        <v>230</v>
      </c>
      <c r="AW133" s="22">
        <f t="shared" ref="AW133" si="381">AW22+AW38</f>
        <v>148</v>
      </c>
      <c r="AX133" s="22">
        <f>AX22+AX38</f>
        <v>203</v>
      </c>
      <c r="AY133" s="23">
        <f>SUM(AU133:AX133)</f>
        <v>811</v>
      </c>
      <c r="AZ133" s="22">
        <f t="shared" ref="AZ133:BC133" si="382">AZ22+AZ38</f>
        <v>193</v>
      </c>
      <c r="BA133" s="22">
        <f t="shared" si="382"/>
        <v>197</v>
      </c>
      <c r="BB133" s="22">
        <f t="shared" si="382"/>
        <v>198</v>
      </c>
      <c r="BC133" s="22">
        <f t="shared" si="382"/>
        <v>196</v>
      </c>
      <c r="BD133" s="23">
        <f>SUM(AZ133:BC133)</f>
        <v>784</v>
      </c>
      <c r="BE133" s="22">
        <f t="shared" ref="BE133:BG133" si="383">BE22+BE38</f>
        <v>212.5</v>
      </c>
      <c r="BF133" s="22">
        <f t="shared" si="383"/>
        <v>212.5</v>
      </c>
      <c r="BG133" s="22">
        <f t="shared" si="383"/>
        <v>212.5</v>
      </c>
      <c r="BH133" s="22">
        <f t="shared" ref="BH133" si="384">BH22+BH38</f>
        <v>212.5</v>
      </c>
      <c r="BI133" s="23">
        <f>SUM(BE133:BH133)</f>
        <v>850</v>
      </c>
    </row>
    <row r="134" spans="1:64">
      <c r="A134" s="1" t="s">
        <v>42</v>
      </c>
      <c r="B134" s="22">
        <f>B23</f>
        <v>39</v>
      </c>
      <c r="C134" s="22">
        <f>C23</f>
        <v>27</v>
      </c>
      <c r="D134" s="22">
        <f>D23</f>
        <v>27</v>
      </c>
      <c r="E134" s="22">
        <f>+F134-SUM(B134:D134)</f>
        <v>30</v>
      </c>
      <c r="F134" s="23">
        <f>F23</f>
        <v>123</v>
      </c>
      <c r="G134" s="22">
        <f>G23</f>
        <v>49</v>
      </c>
      <c r="H134" s="22">
        <f>H23</f>
        <v>35</v>
      </c>
      <c r="I134" s="22">
        <f>I23</f>
        <v>38</v>
      </c>
      <c r="J134" s="22">
        <f>+K134-SUM(G134:I134)</f>
        <v>31</v>
      </c>
      <c r="K134" s="23">
        <f>K23</f>
        <v>153</v>
      </c>
      <c r="L134" s="22">
        <f>L23</f>
        <v>84</v>
      </c>
      <c r="M134" s="22">
        <f>M23</f>
        <v>79</v>
      </c>
      <c r="N134" s="22">
        <f>N23</f>
        <v>75</v>
      </c>
      <c r="O134" s="22">
        <f>+P134-SUM(L134:N134)</f>
        <v>73</v>
      </c>
      <c r="P134" s="23">
        <f>P23</f>
        <v>311</v>
      </c>
      <c r="Q134" s="22">
        <f>Q23</f>
        <v>82</v>
      </c>
      <c r="R134" s="22">
        <f>R23</f>
        <v>80</v>
      </c>
      <c r="S134" s="22">
        <f>S23</f>
        <v>77</v>
      </c>
      <c r="T134" s="22">
        <f>+U134-SUM(Q134:S134)</f>
        <v>83</v>
      </c>
      <c r="U134" s="23">
        <f>U23</f>
        <v>322</v>
      </c>
      <c r="V134" s="22">
        <f>V23</f>
        <v>90</v>
      </c>
      <c r="W134" s="22">
        <f>W23</f>
        <v>90</v>
      </c>
      <c r="X134" s="22">
        <f>X23</f>
        <v>90</v>
      </c>
      <c r="Y134" s="22">
        <f>+Z134-SUM(V134:X134)</f>
        <v>74</v>
      </c>
      <c r="Z134" s="23">
        <f>Z23</f>
        <v>344</v>
      </c>
      <c r="AA134" s="22">
        <f>AA23</f>
        <v>92</v>
      </c>
      <c r="AB134" s="22">
        <f>AB23</f>
        <v>97</v>
      </c>
      <c r="AC134" s="22">
        <f>AC23</f>
        <v>93</v>
      </c>
      <c r="AD134" s="22">
        <f>AD23</f>
        <v>77</v>
      </c>
      <c r="AE134" s="23">
        <f>SUM(AA134:AD134)</f>
        <v>359</v>
      </c>
      <c r="AF134" s="22">
        <f>AF23</f>
        <v>77</v>
      </c>
      <c r="AG134" s="22">
        <f>AG23</f>
        <v>77</v>
      </c>
      <c r="AH134" s="22">
        <f>AH23</f>
        <v>78</v>
      </c>
      <c r="AI134" s="22">
        <f>AI23</f>
        <v>59</v>
      </c>
      <c r="AJ134" s="23">
        <f>SUM(AF134:AI134)</f>
        <v>291</v>
      </c>
      <c r="AK134" s="22">
        <f>AK23</f>
        <v>75</v>
      </c>
      <c r="AL134" s="22">
        <f>AL23</f>
        <v>79</v>
      </c>
      <c r="AM134" s="22">
        <f>AM23</f>
        <v>71</v>
      </c>
      <c r="AN134" s="22">
        <f>AN23</f>
        <v>69</v>
      </c>
      <c r="AO134" s="23">
        <f>SUM(AK134:AN134)</f>
        <v>294</v>
      </c>
      <c r="AP134" s="22">
        <f>AP23</f>
        <v>68</v>
      </c>
      <c r="AQ134" s="22">
        <f t="shared" ref="AQ134" si="385">AQ23</f>
        <v>69</v>
      </c>
      <c r="AR134" s="22">
        <f>AR23</f>
        <v>63</v>
      </c>
      <c r="AS134" s="22">
        <f>AS23</f>
        <v>57</v>
      </c>
      <c r="AT134" s="23">
        <f>SUM(AP134:AS134)</f>
        <v>257</v>
      </c>
      <c r="AU134" s="22">
        <f t="shared" ref="AU134:AV134" si="386">AU23</f>
        <v>72</v>
      </c>
      <c r="AV134" s="22">
        <f t="shared" si="386"/>
        <v>72</v>
      </c>
      <c r="AW134" s="22">
        <f t="shared" ref="AW134" si="387">AW23</f>
        <v>80</v>
      </c>
      <c r="AX134" s="22">
        <f>AX23</f>
        <v>69</v>
      </c>
      <c r="AY134" s="23">
        <f>SUM(AU134:AX134)</f>
        <v>293</v>
      </c>
      <c r="AZ134" s="22">
        <f t="shared" ref="AZ134:BC134" si="388">AZ23</f>
        <v>69</v>
      </c>
      <c r="BA134" s="22">
        <f t="shared" si="388"/>
        <v>60</v>
      </c>
      <c r="BB134" s="22">
        <f t="shared" si="388"/>
        <v>70</v>
      </c>
      <c r="BC134" s="22">
        <f t="shared" si="388"/>
        <v>62</v>
      </c>
      <c r="BD134" s="23">
        <f>SUM(AZ134:BC134)</f>
        <v>261</v>
      </c>
      <c r="BE134" s="22">
        <f t="shared" ref="BE134:BG134" si="389">BE23</f>
        <v>65</v>
      </c>
      <c r="BF134" s="22">
        <f t="shared" si="389"/>
        <v>65</v>
      </c>
      <c r="BG134" s="22">
        <f t="shared" si="389"/>
        <v>65</v>
      </c>
      <c r="BH134" s="22">
        <f t="shared" ref="BH134" si="390">BH23</f>
        <v>65</v>
      </c>
      <c r="BI134" s="23">
        <f>SUM(BE134:BH134)</f>
        <v>260</v>
      </c>
    </row>
    <row r="135" spans="1:64">
      <c r="A135" s="14" t="s">
        <v>62</v>
      </c>
      <c r="B135" s="77">
        <f>+SUM(B133:B134)</f>
        <v>-113</v>
      </c>
      <c r="C135" s="77">
        <f>+SUM(C133:C134)</f>
        <v>-30</v>
      </c>
      <c r="D135" s="77">
        <f>+SUM(D133:D134)</f>
        <v>-57</v>
      </c>
      <c r="E135" s="169">
        <f>+F135-SUM(B135:D135)</f>
        <v>-98</v>
      </c>
      <c r="F135" s="78">
        <f>+SUM(F133:F134)</f>
        <v>-298</v>
      </c>
      <c r="G135" s="77">
        <f>+SUM(G133:G134)</f>
        <v>94</v>
      </c>
      <c r="H135" s="77">
        <f>+SUM(H133:H134)</f>
        <v>69</v>
      </c>
      <c r="I135" s="77">
        <f>+SUM(I133:I134)</f>
        <v>88</v>
      </c>
      <c r="J135" s="169">
        <f>+K135-SUM(G135:I135)</f>
        <v>119</v>
      </c>
      <c r="K135" s="78">
        <f>+SUM(K133:K134)</f>
        <v>370</v>
      </c>
      <c r="L135" s="77">
        <f>+SUM(L133:L134)</f>
        <v>346</v>
      </c>
      <c r="M135" s="77">
        <f>+SUM(M133:M134)</f>
        <v>357</v>
      </c>
      <c r="N135" s="77">
        <f>+SUM(N133:N134)</f>
        <v>346</v>
      </c>
      <c r="O135" s="169">
        <f>+P135-SUM(L135:N135)</f>
        <v>389</v>
      </c>
      <c r="P135" s="78">
        <f>+SUM(P133:P134)</f>
        <v>1438</v>
      </c>
      <c r="Q135" s="77">
        <f>+SUM(Q133:Q134)</f>
        <v>365</v>
      </c>
      <c r="R135" s="77">
        <f>+SUM(R133:R134)</f>
        <v>317</v>
      </c>
      <c r="S135" s="77">
        <f>+SUM(S133:S134)</f>
        <v>337</v>
      </c>
      <c r="T135" s="169">
        <f>+U135-SUM(Q135:S135)</f>
        <v>308</v>
      </c>
      <c r="U135" s="78">
        <f>+SUM(U133:U134)</f>
        <v>1327</v>
      </c>
      <c r="V135" s="77">
        <f>+SUM(V133:V134)</f>
        <v>364</v>
      </c>
      <c r="W135" s="77">
        <f>+SUM(W133:W134)</f>
        <v>365</v>
      </c>
      <c r="X135" s="77">
        <f>+SUM(X133:X134)</f>
        <v>364</v>
      </c>
      <c r="Y135" s="169">
        <f>+Z135-SUM(V135:X135)</f>
        <v>322</v>
      </c>
      <c r="Z135" s="78">
        <f>+SUM(Z133:Z134)</f>
        <v>1415</v>
      </c>
      <c r="AA135" s="77">
        <f>+SUM(AA133:AA134)</f>
        <v>347</v>
      </c>
      <c r="AB135" s="77">
        <f>+SUM(AB133:AB134)</f>
        <v>355</v>
      </c>
      <c r="AC135" s="77">
        <f>+SUM(AC133:AC134)</f>
        <v>353</v>
      </c>
      <c r="AD135" s="169">
        <f>+AE135-SUM(AA135:AC135)</f>
        <v>328</v>
      </c>
      <c r="AE135" s="78">
        <f>+SUM(AE133:AE134)</f>
        <v>1383</v>
      </c>
      <c r="AF135" s="77">
        <f>+SUM(AF133:AF134)</f>
        <v>270</v>
      </c>
      <c r="AG135" s="77">
        <f>+SUM(AG133:AG134)</f>
        <v>268</v>
      </c>
      <c r="AH135" s="77">
        <f>+SUM(AH133:AH134)</f>
        <v>270</v>
      </c>
      <c r="AI135" s="169">
        <f>+AJ135-SUM(AF135:AH135)</f>
        <v>365</v>
      </c>
      <c r="AJ135" s="78">
        <f t="shared" ref="AJ135:AM135" si="391">+SUM(AJ133:AJ134)</f>
        <v>1173</v>
      </c>
      <c r="AK135" s="77">
        <f t="shared" si="391"/>
        <v>283</v>
      </c>
      <c r="AL135" s="77">
        <f t="shared" si="391"/>
        <v>284</v>
      </c>
      <c r="AM135" s="77">
        <f t="shared" si="391"/>
        <v>279</v>
      </c>
      <c r="AN135" s="169">
        <f>+AO135-SUM(AK135:AM135)</f>
        <v>297</v>
      </c>
      <c r="AO135" s="78">
        <f t="shared" ref="AO135" si="392">+SUM(AO133:AO134)</f>
        <v>1143</v>
      </c>
      <c r="AP135" s="77">
        <f t="shared" ref="AP135" si="393">+SUM(AP133:AP134)</f>
        <v>291</v>
      </c>
      <c r="AQ135" s="169">
        <f t="shared" ref="AQ135" si="394">+SUM(AQ133:AQ134)</f>
        <v>291</v>
      </c>
      <c r="AR135" s="77">
        <f t="shared" ref="AR135" si="395">+SUM(AR133:AR134)</f>
        <v>281</v>
      </c>
      <c r="AS135" s="169">
        <f>+AT135-SUM(AP135:AR135)</f>
        <v>193</v>
      </c>
      <c r="AT135" s="78">
        <f t="shared" ref="AT135" si="396">+SUM(AT133:AT134)</f>
        <v>1056</v>
      </c>
      <c r="AU135" s="169">
        <f t="shared" ref="AU135:AV135" si="397">+SUM(AU133:AU134)</f>
        <v>302</v>
      </c>
      <c r="AV135" s="169">
        <f t="shared" si="397"/>
        <v>302</v>
      </c>
      <c r="AW135" s="169">
        <f t="shared" ref="AW135:BB135" si="398">+SUM(AW133:AW134)</f>
        <v>228</v>
      </c>
      <c r="AX135" s="169">
        <f>+AY135-SUM(AU135:AW135)</f>
        <v>272</v>
      </c>
      <c r="AY135" s="78">
        <f t="shared" ref="AY135" si="399">+SUM(AY133:AY134)</f>
        <v>1104</v>
      </c>
      <c r="AZ135" s="169">
        <f t="shared" si="398"/>
        <v>262</v>
      </c>
      <c r="BA135" s="169">
        <f t="shared" si="398"/>
        <v>257</v>
      </c>
      <c r="BB135" s="169">
        <f t="shared" si="398"/>
        <v>268</v>
      </c>
      <c r="BC135" s="169">
        <f t="shared" ref="BC135:BD135" si="400">+SUM(BC133:BC134)</f>
        <v>258</v>
      </c>
      <c r="BD135" s="78">
        <f t="shared" si="400"/>
        <v>1045</v>
      </c>
      <c r="BE135" s="169">
        <f t="shared" ref="BE135:BG135" si="401">+SUM(BE133:BE134)</f>
        <v>277.5</v>
      </c>
      <c r="BF135" s="169">
        <f t="shared" si="401"/>
        <v>277.5</v>
      </c>
      <c r="BG135" s="169">
        <f t="shared" si="401"/>
        <v>277.5</v>
      </c>
      <c r="BH135" s="169">
        <f t="shared" ref="BH135:BI135" si="402">+SUM(BH133:BH134)</f>
        <v>277.5</v>
      </c>
      <c r="BI135" s="78">
        <f t="shared" si="402"/>
        <v>1110</v>
      </c>
    </row>
    <row r="136" spans="1:64">
      <c r="A136" s="13" t="s">
        <v>37</v>
      </c>
      <c r="B136" s="26" t="b">
        <f t="shared" ref="B136:AH136" si="403">(B24+B38)=B135</f>
        <v>1</v>
      </c>
      <c r="C136" s="26" t="b">
        <f t="shared" si="403"/>
        <v>1</v>
      </c>
      <c r="D136" s="26" t="b">
        <f t="shared" si="403"/>
        <v>1</v>
      </c>
      <c r="E136" s="26" t="b">
        <f t="shared" si="403"/>
        <v>1</v>
      </c>
      <c r="F136" s="27" t="b">
        <f t="shared" si="403"/>
        <v>1</v>
      </c>
      <c r="G136" s="26" t="b">
        <f t="shared" si="403"/>
        <v>1</v>
      </c>
      <c r="H136" s="26" t="b">
        <f t="shared" si="403"/>
        <v>1</v>
      </c>
      <c r="I136" s="26" t="b">
        <f t="shared" si="403"/>
        <v>1</v>
      </c>
      <c r="J136" s="26" t="b">
        <f t="shared" si="403"/>
        <v>1</v>
      </c>
      <c r="K136" s="27" t="b">
        <f t="shared" si="403"/>
        <v>1</v>
      </c>
      <c r="L136" s="26" t="b">
        <f t="shared" si="403"/>
        <v>1</v>
      </c>
      <c r="M136" s="26" t="b">
        <f t="shared" si="403"/>
        <v>1</v>
      </c>
      <c r="N136" s="26" t="b">
        <f t="shared" si="403"/>
        <v>1</v>
      </c>
      <c r="O136" s="26" t="b">
        <f t="shared" si="403"/>
        <v>1</v>
      </c>
      <c r="P136" s="27" t="b">
        <f t="shared" si="403"/>
        <v>1</v>
      </c>
      <c r="Q136" s="26" t="b">
        <f t="shared" si="403"/>
        <v>1</v>
      </c>
      <c r="R136" s="26" t="b">
        <f t="shared" si="403"/>
        <v>1</v>
      </c>
      <c r="S136" s="26" t="b">
        <f t="shared" si="403"/>
        <v>1</v>
      </c>
      <c r="T136" s="26" t="b">
        <f t="shared" si="403"/>
        <v>1</v>
      </c>
      <c r="U136" s="27" t="b">
        <f t="shared" si="403"/>
        <v>1</v>
      </c>
      <c r="V136" s="26" t="b">
        <f t="shared" si="403"/>
        <v>1</v>
      </c>
      <c r="W136" s="26" t="b">
        <f t="shared" si="403"/>
        <v>1</v>
      </c>
      <c r="X136" s="26" t="b">
        <f t="shared" si="403"/>
        <v>1</v>
      </c>
      <c r="Y136" s="26" t="b">
        <f t="shared" si="403"/>
        <v>1</v>
      </c>
      <c r="Z136" s="27" t="b">
        <f t="shared" si="403"/>
        <v>1</v>
      </c>
      <c r="AA136" s="26" t="b">
        <f t="shared" si="403"/>
        <v>1</v>
      </c>
      <c r="AB136" s="26" t="b">
        <f t="shared" si="403"/>
        <v>1</v>
      </c>
      <c r="AC136" s="26" t="b">
        <f t="shared" si="403"/>
        <v>1</v>
      </c>
      <c r="AD136" s="26" t="b">
        <f t="shared" si="403"/>
        <v>1</v>
      </c>
      <c r="AE136" s="27" t="b">
        <f t="shared" si="403"/>
        <v>1</v>
      </c>
      <c r="AF136" s="26" t="b">
        <f t="shared" si="403"/>
        <v>1</v>
      </c>
      <c r="AG136" s="26" t="b">
        <f t="shared" si="403"/>
        <v>1</v>
      </c>
      <c r="AH136" s="26" t="b">
        <f t="shared" si="403"/>
        <v>1</v>
      </c>
      <c r="AI136" s="26" t="b">
        <f t="shared" ref="AI136:AQ136" si="404">(AI24+AI38)=AI135</f>
        <v>1</v>
      </c>
      <c r="AJ136" s="27" t="b">
        <f t="shared" si="404"/>
        <v>1</v>
      </c>
      <c r="AK136" s="26" t="b">
        <f t="shared" si="404"/>
        <v>1</v>
      </c>
      <c r="AL136" s="26" t="b">
        <f t="shared" si="404"/>
        <v>1</v>
      </c>
      <c r="AM136" s="26" t="b">
        <f t="shared" si="404"/>
        <v>1</v>
      </c>
      <c r="AN136" s="26" t="b">
        <f t="shared" ref="AN136:AP136" si="405">(AN24+AN38)=AN135</f>
        <v>1</v>
      </c>
      <c r="AO136" s="27" t="b">
        <f t="shared" si="405"/>
        <v>1</v>
      </c>
      <c r="AP136" s="26" t="b">
        <f t="shared" si="405"/>
        <v>1</v>
      </c>
      <c r="AQ136" s="26" t="b">
        <f t="shared" si="404"/>
        <v>1</v>
      </c>
      <c r="AR136" s="26" t="b">
        <f t="shared" ref="AR136" si="406">(AR24+AR38)=AR135</f>
        <v>1</v>
      </c>
      <c r="AS136" s="26" t="b">
        <f t="shared" ref="AS136:AV136" si="407">(AS24+AS38)=AS135</f>
        <v>1</v>
      </c>
      <c r="AT136" s="27" t="b">
        <f t="shared" si="407"/>
        <v>1</v>
      </c>
      <c r="AU136" s="26" t="b">
        <f t="shared" si="407"/>
        <v>1</v>
      </c>
      <c r="AV136" s="26" t="b">
        <f t="shared" si="407"/>
        <v>1</v>
      </c>
      <c r="AW136" s="26" t="b">
        <f t="shared" ref="AW136:BC136" si="408">(AW24+AW38)=AW135</f>
        <v>1</v>
      </c>
      <c r="AX136" s="26" t="b">
        <f t="shared" si="408"/>
        <v>1</v>
      </c>
      <c r="AY136" s="27" t="b">
        <f t="shared" si="408"/>
        <v>1</v>
      </c>
      <c r="AZ136" s="26" t="b">
        <f t="shared" si="408"/>
        <v>1</v>
      </c>
      <c r="BA136" s="26" t="b">
        <f t="shared" si="408"/>
        <v>1</v>
      </c>
      <c r="BB136" s="26" t="b">
        <f t="shared" si="408"/>
        <v>1</v>
      </c>
      <c r="BC136" s="26" t="b">
        <f t="shared" si="408"/>
        <v>1</v>
      </c>
      <c r="BD136" s="27" t="b">
        <f>(BD24+BD38)=BD135</f>
        <v>1</v>
      </c>
      <c r="BE136" s="26" t="b">
        <f t="shared" ref="BE136:BG136" si="409">(BE24+BE38)=BE135</f>
        <v>1</v>
      </c>
      <c r="BF136" s="26" t="b">
        <f t="shared" si="409"/>
        <v>1</v>
      </c>
      <c r="BG136" s="26" t="b">
        <f t="shared" si="409"/>
        <v>1</v>
      </c>
      <c r="BH136" s="26" t="b">
        <f t="shared" ref="BH136" si="410">(BH24+BH38)=BH135</f>
        <v>1</v>
      </c>
      <c r="BI136" s="27" t="b">
        <f>(BI24+BI38)=BI135</f>
        <v>1</v>
      </c>
    </row>
    <row r="137" spans="1:64">
      <c r="A137" s="2"/>
      <c r="B137" s="34"/>
      <c r="C137" s="35"/>
      <c r="D137" s="35"/>
      <c r="E137" s="35"/>
      <c r="F137" s="36"/>
      <c r="G137" s="34"/>
      <c r="H137" s="35"/>
      <c r="I137" s="35"/>
      <c r="J137" s="35"/>
      <c r="K137" s="36"/>
      <c r="L137" s="34"/>
      <c r="M137" s="35"/>
      <c r="N137" s="35"/>
      <c r="O137" s="35"/>
      <c r="P137" s="36"/>
      <c r="Q137" s="34"/>
      <c r="R137" s="35"/>
      <c r="S137" s="35"/>
      <c r="T137" s="35"/>
      <c r="U137" s="36"/>
      <c r="V137" s="34"/>
      <c r="W137" s="35"/>
      <c r="X137" s="35"/>
      <c r="Y137" s="35"/>
      <c r="Z137" s="36"/>
      <c r="AA137" s="34"/>
      <c r="AB137" s="34"/>
      <c r="AC137" s="35"/>
      <c r="AD137" s="35"/>
      <c r="AE137" s="36"/>
      <c r="AF137" s="35"/>
      <c r="AG137" s="35"/>
      <c r="AH137" s="35"/>
      <c r="AI137" s="35"/>
      <c r="AJ137" s="36"/>
      <c r="AK137" s="35"/>
      <c r="AL137" s="35"/>
      <c r="AM137" s="35"/>
      <c r="AN137" s="35"/>
      <c r="AO137" s="36"/>
      <c r="AP137" s="35"/>
      <c r="AQ137" s="35"/>
      <c r="AR137" s="35"/>
      <c r="AS137" s="35"/>
      <c r="AT137" s="36"/>
      <c r="AU137" s="35"/>
      <c r="AV137" s="35"/>
      <c r="AW137" s="35"/>
      <c r="AX137" s="35"/>
      <c r="AY137" s="36"/>
      <c r="AZ137" s="35"/>
      <c r="BA137" s="35"/>
      <c r="BB137" s="35"/>
      <c r="BC137" s="35"/>
      <c r="BD137" s="36"/>
      <c r="BE137" s="35"/>
      <c r="BF137" s="35"/>
      <c r="BG137" s="35"/>
      <c r="BH137" s="35"/>
      <c r="BI137" s="36"/>
    </row>
    <row r="138" spans="1:64">
      <c r="A138" s="14" t="s">
        <v>237</v>
      </c>
      <c r="B138" s="41">
        <v>14</v>
      </c>
      <c r="C138" s="41">
        <v>13</v>
      </c>
      <c r="D138" s="41">
        <v>13</v>
      </c>
      <c r="E138" s="41">
        <v>13</v>
      </c>
      <c r="F138" s="23">
        <f>SUM(B138:E138)</f>
        <v>53</v>
      </c>
      <c r="G138" s="41">
        <v>13</v>
      </c>
      <c r="H138" s="41">
        <v>13</v>
      </c>
      <c r="I138" s="41">
        <v>13</v>
      </c>
      <c r="J138" s="41">
        <v>13</v>
      </c>
      <c r="K138" s="23">
        <f>SUM(G138:J138)</f>
        <v>52</v>
      </c>
      <c r="L138" s="41">
        <v>13</v>
      </c>
      <c r="M138" s="41">
        <v>13</v>
      </c>
      <c r="N138" s="41">
        <v>13</v>
      </c>
      <c r="O138" s="41">
        <v>13</v>
      </c>
      <c r="P138" s="23">
        <f>SUM(L138:O138)</f>
        <v>52</v>
      </c>
      <c r="Q138" s="41">
        <v>13</v>
      </c>
      <c r="R138" s="41">
        <v>13</v>
      </c>
      <c r="S138" s="41">
        <v>13</v>
      </c>
      <c r="T138" s="41">
        <v>13</v>
      </c>
      <c r="U138" s="23">
        <f>SUM(Q138:T138)</f>
        <v>52</v>
      </c>
      <c r="V138" s="41">
        <v>13</v>
      </c>
      <c r="W138" s="41">
        <v>13</v>
      </c>
      <c r="X138" s="41">
        <v>13</v>
      </c>
      <c r="Y138" s="41">
        <v>13</v>
      </c>
      <c r="Z138" s="23">
        <f>SUM(V138:Y138)</f>
        <v>52</v>
      </c>
      <c r="AA138" s="41">
        <v>13</v>
      </c>
      <c r="AB138" s="41">
        <v>13</v>
      </c>
      <c r="AC138" s="41">
        <v>13</v>
      </c>
      <c r="AD138" s="41">
        <v>13</v>
      </c>
      <c r="AE138" s="23">
        <f>SUM(AA138:AD138)</f>
        <v>52</v>
      </c>
      <c r="AF138" s="41">
        <v>13</v>
      </c>
      <c r="AG138" s="41">
        <v>13</v>
      </c>
      <c r="AH138" s="41">
        <v>13</v>
      </c>
      <c r="AI138" s="41">
        <v>13</v>
      </c>
      <c r="AJ138" s="23">
        <f>SUM(AF138:AI138)</f>
        <v>52</v>
      </c>
      <c r="AK138" s="41">
        <v>13</v>
      </c>
      <c r="AL138" s="41">
        <v>13</v>
      </c>
      <c r="AM138" s="41">
        <v>13</v>
      </c>
      <c r="AN138" s="41">
        <v>13</v>
      </c>
      <c r="AO138" s="23">
        <f>SUM(AK138:AN138)</f>
        <v>52</v>
      </c>
      <c r="AP138" s="41">
        <v>13</v>
      </c>
      <c r="AQ138" s="41">
        <v>13</v>
      </c>
      <c r="AR138" s="41">
        <v>13</v>
      </c>
      <c r="AS138" s="41">
        <v>13</v>
      </c>
      <c r="AT138" s="23">
        <f>SUM(AP138:AS138)</f>
        <v>52</v>
      </c>
      <c r="AU138" s="41">
        <v>13</v>
      </c>
      <c r="AV138" s="41">
        <v>13</v>
      </c>
      <c r="AW138" s="41">
        <v>13</v>
      </c>
      <c r="AX138" s="41">
        <v>13</v>
      </c>
      <c r="AY138" s="23">
        <f>SUM(AU138:AX138)</f>
        <v>52</v>
      </c>
      <c r="AZ138" s="41">
        <v>13</v>
      </c>
      <c r="BA138" s="41">
        <v>13</v>
      </c>
      <c r="BB138" s="41">
        <v>13</v>
      </c>
      <c r="BC138" s="41">
        <v>13</v>
      </c>
      <c r="BD138" s="23">
        <f>SUM(AZ138:BC138)</f>
        <v>52</v>
      </c>
      <c r="BE138" s="41">
        <v>13</v>
      </c>
      <c r="BF138" s="41">
        <v>13</v>
      </c>
      <c r="BG138" s="41">
        <v>13</v>
      </c>
      <c r="BH138" s="41">
        <v>13</v>
      </c>
      <c r="BI138" s="23">
        <f>SUM(BE138:BH138)</f>
        <v>52</v>
      </c>
    </row>
    <row r="139" spans="1:64">
      <c r="A139" s="1"/>
      <c r="B139" s="62"/>
      <c r="C139" s="63"/>
      <c r="D139" s="63"/>
      <c r="E139" s="67"/>
      <c r="F139" s="43"/>
      <c r="G139" s="62"/>
      <c r="H139" s="63"/>
      <c r="I139" s="63"/>
      <c r="J139" s="67"/>
      <c r="K139" s="43"/>
      <c r="L139" s="62"/>
      <c r="M139" s="63"/>
      <c r="N139" s="63"/>
      <c r="O139" s="67"/>
      <c r="P139" s="43"/>
      <c r="Q139" s="62"/>
      <c r="R139" s="63"/>
      <c r="S139" s="63"/>
      <c r="T139" s="67"/>
      <c r="U139" s="43"/>
      <c r="V139" s="62"/>
      <c r="W139" s="63"/>
      <c r="X139" s="63"/>
      <c r="Y139" s="67"/>
      <c r="Z139" s="43"/>
      <c r="AA139" s="62"/>
      <c r="AB139" s="62"/>
      <c r="AC139" s="168"/>
      <c r="AD139" s="77"/>
      <c r="AE139" s="78"/>
      <c r="AF139" s="168"/>
      <c r="AG139" s="168"/>
      <c r="AH139" s="168"/>
      <c r="AI139" s="77"/>
      <c r="AJ139" s="78"/>
      <c r="AK139" s="168"/>
      <c r="AL139" s="168"/>
      <c r="AM139" s="168"/>
      <c r="AN139" s="77"/>
      <c r="AO139" s="78"/>
      <c r="AP139" s="168"/>
      <c r="AQ139" s="168"/>
      <c r="AR139" s="168"/>
      <c r="AS139" s="77"/>
      <c r="AT139" s="78"/>
      <c r="AU139" s="168"/>
      <c r="AV139" s="168"/>
      <c r="AW139" s="168"/>
      <c r="AX139" s="77"/>
      <c r="AY139" s="78"/>
      <c r="AZ139" s="168"/>
      <c r="BA139" s="168"/>
      <c r="BB139" s="168"/>
      <c r="BC139" s="77"/>
      <c r="BD139" s="78"/>
      <c r="BE139" s="168"/>
      <c r="BF139" s="168"/>
      <c r="BG139" s="168"/>
      <c r="BH139" s="77"/>
      <c r="BI139" s="78"/>
    </row>
    <row r="140" spans="1:64">
      <c r="A140" s="113" t="s">
        <v>423</v>
      </c>
      <c r="B140" s="68"/>
      <c r="C140" s="68"/>
      <c r="D140" s="68"/>
      <c r="E140" s="68"/>
      <c r="F140" s="114"/>
      <c r="G140" s="68"/>
      <c r="H140" s="68"/>
      <c r="I140" s="68"/>
      <c r="J140" s="68"/>
      <c r="K140" s="114"/>
      <c r="L140" s="68"/>
      <c r="M140" s="68"/>
      <c r="N140" s="68"/>
      <c r="O140" s="68"/>
      <c r="P140" s="114"/>
      <c r="Q140" s="68"/>
      <c r="R140" s="68"/>
      <c r="S140" s="68"/>
      <c r="T140" s="68"/>
      <c r="U140" s="114"/>
      <c r="V140" s="68"/>
      <c r="W140" s="68"/>
      <c r="X140" s="68"/>
      <c r="Y140" s="68"/>
      <c r="Z140" s="114"/>
      <c r="AA140" s="68"/>
      <c r="AB140" s="68"/>
      <c r="AC140" s="68"/>
      <c r="AD140" s="68"/>
      <c r="AE140" s="114"/>
      <c r="AF140" s="68"/>
      <c r="AG140" s="68"/>
      <c r="AH140" s="68"/>
      <c r="AI140" s="68"/>
      <c r="AJ140" s="114"/>
      <c r="AK140" s="68"/>
      <c r="AL140" s="68"/>
      <c r="AM140" s="68"/>
      <c r="AN140" s="68"/>
      <c r="AO140" s="114"/>
      <c r="AP140" s="68"/>
      <c r="AQ140" s="68"/>
      <c r="AR140" s="68"/>
      <c r="AS140" s="68"/>
      <c r="AT140" s="114"/>
      <c r="AU140" s="68"/>
      <c r="AV140" s="68"/>
      <c r="AW140" s="68"/>
      <c r="AX140" s="68"/>
      <c r="AY140" s="114"/>
      <c r="AZ140" s="68"/>
      <c r="BA140" s="68"/>
      <c r="BB140" s="68"/>
      <c r="BC140" s="68"/>
      <c r="BD140" s="114"/>
      <c r="BE140" s="68"/>
      <c r="BF140" s="68"/>
      <c r="BG140" s="68"/>
      <c r="BH140" s="68"/>
      <c r="BI140" s="114"/>
    </row>
    <row r="141" spans="1:64">
      <c r="A141" s="14" t="s">
        <v>424</v>
      </c>
      <c r="B141" s="62"/>
      <c r="C141" s="63"/>
      <c r="D141" s="63"/>
      <c r="E141" s="67"/>
      <c r="F141" s="43"/>
      <c r="G141" s="62"/>
      <c r="H141" s="63"/>
      <c r="I141" s="63"/>
      <c r="J141" s="67"/>
      <c r="K141" s="43"/>
      <c r="L141" s="62"/>
      <c r="M141" s="63"/>
      <c r="N141" s="63"/>
      <c r="O141" s="67"/>
      <c r="P141" s="43"/>
      <c r="Q141" s="62"/>
      <c r="R141" s="63"/>
      <c r="S141" s="63"/>
      <c r="T141" s="67"/>
      <c r="U141" s="43"/>
      <c r="V141" s="62"/>
      <c r="W141" s="63"/>
      <c r="X141" s="63"/>
      <c r="Y141" s="67"/>
      <c r="Z141" s="43"/>
      <c r="AA141" s="62"/>
      <c r="AB141" s="62"/>
      <c r="AC141" s="168"/>
      <c r="AD141" s="77"/>
      <c r="AE141" s="78"/>
      <c r="AF141" s="168"/>
      <c r="AG141" s="168"/>
      <c r="AH141" s="168"/>
      <c r="AI141" s="77"/>
      <c r="AJ141" s="78"/>
      <c r="AK141" s="168"/>
      <c r="AL141" s="168"/>
      <c r="AM141" s="168"/>
      <c r="AN141" s="77"/>
      <c r="AO141" s="78"/>
      <c r="AP141" s="168"/>
      <c r="AQ141" s="168"/>
      <c r="AR141" s="168"/>
      <c r="AS141" s="77"/>
      <c r="AT141" s="78"/>
      <c r="AU141" s="168"/>
      <c r="AV141" s="168"/>
      <c r="AW141" s="168"/>
      <c r="AX141" s="77"/>
      <c r="AY141" s="78"/>
      <c r="AZ141" s="168"/>
      <c r="BA141" s="168"/>
      <c r="BB141" s="168"/>
      <c r="BC141" s="77"/>
      <c r="BD141" s="78"/>
      <c r="BE141" s="168"/>
      <c r="BF141" s="168"/>
      <c r="BG141" s="168"/>
      <c r="BH141" s="77"/>
      <c r="BI141" s="78"/>
    </row>
    <row r="142" spans="1:64">
      <c r="A142" s="1">
        <v>737</v>
      </c>
      <c r="B142" s="290">
        <v>7800</v>
      </c>
      <c r="C142" s="291">
        <v>8000</v>
      </c>
      <c r="D142" s="291">
        <v>8200</v>
      </c>
      <c r="E142" s="67">
        <f>F142</f>
        <v>8400</v>
      </c>
      <c r="F142" s="43">
        <v>8400</v>
      </c>
      <c r="G142" s="290">
        <v>8600</v>
      </c>
      <c r="H142" s="291">
        <v>8800</v>
      </c>
      <c r="I142" s="291">
        <v>9000</v>
      </c>
      <c r="J142" s="67">
        <f>K142</f>
        <v>9000</v>
      </c>
      <c r="K142" s="43">
        <v>9000</v>
      </c>
      <c r="L142" s="290">
        <v>9200</v>
      </c>
      <c r="M142" s="291">
        <v>9400</v>
      </c>
      <c r="N142" s="291">
        <v>9600</v>
      </c>
      <c r="O142" s="67">
        <f>P142</f>
        <v>9800</v>
      </c>
      <c r="P142" s="43">
        <v>9800</v>
      </c>
      <c r="Q142" s="290">
        <v>10000</v>
      </c>
      <c r="R142" s="291">
        <v>10200</v>
      </c>
      <c r="S142" s="291">
        <v>10200</v>
      </c>
      <c r="T142" s="67">
        <f>U142</f>
        <v>10400</v>
      </c>
      <c r="U142" s="43">
        <v>10400</v>
      </c>
      <c r="V142" s="290">
        <v>10400</v>
      </c>
      <c r="W142" s="291">
        <v>10400</v>
      </c>
      <c r="X142" s="291">
        <v>10400</v>
      </c>
      <c r="Y142" s="67">
        <f>Z142</f>
        <v>10400</v>
      </c>
      <c r="Z142" s="43">
        <v>10400</v>
      </c>
      <c r="AA142" s="290">
        <v>10000</v>
      </c>
      <c r="AB142" s="290">
        <v>10000</v>
      </c>
      <c r="AC142" s="290">
        <v>10000</v>
      </c>
      <c r="AD142" s="429">
        <v>10000</v>
      </c>
      <c r="AE142" s="78">
        <v>10000</v>
      </c>
      <c r="AF142" s="290">
        <v>10200</v>
      </c>
      <c r="AG142" s="290">
        <v>10400</v>
      </c>
      <c r="AH142" s="290">
        <v>10400</v>
      </c>
      <c r="AI142" s="429">
        <v>10400</v>
      </c>
      <c r="AJ142" s="78">
        <v>10400</v>
      </c>
      <c r="AK142" s="290">
        <v>10800</v>
      </c>
      <c r="AL142" s="290">
        <v>10800</v>
      </c>
      <c r="AM142" s="290">
        <v>10800</v>
      </c>
      <c r="AN142" s="429">
        <v>10400</v>
      </c>
      <c r="AO142" s="78">
        <v>10400</v>
      </c>
      <c r="AP142" s="290"/>
      <c r="AQ142" s="290"/>
      <c r="AR142" s="290"/>
      <c r="AS142" s="77"/>
      <c r="AT142" s="78"/>
      <c r="AU142" s="290"/>
      <c r="AV142" s="290"/>
      <c r="AW142" s="290"/>
      <c r="AX142" s="77"/>
      <c r="AY142" s="78"/>
      <c r="AZ142" s="290"/>
      <c r="BA142" s="290"/>
      <c r="BB142" s="290"/>
      <c r="BC142" s="77"/>
      <c r="BD142" s="78"/>
      <c r="BE142" s="290"/>
      <c r="BF142" s="290"/>
      <c r="BG142" s="290"/>
      <c r="BH142" s="77"/>
      <c r="BI142" s="78"/>
    </row>
    <row r="143" spans="1:64">
      <c r="A143" s="1">
        <v>747</v>
      </c>
      <c r="B143" s="290">
        <v>1574</v>
      </c>
      <c r="C143" s="291">
        <v>1574</v>
      </c>
      <c r="D143" s="291">
        <v>1574</v>
      </c>
      <c r="E143" s="67">
        <f>F143</f>
        <v>1574</v>
      </c>
      <c r="F143" s="43">
        <v>1574</v>
      </c>
      <c r="G143" s="290">
        <v>1574</v>
      </c>
      <c r="H143" s="291">
        <v>1555</v>
      </c>
      <c r="I143" s="291">
        <v>1555</v>
      </c>
      <c r="J143" s="67">
        <f>K143</f>
        <v>1555</v>
      </c>
      <c r="K143" s="43">
        <v>1555</v>
      </c>
      <c r="L143" s="290">
        <v>1555</v>
      </c>
      <c r="M143" s="291">
        <v>1555</v>
      </c>
      <c r="N143" s="291">
        <v>1555</v>
      </c>
      <c r="O143" s="67">
        <f>P143</f>
        <v>1570</v>
      </c>
      <c r="P143" s="43">
        <v>1570</v>
      </c>
      <c r="Q143" s="290">
        <v>1570</v>
      </c>
      <c r="R143" s="291">
        <v>1570</v>
      </c>
      <c r="S143" s="291">
        <v>1570</v>
      </c>
      <c r="T143" s="67">
        <f>U143</f>
        <v>1574</v>
      </c>
      <c r="U143" s="43">
        <v>1574</v>
      </c>
      <c r="V143" s="290">
        <v>1574</v>
      </c>
      <c r="W143" s="291">
        <v>1574</v>
      </c>
      <c r="X143" s="291">
        <v>1574</v>
      </c>
      <c r="Y143" s="67">
        <f t="shared" ref="Y143:Y149" si="411">Z143</f>
        <v>1574</v>
      </c>
      <c r="Z143" s="43">
        <v>1574</v>
      </c>
      <c r="AA143" s="290">
        <v>1574</v>
      </c>
      <c r="AB143" s="290">
        <v>1574</v>
      </c>
      <c r="AC143" s="290">
        <v>1574</v>
      </c>
      <c r="AD143" s="429">
        <v>1574</v>
      </c>
      <c r="AE143" s="78">
        <v>1574</v>
      </c>
      <c r="AF143" s="290">
        <v>1574</v>
      </c>
      <c r="AG143" s="290">
        <v>1574</v>
      </c>
      <c r="AH143" s="290">
        <v>1574</v>
      </c>
      <c r="AI143" s="429">
        <v>1574</v>
      </c>
      <c r="AJ143" s="78">
        <v>1574</v>
      </c>
      <c r="AK143" s="290">
        <v>1574</v>
      </c>
      <c r="AL143" s="290">
        <v>1574</v>
      </c>
      <c r="AM143" s="290">
        <v>1574</v>
      </c>
      <c r="AN143" s="429">
        <v>1574</v>
      </c>
      <c r="AO143" s="78">
        <v>1574</v>
      </c>
      <c r="AP143" s="290"/>
      <c r="AQ143" s="290"/>
      <c r="AR143" s="290"/>
      <c r="AS143" s="77"/>
      <c r="AT143" s="78"/>
      <c r="AU143" s="290"/>
      <c r="AV143" s="290"/>
      <c r="AW143" s="290"/>
      <c r="AX143" s="77"/>
      <c r="AY143" s="78"/>
      <c r="AZ143" s="290"/>
      <c r="BA143" s="290"/>
      <c r="BB143" s="290"/>
      <c r="BC143" s="77"/>
      <c r="BD143" s="78"/>
      <c r="BE143" s="290"/>
      <c r="BF143" s="290"/>
      <c r="BG143" s="290"/>
      <c r="BH143" s="77"/>
      <c r="BI143" s="78"/>
    </row>
    <row r="144" spans="1:64">
      <c r="A144" s="1">
        <v>767</v>
      </c>
      <c r="B144" s="290">
        <v>1113</v>
      </c>
      <c r="C144" s="291">
        <v>1113</v>
      </c>
      <c r="D144" s="291">
        <v>1147</v>
      </c>
      <c r="E144" s="67">
        <f>F144</f>
        <v>1147</v>
      </c>
      <c r="F144" s="43">
        <v>1147</v>
      </c>
      <c r="G144" s="290">
        <v>1147</v>
      </c>
      <c r="H144" s="291">
        <v>159</v>
      </c>
      <c r="I144" s="291">
        <v>1159</v>
      </c>
      <c r="J144" s="67">
        <f>K144</f>
        <v>1159</v>
      </c>
      <c r="K144" s="43">
        <v>1159</v>
      </c>
      <c r="L144" s="290">
        <v>1159</v>
      </c>
      <c r="M144" s="291">
        <v>1159</v>
      </c>
      <c r="N144" s="291">
        <v>1171</v>
      </c>
      <c r="O144" s="67">
        <f>P144</f>
        <v>1171</v>
      </c>
      <c r="P144" s="43">
        <v>1171</v>
      </c>
      <c r="Q144" s="290">
        <v>1195</v>
      </c>
      <c r="R144" s="291">
        <v>1195</v>
      </c>
      <c r="S144" s="291">
        <v>1195</v>
      </c>
      <c r="T144" s="67">
        <f>U144</f>
        <v>1195</v>
      </c>
      <c r="U144" s="43">
        <v>1195</v>
      </c>
      <c r="V144" s="290">
        <v>1195</v>
      </c>
      <c r="W144" s="291">
        <v>1195</v>
      </c>
      <c r="X144" s="291">
        <v>1195</v>
      </c>
      <c r="Y144" s="67">
        <f t="shared" si="411"/>
        <v>1195</v>
      </c>
      <c r="Z144" s="43">
        <v>1195</v>
      </c>
      <c r="AA144" s="290">
        <v>1195</v>
      </c>
      <c r="AB144" s="290">
        <v>1207</v>
      </c>
      <c r="AC144" s="290">
        <v>1207</v>
      </c>
      <c r="AD144" s="429">
        <v>1207</v>
      </c>
      <c r="AE144" s="78">
        <v>1207</v>
      </c>
      <c r="AF144" s="290">
        <v>1207</v>
      </c>
      <c r="AG144" s="290">
        <v>1231</v>
      </c>
      <c r="AH144" s="290">
        <v>1243</v>
      </c>
      <c r="AI144" s="429">
        <v>1243</v>
      </c>
      <c r="AJ144" s="78">
        <v>1243</v>
      </c>
      <c r="AK144" s="290">
        <v>1255</v>
      </c>
      <c r="AL144" s="290">
        <v>1255</v>
      </c>
      <c r="AM144" s="290">
        <v>1255</v>
      </c>
      <c r="AN144" s="429">
        <v>1243</v>
      </c>
      <c r="AO144" s="78">
        <v>1243</v>
      </c>
      <c r="AP144" s="290"/>
      <c r="AQ144" s="290"/>
      <c r="AR144" s="290"/>
      <c r="AS144" s="77"/>
      <c r="AT144" s="78"/>
      <c r="AU144" s="290"/>
      <c r="AV144" s="290"/>
      <c r="AW144" s="290"/>
      <c r="AX144" s="77"/>
      <c r="AY144" s="78"/>
      <c r="AZ144" s="290"/>
      <c r="BA144" s="290"/>
      <c r="BB144" s="290"/>
      <c r="BC144" s="77"/>
      <c r="BD144" s="78"/>
      <c r="BE144" s="290"/>
      <c r="BF144" s="290"/>
      <c r="BG144" s="290"/>
      <c r="BH144" s="77"/>
      <c r="BI144" s="78"/>
    </row>
    <row r="145" spans="1:61">
      <c r="A145" s="1">
        <v>777</v>
      </c>
      <c r="B145" s="290">
        <v>1650</v>
      </c>
      <c r="C145" s="291">
        <v>1650</v>
      </c>
      <c r="D145" s="291">
        <v>1650</v>
      </c>
      <c r="E145" s="67">
        <f>F145</f>
        <v>1650</v>
      </c>
      <c r="F145" s="43">
        <v>1650</v>
      </c>
      <c r="G145" s="290">
        <v>1650</v>
      </c>
      <c r="H145" s="291">
        <v>1650</v>
      </c>
      <c r="I145" s="291">
        <v>1650</v>
      </c>
      <c r="J145" s="67">
        <f>K145</f>
        <v>1625</v>
      </c>
      <c r="K145" s="43">
        <v>1625</v>
      </c>
      <c r="L145" s="290">
        <v>1625</v>
      </c>
      <c r="M145" s="291">
        <v>1625</v>
      </c>
      <c r="N145" s="291">
        <v>1625</v>
      </c>
      <c r="O145" s="67">
        <f>P145</f>
        <v>1625</v>
      </c>
      <c r="P145" s="43">
        <v>1625</v>
      </c>
      <c r="Q145" s="290">
        <v>1625</v>
      </c>
      <c r="R145" s="291">
        <v>1650</v>
      </c>
      <c r="S145" s="291">
        <v>1650</v>
      </c>
      <c r="T145" s="67">
        <f>U145</f>
        <v>1680</v>
      </c>
      <c r="U145" s="43">
        <v>1680</v>
      </c>
      <c r="V145" s="290">
        <v>1680</v>
      </c>
      <c r="W145" s="291">
        <v>1690</v>
      </c>
      <c r="X145" s="291">
        <v>1690</v>
      </c>
      <c r="Y145" s="67">
        <f t="shared" si="411"/>
        <v>1690</v>
      </c>
      <c r="Z145" s="43">
        <v>1690</v>
      </c>
      <c r="AA145" s="290">
        <v>1690</v>
      </c>
      <c r="AB145" s="290">
        <v>1690</v>
      </c>
      <c r="AC145" s="290">
        <v>1690</v>
      </c>
      <c r="AD145" s="429">
        <v>1700</v>
      </c>
      <c r="AE145" s="78">
        <v>1700</v>
      </c>
      <c r="AF145" s="290">
        <v>1700</v>
      </c>
      <c r="AG145" s="290">
        <v>1700</v>
      </c>
      <c r="AH145" s="290">
        <v>1740</v>
      </c>
      <c r="AI145" s="429">
        <v>1750</v>
      </c>
      <c r="AJ145" s="78">
        <v>1750</v>
      </c>
      <c r="AK145" s="290">
        <v>1780</v>
      </c>
      <c r="AL145" s="290">
        <v>1790</v>
      </c>
      <c r="AM145" s="290">
        <v>1790</v>
      </c>
      <c r="AN145" s="429">
        <v>1750</v>
      </c>
      <c r="AO145" s="78">
        <v>1750</v>
      </c>
      <c r="AP145" s="290"/>
      <c r="AQ145" s="290"/>
      <c r="AR145" s="290"/>
      <c r="AS145" s="77"/>
      <c r="AT145" s="78"/>
      <c r="AU145" s="290"/>
      <c r="AV145" s="290"/>
      <c r="AW145" s="290"/>
      <c r="AX145" s="77"/>
      <c r="AY145" s="78"/>
      <c r="AZ145" s="290"/>
      <c r="BA145" s="290"/>
      <c r="BB145" s="290"/>
      <c r="BC145" s="77"/>
      <c r="BD145" s="78"/>
      <c r="BE145" s="290"/>
      <c r="BF145" s="290"/>
      <c r="BG145" s="290"/>
      <c r="BH145" s="77"/>
      <c r="BI145" s="78"/>
    </row>
    <row r="146" spans="1:61">
      <c r="A146" s="1" t="s">
        <v>425</v>
      </c>
      <c r="B146" s="290">
        <v>0</v>
      </c>
      <c r="C146" s="291">
        <v>0</v>
      </c>
      <c r="D146" s="291">
        <v>0</v>
      </c>
      <c r="E146" s="67"/>
      <c r="F146" s="43"/>
      <c r="G146" s="290">
        <v>0</v>
      </c>
      <c r="H146" s="291">
        <v>0</v>
      </c>
      <c r="I146" s="291">
        <v>0</v>
      </c>
      <c r="J146" s="67"/>
      <c r="K146" s="43"/>
      <c r="L146" s="290">
        <v>0</v>
      </c>
      <c r="M146" s="291">
        <v>0</v>
      </c>
      <c r="N146" s="291">
        <v>0</v>
      </c>
      <c r="O146" s="67"/>
      <c r="P146" s="43"/>
      <c r="Q146" s="290">
        <v>0</v>
      </c>
      <c r="R146" s="291">
        <v>0</v>
      </c>
      <c r="S146" s="291">
        <v>0</v>
      </c>
      <c r="T146" s="67"/>
      <c r="U146" s="43"/>
      <c r="V146" s="290">
        <v>0</v>
      </c>
      <c r="W146" s="291">
        <v>0</v>
      </c>
      <c r="X146" s="291">
        <v>0</v>
      </c>
      <c r="Y146" s="67"/>
      <c r="Z146" s="43"/>
      <c r="AA146" s="290">
        <v>0</v>
      </c>
      <c r="AB146" s="290">
        <v>0</v>
      </c>
      <c r="AC146" s="290">
        <v>0</v>
      </c>
      <c r="AD146" s="429">
        <v>350</v>
      </c>
      <c r="AE146" s="78">
        <v>350</v>
      </c>
      <c r="AF146" s="290">
        <v>350</v>
      </c>
      <c r="AG146" s="290">
        <v>350</v>
      </c>
      <c r="AH146" s="290">
        <v>350</v>
      </c>
      <c r="AI146" s="429">
        <v>350</v>
      </c>
      <c r="AJ146" s="78">
        <v>350</v>
      </c>
      <c r="AK146" s="290">
        <v>400</v>
      </c>
      <c r="AL146" s="290">
        <v>400</v>
      </c>
      <c r="AM146" s="290">
        <v>400</v>
      </c>
      <c r="AN146" s="429">
        <v>350</v>
      </c>
      <c r="AO146" s="78">
        <v>350</v>
      </c>
      <c r="AP146" s="290"/>
      <c r="AQ146" s="290"/>
      <c r="AR146" s="290"/>
      <c r="AS146" s="77"/>
      <c r="AT146" s="78"/>
      <c r="AU146" s="290"/>
      <c r="AV146" s="290"/>
      <c r="AW146" s="290"/>
      <c r="AX146" s="77"/>
      <c r="AY146" s="78"/>
      <c r="AZ146" s="290"/>
      <c r="BA146" s="290"/>
      <c r="BB146" s="290"/>
      <c r="BC146" s="77"/>
      <c r="BD146" s="78"/>
      <c r="BE146" s="290"/>
      <c r="BF146" s="290"/>
      <c r="BG146" s="290"/>
      <c r="BH146" s="77"/>
      <c r="BI146" s="78"/>
    </row>
    <row r="147" spans="1:61">
      <c r="A147" s="1">
        <v>787</v>
      </c>
      <c r="B147" s="290">
        <v>1300</v>
      </c>
      <c r="C147" s="291">
        <v>1300</v>
      </c>
      <c r="D147" s="291">
        <v>1300</v>
      </c>
      <c r="E147" s="67">
        <f>F147</f>
        <v>1300</v>
      </c>
      <c r="F147" s="43">
        <v>1300</v>
      </c>
      <c r="G147" s="290">
        <v>1300</v>
      </c>
      <c r="H147" s="291">
        <v>1300</v>
      </c>
      <c r="I147" s="291">
        <v>1300</v>
      </c>
      <c r="J147" s="67">
        <f>K147</f>
        <v>1300</v>
      </c>
      <c r="K147" s="43">
        <v>1300</v>
      </c>
      <c r="L147" s="290">
        <v>1300</v>
      </c>
      <c r="M147" s="291">
        <v>1300</v>
      </c>
      <c r="N147" s="291">
        <v>1400</v>
      </c>
      <c r="O147" s="67">
        <f>P147</f>
        <v>1400</v>
      </c>
      <c r="P147" s="43">
        <v>1400</v>
      </c>
      <c r="Q147" s="290">
        <v>1400</v>
      </c>
      <c r="R147" s="291">
        <v>1500</v>
      </c>
      <c r="S147" s="291">
        <v>1500</v>
      </c>
      <c r="T147" s="67">
        <f>U147</f>
        <v>1600</v>
      </c>
      <c r="U147" s="43">
        <v>1600</v>
      </c>
      <c r="V147" s="290">
        <v>1600</v>
      </c>
      <c r="W147" s="291">
        <v>1600</v>
      </c>
      <c r="X147" s="291">
        <v>1600</v>
      </c>
      <c r="Y147" s="67">
        <f t="shared" si="411"/>
        <v>1600</v>
      </c>
      <c r="Z147" s="43">
        <v>1600</v>
      </c>
      <c r="AA147" s="290">
        <v>1500</v>
      </c>
      <c r="AB147" s="290">
        <v>1500</v>
      </c>
      <c r="AC147" s="290">
        <v>1500</v>
      </c>
      <c r="AD147" s="429">
        <v>1500</v>
      </c>
      <c r="AE147" s="78">
        <v>1500</v>
      </c>
      <c r="AF147" s="290">
        <v>1500</v>
      </c>
      <c r="AG147" s="290">
        <v>1500</v>
      </c>
      <c r="AH147" s="290">
        <v>1500</v>
      </c>
      <c r="AI147" s="429">
        <v>1500</v>
      </c>
      <c r="AJ147" s="78">
        <v>1500</v>
      </c>
      <c r="AK147" s="290">
        <v>1500</v>
      </c>
      <c r="AL147" s="290">
        <v>1500</v>
      </c>
      <c r="AM147" s="290">
        <v>1500</v>
      </c>
      <c r="AN147" s="429">
        <v>1500</v>
      </c>
      <c r="AO147" s="78">
        <v>1500</v>
      </c>
      <c r="AP147" s="290"/>
      <c r="AQ147" s="290"/>
      <c r="AR147" s="290"/>
      <c r="AS147" s="77"/>
      <c r="AT147" s="78"/>
      <c r="AU147" s="290"/>
      <c r="AV147" s="290"/>
      <c r="AW147" s="290"/>
      <c r="AX147" s="77"/>
      <c r="AY147" s="78"/>
      <c r="AZ147" s="290"/>
      <c r="BA147" s="290"/>
      <c r="BB147" s="290"/>
      <c r="BC147" s="77"/>
      <c r="BD147" s="78"/>
      <c r="BE147" s="290"/>
      <c r="BF147" s="290"/>
      <c r="BG147" s="290"/>
      <c r="BH147" s="77"/>
      <c r="BI147" s="78"/>
    </row>
    <row r="148" spans="1:61">
      <c r="A148" s="1">
        <v>717</v>
      </c>
      <c r="B148" s="290">
        <v>0</v>
      </c>
      <c r="C148" s="291">
        <v>0</v>
      </c>
      <c r="D148" s="291">
        <v>0</v>
      </c>
      <c r="E148" s="67">
        <f>F148</f>
        <v>0</v>
      </c>
      <c r="F148" s="43">
        <v>0</v>
      </c>
      <c r="G148" s="290">
        <v>0</v>
      </c>
      <c r="H148" s="291">
        <v>0</v>
      </c>
      <c r="I148" s="291">
        <v>0</v>
      </c>
      <c r="J148" s="67">
        <f>K148</f>
        <v>0</v>
      </c>
      <c r="K148" s="43">
        <v>0</v>
      </c>
      <c r="L148" s="290">
        <v>0</v>
      </c>
      <c r="M148" s="291">
        <v>0</v>
      </c>
      <c r="N148" s="291">
        <v>0</v>
      </c>
      <c r="O148" s="67">
        <f>P148</f>
        <v>0</v>
      </c>
      <c r="P148" s="43">
        <v>0</v>
      </c>
      <c r="Q148" s="290">
        <v>0</v>
      </c>
      <c r="R148" s="291">
        <v>0</v>
      </c>
      <c r="S148" s="291">
        <v>0</v>
      </c>
      <c r="T148" s="67">
        <f>U148</f>
        <v>0</v>
      </c>
      <c r="U148" s="43">
        <v>0</v>
      </c>
      <c r="V148" s="290">
        <v>0</v>
      </c>
      <c r="W148" s="291">
        <v>0</v>
      </c>
      <c r="X148" s="291">
        <v>0</v>
      </c>
      <c r="Y148" s="67">
        <f t="shared" si="411"/>
        <v>0</v>
      </c>
      <c r="Z148" s="43">
        <v>0</v>
      </c>
      <c r="AA148" s="290">
        <v>0</v>
      </c>
      <c r="AB148" s="290">
        <v>0</v>
      </c>
      <c r="AC148" s="290">
        <v>0</v>
      </c>
      <c r="AD148" s="429">
        <v>0</v>
      </c>
      <c r="AE148" s="78">
        <v>0</v>
      </c>
      <c r="AF148" s="290">
        <v>0</v>
      </c>
      <c r="AG148" s="290">
        <v>0</v>
      </c>
      <c r="AH148" s="290">
        <v>0</v>
      </c>
      <c r="AI148" s="429">
        <v>0</v>
      </c>
      <c r="AJ148" s="78">
        <v>0</v>
      </c>
      <c r="AK148" s="290">
        <v>0</v>
      </c>
      <c r="AL148" s="290">
        <v>0</v>
      </c>
      <c r="AM148" s="290">
        <v>0</v>
      </c>
      <c r="AN148" s="429">
        <v>0</v>
      </c>
      <c r="AO148" s="78">
        <v>0</v>
      </c>
      <c r="AP148" s="290"/>
      <c r="AQ148" s="290"/>
      <c r="AR148" s="290"/>
      <c r="AS148" s="77"/>
      <c r="AT148" s="78"/>
      <c r="AU148" s="290"/>
      <c r="AV148" s="290"/>
      <c r="AW148" s="290"/>
      <c r="AX148" s="77"/>
      <c r="AY148" s="78"/>
      <c r="AZ148" s="290"/>
      <c r="BA148" s="290"/>
      <c r="BB148" s="290"/>
      <c r="BC148" s="77"/>
      <c r="BD148" s="78"/>
      <c r="BE148" s="290"/>
      <c r="BF148" s="290"/>
      <c r="BG148" s="290"/>
      <c r="BH148" s="77"/>
      <c r="BI148" s="78"/>
    </row>
    <row r="149" spans="1:61">
      <c r="A149" s="1">
        <v>757</v>
      </c>
      <c r="B149" s="290">
        <v>0</v>
      </c>
      <c r="C149" s="291">
        <v>0</v>
      </c>
      <c r="D149" s="291">
        <v>0</v>
      </c>
      <c r="E149" s="67">
        <f>F149</f>
        <v>0</v>
      </c>
      <c r="F149" s="43">
        <v>0</v>
      </c>
      <c r="G149" s="290">
        <v>0</v>
      </c>
      <c r="H149" s="291">
        <v>0</v>
      </c>
      <c r="I149" s="291">
        <v>0</v>
      </c>
      <c r="J149" s="67">
        <f>K149</f>
        <v>0</v>
      </c>
      <c r="K149" s="43">
        <v>0</v>
      </c>
      <c r="L149" s="290">
        <v>0</v>
      </c>
      <c r="M149" s="291">
        <v>0</v>
      </c>
      <c r="N149" s="291">
        <v>0</v>
      </c>
      <c r="O149" s="67">
        <f>P149</f>
        <v>0</v>
      </c>
      <c r="P149" s="43">
        <v>0</v>
      </c>
      <c r="Q149" s="290">
        <v>0</v>
      </c>
      <c r="R149" s="291">
        <v>0</v>
      </c>
      <c r="S149" s="291">
        <v>0</v>
      </c>
      <c r="T149" s="67">
        <f>U149</f>
        <v>0</v>
      </c>
      <c r="U149" s="43">
        <v>0</v>
      </c>
      <c r="V149" s="290">
        <v>0</v>
      </c>
      <c r="W149" s="291">
        <v>0</v>
      </c>
      <c r="X149" s="291">
        <v>0</v>
      </c>
      <c r="Y149" s="67">
        <f t="shared" si="411"/>
        <v>0</v>
      </c>
      <c r="Z149" s="43">
        <v>0</v>
      </c>
      <c r="AA149" s="290">
        <v>0</v>
      </c>
      <c r="AB149" s="290">
        <v>0</v>
      </c>
      <c r="AC149" s="290">
        <v>0</v>
      </c>
      <c r="AD149" s="429">
        <v>0</v>
      </c>
      <c r="AE149" s="78">
        <v>0</v>
      </c>
      <c r="AF149" s="290">
        <v>0</v>
      </c>
      <c r="AG149" s="290">
        <v>0</v>
      </c>
      <c r="AH149" s="290">
        <v>0</v>
      </c>
      <c r="AI149" s="429">
        <v>0</v>
      </c>
      <c r="AJ149" s="78">
        <v>0</v>
      </c>
      <c r="AK149" s="290">
        <v>0</v>
      </c>
      <c r="AL149" s="290">
        <v>0</v>
      </c>
      <c r="AM149" s="290">
        <v>0</v>
      </c>
      <c r="AN149" s="429">
        <v>0</v>
      </c>
      <c r="AO149" s="78">
        <v>0</v>
      </c>
      <c r="AP149" s="290"/>
      <c r="AQ149" s="290"/>
      <c r="AR149" s="290"/>
      <c r="AS149" s="77"/>
      <c r="AT149" s="78"/>
      <c r="AU149" s="290"/>
      <c r="AV149" s="290"/>
      <c r="AW149" s="290"/>
      <c r="AX149" s="77"/>
      <c r="AY149" s="78"/>
      <c r="AZ149" s="290"/>
      <c r="BA149" s="290"/>
      <c r="BB149" s="290"/>
      <c r="BC149" s="77"/>
      <c r="BD149" s="78"/>
      <c r="BE149" s="290"/>
      <c r="BF149" s="290"/>
      <c r="BG149" s="290"/>
      <c r="BH149" s="77"/>
      <c r="BI149" s="78"/>
    </row>
    <row r="150" spans="1:61">
      <c r="A150" s="1"/>
      <c r="B150" s="290"/>
      <c r="C150" s="291"/>
      <c r="D150" s="291"/>
      <c r="E150" s="67"/>
      <c r="F150" s="43"/>
      <c r="G150" s="290"/>
      <c r="H150" s="291"/>
      <c r="I150" s="291"/>
      <c r="J150" s="67"/>
      <c r="K150" s="43"/>
      <c r="L150" s="290"/>
      <c r="M150" s="291"/>
      <c r="N150" s="291"/>
      <c r="O150" s="67"/>
      <c r="P150" s="43"/>
      <c r="Q150" s="290"/>
      <c r="R150" s="291"/>
      <c r="S150" s="291"/>
      <c r="T150" s="67"/>
      <c r="U150" s="43"/>
      <c r="V150" s="290"/>
      <c r="W150" s="291"/>
      <c r="X150" s="291"/>
      <c r="Y150" s="67"/>
      <c r="Z150" s="43"/>
      <c r="AA150" s="62"/>
      <c r="AB150" s="62"/>
      <c r="AC150" s="62"/>
      <c r="AD150" s="77"/>
      <c r="AE150" s="78"/>
      <c r="AF150" s="62"/>
      <c r="AG150" s="62"/>
      <c r="AH150" s="62"/>
      <c r="AI150" s="77"/>
      <c r="AJ150" s="78"/>
      <c r="AK150" s="62"/>
      <c r="AL150" s="62"/>
      <c r="AM150" s="62"/>
      <c r="AN150" s="77"/>
      <c r="AO150" s="78"/>
      <c r="AP150" s="62"/>
      <c r="AQ150" s="62"/>
      <c r="AR150" s="62"/>
      <c r="AS150" s="77"/>
      <c r="AT150" s="78"/>
      <c r="AU150" s="62"/>
      <c r="AV150" s="62"/>
      <c r="AW150" s="62"/>
      <c r="AX150" s="77"/>
      <c r="AY150" s="78"/>
      <c r="AZ150" s="62"/>
      <c r="BA150" s="62"/>
      <c r="BB150" s="62"/>
      <c r="BC150" s="77"/>
      <c r="BD150" s="78"/>
      <c r="BE150" s="62"/>
      <c r="BF150" s="62"/>
      <c r="BG150" s="62"/>
      <c r="BH150" s="77"/>
      <c r="BI150" s="78"/>
    </row>
    <row r="151" spans="1:61">
      <c r="A151" s="14" t="s">
        <v>426</v>
      </c>
      <c r="B151" s="290"/>
      <c r="C151" s="291"/>
      <c r="D151" s="291"/>
      <c r="E151" s="67"/>
      <c r="F151" s="43"/>
      <c r="G151" s="290"/>
      <c r="H151" s="291"/>
      <c r="I151" s="291"/>
      <c r="J151" s="67"/>
      <c r="K151" s="43"/>
      <c r="L151" s="290"/>
      <c r="M151" s="291"/>
      <c r="N151" s="291"/>
      <c r="O151" s="67"/>
      <c r="P151" s="43"/>
      <c r="Q151" s="290"/>
      <c r="R151" s="291"/>
      <c r="S151" s="291"/>
      <c r="T151" s="67"/>
      <c r="U151" s="43"/>
      <c r="V151" s="290"/>
      <c r="W151" s="291"/>
      <c r="X151" s="291"/>
      <c r="Y151" s="67"/>
      <c r="Z151" s="43"/>
      <c r="AA151" s="62"/>
      <c r="AB151" s="62"/>
      <c r="AC151" s="62"/>
      <c r="AD151" s="77"/>
      <c r="AE151" s="78"/>
      <c r="AF151" s="62"/>
      <c r="AG151" s="62"/>
      <c r="AH151" s="62"/>
      <c r="AI151" s="77"/>
      <c r="AJ151" s="78"/>
      <c r="AK151" s="62"/>
      <c r="AL151" s="62"/>
      <c r="AM151" s="62"/>
      <c r="AN151" s="77"/>
      <c r="AO151" s="78"/>
      <c r="AP151" s="62"/>
      <c r="AQ151" s="62"/>
      <c r="AR151" s="62"/>
      <c r="AS151" s="77"/>
      <c r="AT151" s="78"/>
      <c r="AU151" s="62"/>
      <c r="AV151" s="62"/>
      <c r="AW151" s="62"/>
      <c r="AX151" s="77"/>
      <c r="AY151" s="78"/>
      <c r="AZ151" s="62"/>
      <c r="BA151" s="62"/>
      <c r="BB151" s="62"/>
      <c r="BC151" s="77"/>
      <c r="BD151" s="78"/>
      <c r="BE151" s="62"/>
      <c r="BF151" s="62"/>
      <c r="BG151" s="62"/>
      <c r="BH151" s="77"/>
      <c r="BI151" s="78"/>
    </row>
    <row r="152" spans="1:61">
      <c r="A152" s="1">
        <v>737</v>
      </c>
      <c r="B152" s="290">
        <v>4244</v>
      </c>
      <c r="C152" s="291">
        <v>4253</v>
      </c>
      <c r="D152" s="291">
        <v>4243</v>
      </c>
      <c r="E152" s="67">
        <f t="shared" ref="E152:E159" si="412">F152</f>
        <v>4392</v>
      </c>
      <c r="F152" s="43">
        <v>4392</v>
      </c>
      <c r="G152" s="290">
        <v>4380</v>
      </c>
      <c r="H152" s="291">
        <v>4385</v>
      </c>
      <c r="I152" s="291">
        <v>4350</v>
      </c>
      <c r="J152" s="67">
        <f t="shared" ref="J152:J159" si="413">K152</f>
        <v>4452</v>
      </c>
      <c r="K152" s="43">
        <v>4452</v>
      </c>
      <c r="L152" s="290">
        <v>4506</v>
      </c>
      <c r="M152" s="291">
        <v>4478</v>
      </c>
      <c r="N152" s="291">
        <v>4431</v>
      </c>
      <c r="O152" s="67">
        <f t="shared" ref="O152:O159" si="414">P152</f>
        <v>4613</v>
      </c>
      <c r="P152" s="43">
        <v>4613</v>
      </c>
      <c r="Q152" s="290">
        <v>4656</v>
      </c>
      <c r="R152" s="291">
        <v>4667</v>
      </c>
      <c r="S152" s="291">
        <v>4654</v>
      </c>
      <c r="T152" s="67">
        <f t="shared" ref="T152:T159" si="415">U152</f>
        <v>4708</v>
      </c>
      <c r="U152" s="43">
        <v>4708</v>
      </c>
      <c r="V152" s="290">
        <v>4448</v>
      </c>
      <c r="W152" s="291">
        <v>4415</v>
      </c>
      <c r="X152" s="291">
        <v>4406</v>
      </c>
      <c r="Y152" s="67">
        <f t="shared" ref="Y152:Y159" si="416">Z152</f>
        <v>4398</v>
      </c>
      <c r="Z152" s="43">
        <v>4398</v>
      </c>
      <c r="AA152" s="290">
        <v>4079</v>
      </c>
      <c r="AB152" s="290">
        <v>3595</v>
      </c>
      <c r="AC152" s="290">
        <v>3403</v>
      </c>
      <c r="AD152" s="429">
        <v>3282</v>
      </c>
      <c r="AE152" s="78">
        <v>3282</v>
      </c>
      <c r="AF152" s="290">
        <v>3240</v>
      </c>
      <c r="AG152" s="290">
        <v>3334</v>
      </c>
      <c r="AH152" s="290">
        <v>3334</v>
      </c>
      <c r="AI152" s="429">
        <v>3414</v>
      </c>
      <c r="AJ152" s="78">
        <v>3414</v>
      </c>
      <c r="AK152" s="290">
        <v>3365</v>
      </c>
      <c r="AL152" s="290">
        <v>3431</v>
      </c>
      <c r="AM152" s="290">
        <v>3431</v>
      </c>
      <c r="AN152" s="429">
        <v>3414</v>
      </c>
      <c r="AO152" s="78">
        <v>3414</v>
      </c>
      <c r="AP152" s="290"/>
      <c r="AQ152" s="290"/>
      <c r="AR152" s="290"/>
      <c r="AS152" s="77"/>
      <c r="AT152" s="78"/>
      <c r="AU152" s="290"/>
      <c r="AV152" s="290"/>
      <c r="AW152" s="290"/>
      <c r="AX152" s="77"/>
      <c r="AY152" s="78"/>
      <c r="AZ152" s="290"/>
      <c r="BA152" s="290"/>
      <c r="BB152" s="290"/>
      <c r="BC152" s="77"/>
      <c r="BD152" s="78"/>
      <c r="BE152" s="290"/>
      <c r="BF152" s="290"/>
      <c r="BG152" s="290"/>
      <c r="BH152" s="77"/>
      <c r="BI152" s="78"/>
    </row>
    <row r="153" spans="1:61">
      <c r="A153" s="1">
        <v>747</v>
      </c>
      <c r="B153" s="290">
        <v>35</v>
      </c>
      <c r="C153" s="291">
        <v>31</v>
      </c>
      <c r="D153" s="291">
        <v>23</v>
      </c>
      <c r="E153" s="67">
        <f t="shared" si="412"/>
        <v>20</v>
      </c>
      <c r="F153" s="43">
        <v>20</v>
      </c>
      <c r="G153" s="290">
        <v>23</v>
      </c>
      <c r="H153" s="291">
        <v>21</v>
      </c>
      <c r="I153" s="291">
        <v>15</v>
      </c>
      <c r="J153" s="67">
        <f t="shared" si="413"/>
        <v>28</v>
      </c>
      <c r="K153" s="43">
        <v>28</v>
      </c>
      <c r="L153" s="290">
        <v>23</v>
      </c>
      <c r="M153" s="291">
        <v>20</v>
      </c>
      <c r="N153" s="291">
        <v>17</v>
      </c>
      <c r="O153" s="67">
        <f t="shared" si="414"/>
        <v>12</v>
      </c>
      <c r="P153" s="43">
        <v>12</v>
      </c>
      <c r="Q153" s="290">
        <v>24</v>
      </c>
      <c r="R153" s="291">
        <v>23</v>
      </c>
      <c r="S153" s="291">
        <v>21</v>
      </c>
      <c r="T153" s="67">
        <f t="shared" si="415"/>
        <v>24</v>
      </c>
      <c r="U153" s="43">
        <v>24</v>
      </c>
      <c r="V153" s="290">
        <v>22</v>
      </c>
      <c r="W153" s="291">
        <v>20</v>
      </c>
      <c r="X153" s="291">
        <v>19</v>
      </c>
      <c r="Y153" s="67">
        <f t="shared" si="416"/>
        <v>17</v>
      </c>
      <c r="Z153" s="43">
        <v>17</v>
      </c>
      <c r="AA153" s="290">
        <v>13</v>
      </c>
      <c r="AB153" s="290">
        <v>12</v>
      </c>
      <c r="AC153" s="290">
        <v>11</v>
      </c>
      <c r="AD153" s="429">
        <v>8</v>
      </c>
      <c r="AE153" s="78">
        <v>8</v>
      </c>
      <c r="AF153" s="290">
        <v>12</v>
      </c>
      <c r="AG153" s="290">
        <v>11</v>
      </c>
      <c r="AH153" s="290">
        <v>9</v>
      </c>
      <c r="AI153" s="429">
        <v>6</v>
      </c>
      <c r="AJ153" s="78">
        <v>6</v>
      </c>
      <c r="AK153" s="290">
        <v>5</v>
      </c>
      <c r="AL153" s="290">
        <v>3</v>
      </c>
      <c r="AM153" s="290">
        <v>3</v>
      </c>
      <c r="AN153" s="429">
        <v>6</v>
      </c>
      <c r="AO153" s="78">
        <v>6</v>
      </c>
      <c r="AP153" s="290"/>
      <c r="AQ153" s="290"/>
      <c r="AR153" s="290"/>
      <c r="AS153" s="77"/>
      <c r="AT153" s="78"/>
      <c r="AU153" s="290"/>
      <c r="AV153" s="290"/>
      <c r="AW153" s="290"/>
      <c r="AX153" s="77"/>
      <c r="AY153" s="78"/>
      <c r="AZ153" s="290"/>
      <c r="BA153" s="290"/>
      <c r="BB153" s="290"/>
      <c r="BC153" s="77"/>
      <c r="BD153" s="78"/>
      <c r="BE153" s="290"/>
      <c r="BF153" s="290"/>
      <c r="BG153" s="290"/>
      <c r="BH153" s="77"/>
      <c r="BI153" s="78"/>
    </row>
    <row r="154" spans="1:61">
      <c r="A154" s="1">
        <v>767</v>
      </c>
      <c r="B154" s="290">
        <v>42</v>
      </c>
      <c r="C154" s="291">
        <v>39</v>
      </c>
      <c r="D154" s="291">
        <v>81</v>
      </c>
      <c r="E154" s="67">
        <f t="shared" si="412"/>
        <v>80</v>
      </c>
      <c r="F154" s="43">
        <v>80</v>
      </c>
      <c r="G154" s="290">
        <v>80</v>
      </c>
      <c r="H154" s="291">
        <v>82</v>
      </c>
      <c r="I154" s="291">
        <v>96</v>
      </c>
      <c r="J154" s="67">
        <f t="shared" si="413"/>
        <v>93</v>
      </c>
      <c r="K154" s="43">
        <v>93</v>
      </c>
      <c r="L154" s="290">
        <v>106</v>
      </c>
      <c r="M154" s="291">
        <v>103</v>
      </c>
      <c r="N154" s="291">
        <v>101</v>
      </c>
      <c r="O154" s="67">
        <f t="shared" si="414"/>
        <v>98</v>
      </c>
      <c r="P154" s="43">
        <v>98</v>
      </c>
      <c r="Q154" s="290">
        <v>101</v>
      </c>
      <c r="R154" s="291">
        <v>109</v>
      </c>
      <c r="S154" s="291">
        <v>123</v>
      </c>
      <c r="T154" s="67">
        <f t="shared" si="415"/>
        <v>111</v>
      </c>
      <c r="U154" s="43">
        <v>111</v>
      </c>
      <c r="V154" s="290">
        <v>103</v>
      </c>
      <c r="W154" s="291">
        <v>99</v>
      </c>
      <c r="X154" s="291">
        <v>105</v>
      </c>
      <c r="Y154" s="67">
        <f t="shared" si="416"/>
        <v>94</v>
      </c>
      <c r="Z154" s="43">
        <v>94</v>
      </c>
      <c r="AA154" s="290">
        <v>86</v>
      </c>
      <c r="AB154" s="290">
        <v>89</v>
      </c>
      <c r="AC154" s="290">
        <v>83</v>
      </c>
      <c r="AD154" s="429">
        <v>75</v>
      </c>
      <c r="AE154" s="78">
        <v>75</v>
      </c>
      <c r="AF154" s="290">
        <v>97</v>
      </c>
      <c r="AG154" s="290">
        <v>107</v>
      </c>
      <c r="AH154" s="290">
        <v>97</v>
      </c>
      <c r="AI154" s="429">
        <v>108</v>
      </c>
      <c r="AJ154" s="78">
        <v>108</v>
      </c>
      <c r="AK154" s="290">
        <v>103</v>
      </c>
      <c r="AL154" s="290">
        <v>96</v>
      </c>
      <c r="AM154" s="290">
        <v>96</v>
      </c>
      <c r="AN154" s="429">
        <v>108</v>
      </c>
      <c r="AO154" s="78">
        <v>108</v>
      </c>
      <c r="AP154" s="290"/>
      <c r="AQ154" s="290"/>
      <c r="AR154" s="290"/>
      <c r="AS154" s="77"/>
      <c r="AT154" s="78"/>
      <c r="AU154" s="290"/>
      <c r="AV154" s="290"/>
      <c r="AW154" s="290"/>
      <c r="AX154" s="77"/>
      <c r="AY154" s="78"/>
      <c r="AZ154" s="290"/>
      <c r="BA154" s="290"/>
      <c r="BB154" s="290"/>
      <c r="BC154" s="77"/>
      <c r="BD154" s="78"/>
      <c r="BE154" s="290"/>
      <c r="BF154" s="290"/>
      <c r="BG154" s="290"/>
      <c r="BH154" s="77"/>
      <c r="BI154" s="78"/>
    </row>
    <row r="155" spans="1:61">
      <c r="A155" s="1">
        <v>777</v>
      </c>
      <c r="B155" s="290">
        <v>261</v>
      </c>
      <c r="C155" s="291">
        <v>257</v>
      </c>
      <c r="D155" s="291">
        <v>235</v>
      </c>
      <c r="E155" s="67">
        <f t="shared" si="412"/>
        <v>218</v>
      </c>
      <c r="F155" s="43">
        <v>218</v>
      </c>
      <c r="G155" s="290">
        <v>205</v>
      </c>
      <c r="H155" s="291">
        <v>175</v>
      </c>
      <c r="I155" s="291">
        <v>151</v>
      </c>
      <c r="J155" s="67">
        <f t="shared" si="413"/>
        <v>136</v>
      </c>
      <c r="K155" s="43">
        <v>136</v>
      </c>
      <c r="L155" s="290">
        <v>124</v>
      </c>
      <c r="M155" s="291">
        <v>107</v>
      </c>
      <c r="N155" s="291">
        <v>101</v>
      </c>
      <c r="O155" s="67">
        <f t="shared" si="414"/>
        <v>97</v>
      </c>
      <c r="P155" s="43">
        <v>97</v>
      </c>
      <c r="Q155" s="290">
        <v>90</v>
      </c>
      <c r="R155" s="291">
        <v>96</v>
      </c>
      <c r="S155" s="291">
        <v>87</v>
      </c>
      <c r="T155" s="67">
        <f t="shared" si="415"/>
        <v>100</v>
      </c>
      <c r="U155" s="43">
        <v>100</v>
      </c>
      <c r="V155" s="290">
        <v>92</v>
      </c>
      <c r="W155" s="291">
        <v>82</v>
      </c>
      <c r="X155" s="291">
        <v>85</v>
      </c>
      <c r="Y155" s="67">
        <f t="shared" si="416"/>
        <v>68</v>
      </c>
      <c r="Z155" s="43">
        <v>68</v>
      </c>
      <c r="AA155" s="290">
        <v>47</v>
      </c>
      <c r="AB155" s="290">
        <v>46</v>
      </c>
      <c r="AC155" s="290">
        <v>44</v>
      </c>
      <c r="AD155" s="429">
        <v>41</v>
      </c>
      <c r="AE155" s="78">
        <v>41</v>
      </c>
      <c r="AF155" s="290">
        <v>35</v>
      </c>
      <c r="AG155" s="290">
        <v>40</v>
      </c>
      <c r="AH155" s="290">
        <v>57</v>
      </c>
      <c r="AI155" s="429">
        <v>58</v>
      </c>
      <c r="AJ155" s="78">
        <v>58</v>
      </c>
      <c r="AK155" s="290">
        <v>74</v>
      </c>
      <c r="AL155" s="290">
        <v>71</v>
      </c>
      <c r="AM155" s="290">
        <v>71</v>
      </c>
      <c r="AN155" s="429">
        <v>58</v>
      </c>
      <c r="AO155" s="78">
        <v>58</v>
      </c>
      <c r="AP155" s="290"/>
      <c r="AQ155" s="290"/>
      <c r="AR155" s="290"/>
      <c r="AS155" s="77"/>
      <c r="AT155" s="78"/>
      <c r="AU155" s="290"/>
      <c r="AV155" s="290"/>
      <c r="AW155" s="290"/>
      <c r="AX155" s="77"/>
      <c r="AY155" s="78"/>
      <c r="AZ155" s="290"/>
      <c r="BA155" s="290"/>
      <c r="BB155" s="290"/>
      <c r="BC155" s="77"/>
      <c r="BD155" s="78"/>
      <c r="BE155" s="290"/>
      <c r="BF155" s="290"/>
      <c r="BG155" s="290"/>
      <c r="BH155" s="77"/>
      <c r="BI155" s="78"/>
    </row>
    <row r="156" spans="1:61">
      <c r="A156" s="1" t="s">
        <v>425</v>
      </c>
      <c r="B156" s="290">
        <v>286</v>
      </c>
      <c r="C156" s="291">
        <v>306</v>
      </c>
      <c r="D156" s="291">
        <v>306</v>
      </c>
      <c r="E156" s="67">
        <f t="shared" si="412"/>
        <v>306</v>
      </c>
      <c r="F156" s="43">
        <v>306</v>
      </c>
      <c r="G156" s="290">
        <v>306</v>
      </c>
      <c r="H156" s="291">
        <v>306</v>
      </c>
      <c r="I156" s="291">
        <v>306</v>
      </c>
      <c r="J156" s="67">
        <f t="shared" si="413"/>
        <v>306</v>
      </c>
      <c r="K156" s="43">
        <v>306</v>
      </c>
      <c r="L156" s="290">
        <v>306</v>
      </c>
      <c r="M156" s="291">
        <v>326</v>
      </c>
      <c r="N156" s="291">
        <v>326</v>
      </c>
      <c r="O156" s="67">
        <f t="shared" si="414"/>
        <v>326</v>
      </c>
      <c r="P156" s="43">
        <v>326</v>
      </c>
      <c r="Q156" s="290">
        <v>326</v>
      </c>
      <c r="R156" s="291">
        <v>326</v>
      </c>
      <c r="S156" s="291">
        <v>326</v>
      </c>
      <c r="T156" s="67">
        <f t="shared" si="415"/>
        <v>326</v>
      </c>
      <c r="U156" s="43">
        <v>326</v>
      </c>
      <c r="V156" s="290">
        <v>344</v>
      </c>
      <c r="W156" s="291">
        <v>344</v>
      </c>
      <c r="X156" s="291">
        <v>344</v>
      </c>
      <c r="Y156" s="67">
        <f t="shared" si="416"/>
        <v>309</v>
      </c>
      <c r="Z156" s="43">
        <v>309</v>
      </c>
      <c r="AA156" s="290">
        <v>309</v>
      </c>
      <c r="AB156" s="290">
        <v>309</v>
      </c>
      <c r="AC156" s="290">
        <v>309</v>
      </c>
      <c r="AD156" s="429">
        <v>191</v>
      </c>
      <c r="AE156" s="78">
        <v>191</v>
      </c>
      <c r="AF156" s="290">
        <v>228</v>
      </c>
      <c r="AG156" s="290">
        <v>246</v>
      </c>
      <c r="AH156" s="290">
        <v>253</v>
      </c>
      <c r="AI156" s="429">
        <v>253</v>
      </c>
      <c r="AJ156" s="78">
        <v>253</v>
      </c>
      <c r="AK156" s="290">
        <v>224</v>
      </c>
      <c r="AL156" s="290">
        <v>231</v>
      </c>
      <c r="AM156" s="290">
        <v>231</v>
      </c>
      <c r="AN156" s="429">
        <v>253</v>
      </c>
      <c r="AO156" s="78">
        <v>253</v>
      </c>
      <c r="AP156" s="290"/>
      <c r="AQ156" s="290"/>
      <c r="AR156" s="290"/>
      <c r="AS156" s="77"/>
      <c r="AT156" s="78"/>
      <c r="AU156" s="290"/>
      <c r="AV156" s="290"/>
      <c r="AW156" s="290"/>
      <c r="AX156" s="77"/>
      <c r="AY156" s="78"/>
      <c r="AZ156" s="290"/>
      <c r="BA156" s="290"/>
      <c r="BB156" s="290"/>
      <c r="BC156" s="77"/>
      <c r="BD156" s="78"/>
      <c r="BE156" s="290"/>
      <c r="BF156" s="290"/>
      <c r="BG156" s="290"/>
      <c r="BH156" s="77"/>
      <c r="BI156" s="78"/>
    </row>
    <row r="157" spans="1:61">
      <c r="A157" s="1">
        <v>787</v>
      </c>
      <c r="B157" s="290">
        <v>847</v>
      </c>
      <c r="C157" s="291">
        <v>803</v>
      </c>
      <c r="D157" s="291">
        <v>768</v>
      </c>
      <c r="E157" s="67">
        <f t="shared" si="412"/>
        <v>779</v>
      </c>
      <c r="F157" s="43">
        <v>779</v>
      </c>
      <c r="G157" s="290">
        <v>746</v>
      </c>
      <c r="H157" s="291">
        <v>724</v>
      </c>
      <c r="I157" s="291">
        <v>694</v>
      </c>
      <c r="J157" s="67">
        <f t="shared" si="413"/>
        <v>700</v>
      </c>
      <c r="K157" s="43">
        <v>700</v>
      </c>
      <c r="L157" s="290">
        <v>679</v>
      </c>
      <c r="M157" s="291">
        <v>710</v>
      </c>
      <c r="N157" s="291">
        <v>683</v>
      </c>
      <c r="O157" s="67">
        <f t="shared" si="414"/>
        <v>640</v>
      </c>
      <c r="P157" s="43">
        <v>640</v>
      </c>
      <c r="Q157" s="290">
        <v>638</v>
      </c>
      <c r="R157" s="291">
        <v>655</v>
      </c>
      <c r="S157" s="291">
        <v>638</v>
      </c>
      <c r="T157" s="67">
        <f t="shared" si="415"/>
        <v>604</v>
      </c>
      <c r="U157" s="43">
        <v>604</v>
      </c>
      <c r="V157" s="290">
        <v>596</v>
      </c>
      <c r="W157" s="291">
        <v>555</v>
      </c>
      <c r="X157" s="291">
        <v>529</v>
      </c>
      <c r="Y157" s="67">
        <f t="shared" si="416"/>
        <v>520</v>
      </c>
      <c r="Z157" s="43">
        <v>520</v>
      </c>
      <c r="AA157" s="290">
        <v>515</v>
      </c>
      <c r="AB157" s="290">
        <v>501</v>
      </c>
      <c r="AC157" s="290">
        <v>475</v>
      </c>
      <c r="AD157" s="429">
        <v>458</v>
      </c>
      <c r="AE157" s="78">
        <v>458</v>
      </c>
      <c r="AF157" s="290">
        <v>442</v>
      </c>
      <c r="AG157" s="290">
        <v>417</v>
      </c>
      <c r="AH157" s="290">
        <v>413</v>
      </c>
      <c r="AI157" s="429">
        <v>411</v>
      </c>
      <c r="AJ157" s="78">
        <v>411</v>
      </c>
      <c r="AK157" s="290">
        <v>405</v>
      </c>
      <c r="AL157" s="290">
        <v>407</v>
      </c>
      <c r="AM157" s="290">
        <v>407</v>
      </c>
      <c r="AN157" s="429">
        <v>411</v>
      </c>
      <c r="AO157" s="78">
        <v>411</v>
      </c>
      <c r="AP157" s="290"/>
      <c r="AQ157" s="290"/>
      <c r="AR157" s="290"/>
      <c r="AS157" s="77"/>
      <c r="AT157" s="78"/>
      <c r="AU157" s="290"/>
      <c r="AV157" s="290"/>
      <c r="AW157" s="290"/>
      <c r="AX157" s="77"/>
      <c r="AY157" s="78"/>
      <c r="AZ157" s="290"/>
      <c r="BA157" s="290"/>
      <c r="BB157" s="290"/>
      <c r="BC157" s="77"/>
      <c r="BD157" s="78"/>
      <c r="BE157" s="290"/>
      <c r="BF157" s="290"/>
      <c r="BG157" s="290"/>
      <c r="BH157" s="77"/>
      <c r="BI157" s="78"/>
    </row>
    <row r="158" spans="1:61">
      <c r="A158" s="1">
        <v>717</v>
      </c>
      <c r="B158" s="290">
        <v>0</v>
      </c>
      <c r="C158" s="291">
        <v>0</v>
      </c>
      <c r="D158" s="291">
        <v>0</v>
      </c>
      <c r="E158" s="67">
        <f t="shared" si="412"/>
        <v>0</v>
      </c>
      <c r="F158" s="43">
        <v>0</v>
      </c>
      <c r="G158" s="290">
        <v>0</v>
      </c>
      <c r="H158" s="291">
        <v>0</v>
      </c>
      <c r="I158" s="291">
        <v>0</v>
      </c>
      <c r="J158" s="67">
        <f t="shared" si="413"/>
        <v>0</v>
      </c>
      <c r="K158" s="43">
        <v>0</v>
      </c>
      <c r="L158" s="290">
        <v>0</v>
      </c>
      <c r="M158" s="291">
        <v>0</v>
      </c>
      <c r="N158" s="291">
        <v>0</v>
      </c>
      <c r="O158" s="67">
        <f t="shared" si="414"/>
        <v>0</v>
      </c>
      <c r="P158" s="43">
        <v>0</v>
      </c>
      <c r="Q158" s="290">
        <v>0</v>
      </c>
      <c r="R158" s="291">
        <v>0</v>
      </c>
      <c r="S158" s="291">
        <v>0</v>
      </c>
      <c r="T158" s="67">
        <f t="shared" si="415"/>
        <v>0</v>
      </c>
      <c r="U158" s="43">
        <v>0</v>
      </c>
      <c r="V158" s="290">
        <v>0</v>
      </c>
      <c r="W158" s="291">
        <v>0</v>
      </c>
      <c r="X158" s="291">
        <v>0</v>
      </c>
      <c r="Y158" s="67">
        <f t="shared" si="416"/>
        <v>0</v>
      </c>
      <c r="Z158" s="43">
        <v>0</v>
      </c>
      <c r="AA158" s="290">
        <v>0</v>
      </c>
      <c r="AB158" s="290">
        <v>0</v>
      </c>
      <c r="AC158" s="290">
        <v>0</v>
      </c>
      <c r="AD158" s="429">
        <v>0</v>
      </c>
      <c r="AE158" s="78">
        <v>0</v>
      </c>
      <c r="AF158" s="290">
        <v>0</v>
      </c>
      <c r="AG158" s="290">
        <v>0</v>
      </c>
      <c r="AH158" s="290">
        <v>0</v>
      </c>
      <c r="AI158" s="429">
        <v>0</v>
      </c>
      <c r="AJ158" s="78">
        <v>0</v>
      </c>
      <c r="AK158" s="290">
        <v>0</v>
      </c>
      <c r="AL158" s="290">
        <v>0</v>
      </c>
      <c r="AM158" s="290">
        <v>0</v>
      </c>
      <c r="AN158" s="429">
        <v>0</v>
      </c>
      <c r="AO158" s="78">
        <v>0</v>
      </c>
      <c r="AP158" s="290"/>
      <c r="AQ158" s="290"/>
      <c r="AR158" s="290"/>
      <c r="AS158" s="77"/>
      <c r="AT158" s="78"/>
      <c r="AU158" s="290"/>
      <c r="AV158" s="290"/>
      <c r="AW158" s="290"/>
      <c r="AX158" s="77"/>
      <c r="AY158" s="78"/>
      <c r="AZ158" s="290"/>
      <c r="BA158" s="290"/>
      <c r="BB158" s="290"/>
      <c r="BC158" s="77"/>
      <c r="BD158" s="78"/>
      <c r="BE158" s="290"/>
      <c r="BF158" s="290"/>
      <c r="BG158" s="290"/>
      <c r="BH158" s="77"/>
      <c r="BI158" s="78"/>
    </row>
    <row r="159" spans="1:61">
      <c r="A159" s="1">
        <v>757</v>
      </c>
      <c r="B159" s="290">
        <v>0</v>
      </c>
      <c r="C159" s="291">
        <v>0</v>
      </c>
      <c r="D159" s="291">
        <v>0</v>
      </c>
      <c r="E159" s="67">
        <f t="shared" si="412"/>
        <v>0</v>
      </c>
      <c r="F159" s="43">
        <v>0</v>
      </c>
      <c r="G159" s="290">
        <v>0</v>
      </c>
      <c r="H159" s="291">
        <v>0</v>
      </c>
      <c r="I159" s="291">
        <v>0</v>
      </c>
      <c r="J159" s="67">
        <f t="shared" si="413"/>
        <v>0</v>
      </c>
      <c r="K159" s="43">
        <v>0</v>
      </c>
      <c r="L159" s="290">
        <v>0</v>
      </c>
      <c r="M159" s="291">
        <v>0</v>
      </c>
      <c r="N159" s="291">
        <v>0</v>
      </c>
      <c r="O159" s="67">
        <f t="shared" si="414"/>
        <v>0</v>
      </c>
      <c r="P159" s="43">
        <v>0</v>
      </c>
      <c r="Q159" s="290">
        <v>0</v>
      </c>
      <c r="R159" s="291">
        <v>0</v>
      </c>
      <c r="S159" s="291">
        <v>0</v>
      </c>
      <c r="T159" s="67">
        <f t="shared" si="415"/>
        <v>0</v>
      </c>
      <c r="U159" s="43">
        <v>0</v>
      </c>
      <c r="V159" s="290">
        <v>0</v>
      </c>
      <c r="W159" s="291">
        <v>0</v>
      </c>
      <c r="X159" s="291">
        <v>0</v>
      </c>
      <c r="Y159" s="67">
        <f t="shared" si="416"/>
        <v>0</v>
      </c>
      <c r="Z159" s="43">
        <v>0</v>
      </c>
      <c r="AA159" s="290">
        <v>0</v>
      </c>
      <c r="AB159" s="290">
        <v>0</v>
      </c>
      <c r="AC159" s="290">
        <v>0</v>
      </c>
      <c r="AD159" s="429">
        <v>0</v>
      </c>
      <c r="AE159" s="78">
        <v>0</v>
      </c>
      <c r="AF159" s="290">
        <v>0</v>
      </c>
      <c r="AG159" s="290">
        <v>0</v>
      </c>
      <c r="AH159" s="290">
        <v>0</v>
      </c>
      <c r="AI159" s="429">
        <v>0</v>
      </c>
      <c r="AJ159" s="78">
        <v>0</v>
      </c>
      <c r="AK159" s="290">
        <v>0</v>
      </c>
      <c r="AL159" s="290">
        <v>0</v>
      </c>
      <c r="AM159" s="290">
        <v>0</v>
      </c>
      <c r="AN159" s="429">
        <v>0</v>
      </c>
      <c r="AO159" s="78">
        <v>0</v>
      </c>
      <c r="AP159" s="290"/>
      <c r="AQ159" s="290"/>
      <c r="AR159" s="290"/>
      <c r="AS159" s="77"/>
      <c r="AT159" s="78"/>
      <c r="AU159" s="290"/>
      <c r="AV159" s="290"/>
      <c r="AW159" s="290"/>
      <c r="AX159" s="77"/>
      <c r="AY159" s="78"/>
      <c r="AZ159" s="290"/>
      <c r="BA159" s="290"/>
      <c r="BB159" s="290"/>
      <c r="BC159" s="77"/>
      <c r="BD159" s="78"/>
      <c r="BE159" s="290"/>
      <c r="BF159" s="290"/>
      <c r="BG159" s="290"/>
      <c r="BH159" s="77"/>
      <c r="BI159" s="78"/>
    </row>
    <row r="160" spans="1:61">
      <c r="A160" s="1"/>
      <c r="B160" s="290"/>
      <c r="C160" s="291"/>
      <c r="D160" s="291"/>
      <c r="E160" s="67"/>
      <c r="F160" s="43"/>
      <c r="G160" s="290"/>
      <c r="H160" s="291"/>
      <c r="I160" s="291"/>
      <c r="J160" s="67"/>
      <c r="K160" s="43"/>
      <c r="L160" s="290"/>
      <c r="M160" s="291"/>
      <c r="N160" s="291"/>
      <c r="O160" s="67"/>
      <c r="P160" s="43"/>
      <c r="Q160" s="290"/>
      <c r="R160" s="291"/>
      <c r="S160" s="291"/>
      <c r="T160" s="67"/>
      <c r="U160" s="43"/>
      <c r="V160" s="290"/>
      <c r="W160" s="291"/>
      <c r="X160" s="291"/>
      <c r="Y160" s="67"/>
      <c r="Z160" s="43"/>
      <c r="AA160" s="62"/>
      <c r="AB160" s="62"/>
      <c r="AC160" s="62"/>
      <c r="AD160" s="251"/>
      <c r="AE160" s="78"/>
      <c r="AF160" s="62"/>
      <c r="AG160" s="62"/>
      <c r="AH160" s="62"/>
      <c r="AI160" s="251"/>
      <c r="AJ160" s="78"/>
      <c r="AK160" s="62"/>
      <c r="AL160" s="62"/>
      <c r="AM160" s="62"/>
      <c r="AN160" s="251"/>
      <c r="AO160" s="78"/>
      <c r="AP160" s="62"/>
      <c r="AQ160" s="62"/>
      <c r="AR160" s="62"/>
      <c r="AS160" s="77"/>
      <c r="AT160" s="78"/>
      <c r="AU160" s="62"/>
      <c r="AV160" s="62"/>
      <c r="AW160" s="62"/>
      <c r="AX160" s="77"/>
      <c r="AY160" s="78"/>
      <c r="AZ160" s="62"/>
      <c r="BA160" s="62"/>
      <c r="BB160" s="62"/>
      <c r="BC160" s="77"/>
      <c r="BD160" s="78"/>
      <c r="BE160" s="62"/>
      <c r="BF160" s="62"/>
      <c r="BG160" s="62"/>
      <c r="BH160" s="77"/>
      <c r="BI160" s="78"/>
    </row>
    <row r="161" spans="1:74">
      <c r="A161" s="14" t="s">
        <v>427</v>
      </c>
      <c r="B161" s="290"/>
      <c r="C161" s="291"/>
      <c r="D161" s="291"/>
      <c r="E161" s="67"/>
      <c r="F161" s="43"/>
      <c r="G161" s="290"/>
      <c r="H161" s="291"/>
      <c r="I161" s="291"/>
      <c r="J161" s="67"/>
      <c r="K161" s="43"/>
      <c r="L161" s="290"/>
      <c r="M161" s="291"/>
      <c r="N161" s="291"/>
      <c r="O161" s="67"/>
      <c r="P161" s="43"/>
      <c r="Q161" s="290"/>
      <c r="R161" s="291"/>
      <c r="S161" s="291"/>
      <c r="T161" s="67"/>
      <c r="U161" s="43"/>
      <c r="V161" s="290"/>
      <c r="W161" s="291"/>
      <c r="X161" s="291"/>
      <c r="Y161" s="67"/>
      <c r="Z161" s="43"/>
      <c r="AA161" s="62"/>
      <c r="AB161" s="62"/>
      <c r="AC161" s="62"/>
      <c r="AD161" s="251"/>
      <c r="AE161" s="78"/>
      <c r="AF161" s="62"/>
      <c r="AG161" s="62"/>
      <c r="AH161" s="62"/>
      <c r="AI161" s="251"/>
      <c r="AJ161" s="78"/>
      <c r="AK161" s="62"/>
      <c r="AL161" s="62"/>
      <c r="AM161" s="62"/>
      <c r="AN161" s="251"/>
      <c r="AO161" s="78"/>
      <c r="AP161" s="62"/>
      <c r="AQ161" s="62"/>
      <c r="AR161" s="62"/>
      <c r="AS161" s="77"/>
      <c r="AT161" s="78"/>
      <c r="AU161" s="62"/>
      <c r="AV161" s="62"/>
      <c r="AW161" s="62"/>
      <c r="AX161" s="77"/>
      <c r="AY161" s="78"/>
      <c r="AZ161" s="62"/>
      <c r="BA161" s="62"/>
      <c r="BB161" s="62"/>
      <c r="BC161" s="77"/>
      <c r="BD161" s="78"/>
      <c r="BE161" s="62"/>
      <c r="BF161" s="62"/>
      <c r="BG161" s="62"/>
      <c r="BH161" s="77"/>
      <c r="BI161" s="78"/>
    </row>
    <row r="162" spans="1:74">
      <c r="A162" s="1">
        <v>737</v>
      </c>
      <c r="B162" s="290">
        <v>9583</v>
      </c>
      <c r="C162" s="291">
        <v>9720</v>
      </c>
      <c r="D162" s="291">
        <v>9836</v>
      </c>
      <c r="E162" s="67">
        <f t="shared" ref="E162:E169" si="417">F162</f>
        <v>10105</v>
      </c>
      <c r="F162" s="43">
        <v>10105</v>
      </c>
      <c r="G162" s="290">
        <v>10214</v>
      </c>
      <c r="H162" s="291">
        <v>10364</v>
      </c>
      <c r="I162" s="291">
        <v>10431</v>
      </c>
      <c r="J162" s="67">
        <f t="shared" ref="J162:J169" si="418">K162</f>
        <v>10655</v>
      </c>
      <c r="K162" s="43">
        <v>10655</v>
      </c>
      <c r="L162" s="290">
        <v>10822</v>
      </c>
      <c r="M162" s="291">
        <v>10917</v>
      </c>
      <c r="N162" s="291">
        <v>11015</v>
      </c>
      <c r="O162" s="67">
        <f t="shared" ref="O162:O169" si="419">P162</f>
        <v>11345</v>
      </c>
      <c r="P162" s="43">
        <v>11345</v>
      </c>
      <c r="Q162" s="290">
        <v>11520</v>
      </c>
      <c r="R162" s="291">
        <v>11668</v>
      </c>
      <c r="S162" s="291">
        <v>11793</v>
      </c>
      <c r="T162" s="67">
        <f t="shared" ref="T162:T169" si="420">U162</f>
        <v>12020</v>
      </c>
      <c r="U162" s="43">
        <v>12020</v>
      </c>
      <c r="V162" s="290">
        <v>11849</v>
      </c>
      <c r="W162" s="291">
        <v>11840</v>
      </c>
      <c r="X162" s="291">
        <v>11836</v>
      </c>
      <c r="Y162" s="67">
        <f t="shared" ref="Y162:Y169" si="421">Z162</f>
        <v>11837</v>
      </c>
      <c r="Z162" s="43">
        <v>11837</v>
      </c>
      <c r="AA162" s="290">
        <v>11523</v>
      </c>
      <c r="AB162" s="290">
        <v>11043</v>
      </c>
      <c r="AC162" s="290">
        <v>10854</v>
      </c>
      <c r="AD162" s="429">
        <v>10764</v>
      </c>
      <c r="AE162" s="78">
        <v>10764</v>
      </c>
      <c r="AF162" s="290">
        <v>10785</v>
      </c>
      <c r="AG162" s="290">
        <v>10929</v>
      </c>
      <c r="AH162" s="290">
        <v>10995</v>
      </c>
      <c r="AI162" s="429">
        <v>11159</v>
      </c>
      <c r="AJ162" s="78">
        <v>11159</v>
      </c>
      <c r="AK162" s="290">
        <v>11196</v>
      </c>
      <c r="AL162" s="290">
        <v>11365</v>
      </c>
      <c r="AM162" s="290">
        <v>11365</v>
      </c>
      <c r="AN162" s="429">
        <v>11159</v>
      </c>
      <c r="AO162" s="78">
        <v>11159</v>
      </c>
      <c r="AP162" s="290"/>
      <c r="AQ162" s="290"/>
      <c r="AR162" s="290"/>
      <c r="AS162" s="77"/>
      <c r="AT162" s="78"/>
      <c r="AU162" s="290"/>
      <c r="AV162" s="290"/>
      <c r="AW162" s="290"/>
      <c r="AX162" s="77"/>
      <c r="AY162" s="78"/>
      <c r="AZ162" s="290"/>
      <c r="BA162" s="290"/>
      <c r="BB162" s="290"/>
      <c r="BC162" s="77"/>
      <c r="BD162" s="78"/>
      <c r="BE162" s="290"/>
      <c r="BF162" s="290"/>
      <c r="BG162" s="290"/>
      <c r="BH162" s="77"/>
      <c r="BI162" s="78"/>
    </row>
    <row r="163" spans="1:74">
      <c r="A163" s="1">
        <v>747</v>
      </c>
      <c r="B163" s="290">
        <v>1540</v>
      </c>
      <c r="C163" s="291">
        <v>1541</v>
      </c>
      <c r="D163" s="291">
        <v>1537</v>
      </c>
      <c r="E163" s="67">
        <f t="shared" si="417"/>
        <v>1539</v>
      </c>
      <c r="F163" s="43">
        <v>1539</v>
      </c>
      <c r="G163" s="290">
        <v>1543</v>
      </c>
      <c r="H163" s="291">
        <v>1543</v>
      </c>
      <c r="I163" s="291">
        <v>1542</v>
      </c>
      <c r="J163" s="67">
        <f t="shared" si="418"/>
        <v>1556</v>
      </c>
      <c r="K163" s="43">
        <v>1556</v>
      </c>
      <c r="L163" s="290">
        <v>1552</v>
      </c>
      <c r="M163" s="291">
        <v>1552</v>
      </c>
      <c r="N163" s="291">
        <v>1553</v>
      </c>
      <c r="O163" s="67">
        <f t="shared" si="419"/>
        <v>1554</v>
      </c>
      <c r="P163" s="43">
        <v>1554</v>
      </c>
      <c r="Q163" s="290">
        <v>1568</v>
      </c>
      <c r="R163" s="291">
        <v>1568</v>
      </c>
      <c r="S163" s="291">
        <v>1568</v>
      </c>
      <c r="T163" s="67">
        <f t="shared" si="420"/>
        <v>1572</v>
      </c>
      <c r="U163" s="43">
        <v>1572</v>
      </c>
      <c r="V163" s="290">
        <v>1572</v>
      </c>
      <c r="W163" s="291">
        <v>1572</v>
      </c>
      <c r="X163" s="291">
        <v>1572</v>
      </c>
      <c r="Y163" s="67">
        <f t="shared" si="421"/>
        <v>1572</v>
      </c>
      <c r="Z163" s="43">
        <v>1572</v>
      </c>
      <c r="AA163" s="290">
        <v>1568</v>
      </c>
      <c r="AB163" s="290">
        <v>1568</v>
      </c>
      <c r="AC163" s="290">
        <v>1568</v>
      </c>
      <c r="AD163" s="429">
        <v>1568</v>
      </c>
      <c r="AE163" s="78">
        <v>1568</v>
      </c>
      <c r="AF163" s="290">
        <v>1573</v>
      </c>
      <c r="AG163" s="290">
        <v>1573</v>
      </c>
      <c r="AH163" s="290">
        <v>1573</v>
      </c>
      <c r="AI163" s="429">
        <v>1573</v>
      </c>
      <c r="AJ163" s="78">
        <v>1573</v>
      </c>
      <c r="AK163" s="290">
        <v>1573</v>
      </c>
      <c r="AL163" s="290">
        <v>1573</v>
      </c>
      <c r="AM163" s="290">
        <v>1573</v>
      </c>
      <c r="AN163" s="429">
        <v>1573</v>
      </c>
      <c r="AO163" s="78">
        <v>1573</v>
      </c>
      <c r="AP163" s="290"/>
      <c r="AQ163" s="290"/>
      <c r="AR163" s="290"/>
      <c r="AS163" s="77"/>
      <c r="AT163" s="78"/>
      <c r="AU163" s="290"/>
      <c r="AV163" s="290"/>
      <c r="AW163" s="290"/>
      <c r="AX163" s="77"/>
      <c r="AY163" s="78"/>
      <c r="AZ163" s="290"/>
      <c r="BA163" s="290"/>
      <c r="BB163" s="290"/>
      <c r="BC163" s="77"/>
      <c r="BD163" s="78"/>
      <c r="BE163" s="290"/>
      <c r="BF163" s="290"/>
      <c r="BG163" s="290"/>
      <c r="BH163" s="77"/>
      <c r="BI163" s="78"/>
    </row>
    <row r="164" spans="1:74">
      <c r="A164" s="1">
        <v>767</v>
      </c>
      <c r="B164" s="290">
        <v>1114</v>
      </c>
      <c r="C164" s="291">
        <v>1115</v>
      </c>
      <c r="D164" s="291">
        <v>1162</v>
      </c>
      <c r="E164" s="67">
        <f t="shared" si="417"/>
        <v>1163</v>
      </c>
      <c r="F164" s="43">
        <v>1163</v>
      </c>
      <c r="G164" s="290">
        <v>1164</v>
      </c>
      <c r="H164" s="291">
        <v>1170</v>
      </c>
      <c r="I164" s="291">
        <v>1189</v>
      </c>
      <c r="J164" s="67">
        <f t="shared" si="418"/>
        <v>1189</v>
      </c>
      <c r="K164" s="43">
        <v>1189</v>
      </c>
      <c r="L164" s="290">
        <v>1204</v>
      </c>
      <c r="M164" s="291">
        <v>1204</v>
      </c>
      <c r="N164" s="291">
        <v>1204</v>
      </c>
      <c r="O164" s="67">
        <f t="shared" si="419"/>
        <v>1204</v>
      </c>
      <c r="P164" s="43">
        <v>1204</v>
      </c>
      <c r="Q164" s="290">
        <v>1211</v>
      </c>
      <c r="R164" s="291">
        <v>1224</v>
      </c>
      <c r="S164" s="291">
        <v>1242</v>
      </c>
      <c r="T164" s="67">
        <f t="shared" si="420"/>
        <v>1244</v>
      </c>
      <c r="U164" s="43">
        <v>1244</v>
      </c>
      <c r="V164" s="290">
        <v>1248</v>
      </c>
      <c r="W164" s="291">
        <v>1254</v>
      </c>
      <c r="X164" s="291">
        <v>1270</v>
      </c>
      <c r="Y164" s="67">
        <f t="shared" si="421"/>
        <v>1270</v>
      </c>
      <c r="Z164" s="43">
        <v>1270</v>
      </c>
      <c r="AA164" s="290">
        <v>1272</v>
      </c>
      <c r="AB164" s="290">
        <v>1279</v>
      </c>
      <c r="AC164" s="290">
        <v>1279</v>
      </c>
      <c r="AD164" s="429">
        <v>1281</v>
      </c>
      <c r="AE164" s="78">
        <v>1281</v>
      </c>
      <c r="AF164" s="290">
        <v>1308</v>
      </c>
      <c r="AG164" s="290">
        <v>1326</v>
      </c>
      <c r="AH164" s="290">
        <v>1327</v>
      </c>
      <c r="AI164" s="429">
        <v>1346</v>
      </c>
      <c r="AJ164" s="78">
        <v>1346</v>
      </c>
      <c r="AK164" s="290">
        <v>1346</v>
      </c>
      <c r="AL164" s="290">
        <v>1346</v>
      </c>
      <c r="AM164" s="290">
        <v>1346</v>
      </c>
      <c r="AN164" s="429">
        <v>1346</v>
      </c>
      <c r="AO164" s="78">
        <v>1346</v>
      </c>
      <c r="AP164" s="290"/>
      <c r="AQ164" s="290"/>
      <c r="AR164" s="290"/>
      <c r="AS164" s="77"/>
      <c r="AT164" s="78"/>
      <c r="AU164" s="290"/>
      <c r="AV164" s="290"/>
      <c r="AW164" s="290"/>
      <c r="AX164" s="77"/>
      <c r="AY164" s="78"/>
      <c r="AZ164" s="290"/>
      <c r="BA164" s="290"/>
      <c r="BB164" s="290"/>
      <c r="BC164" s="77"/>
      <c r="BD164" s="78"/>
      <c r="BE164" s="290"/>
      <c r="BF164" s="290"/>
      <c r="BG164" s="290"/>
      <c r="BH164" s="77"/>
      <c r="BI164" s="78"/>
    </row>
    <row r="165" spans="1:74">
      <c r="A165" s="1">
        <v>777</v>
      </c>
      <c r="B165" s="290">
        <v>1548</v>
      </c>
      <c r="C165" s="291">
        <v>1570</v>
      </c>
      <c r="D165" s="291">
        <v>1575</v>
      </c>
      <c r="E165" s="67">
        <f t="shared" si="417"/>
        <v>1579</v>
      </c>
      <c r="F165" s="43">
        <v>1579</v>
      </c>
      <c r="G165" s="290">
        <v>1589</v>
      </c>
      <c r="H165" s="291">
        <v>1587</v>
      </c>
      <c r="I165" s="291">
        <v>1585</v>
      </c>
      <c r="J165" s="67">
        <f t="shared" si="418"/>
        <v>1596</v>
      </c>
      <c r="K165" s="43">
        <v>1596</v>
      </c>
      <c r="L165" s="290">
        <v>1605</v>
      </c>
      <c r="M165" s="291">
        <v>1609</v>
      </c>
      <c r="N165" s="291">
        <v>1619</v>
      </c>
      <c r="O165" s="67">
        <f t="shared" si="419"/>
        <v>1631</v>
      </c>
      <c r="P165" s="43">
        <v>1631</v>
      </c>
      <c r="Q165" s="290">
        <v>1636</v>
      </c>
      <c r="R165" s="291">
        <v>1655</v>
      </c>
      <c r="S165" s="291">
        <v>1658</v>
      </c>
      <c r="T165" s="67">
        <f t="shared" si="420"/>
        <v>1682</v>
      </c>
      <c r="U165" s="43">
        <v>1682</v>
      </c>
      <c r="V165" s="290">
        <v>1684</v>
      </c>
      <c r="W165" s="291">
        <v>1686</v>
      </c>
      <c r="X165" s="291">
        <v>1700</v>
      </c>
      <c r="Y165" s="67">
        <f t="shared" si="421"/>
        <v>1695</v>
      </c>
      <c r="Z165" s="43">
        <v>1695</v>
      </c>
      <c r="AA165" s="290">
        <v>1680</v>
      </c>
      <c r="AB165" s="290">
        <v>1683</v>
      </c>
      <c r="AC165" s="290">
        <v>1686</v>
      </c>
      <c r="AD165" s="429">
        <v>1694</v>
      </c>
      <c r="AE165" s="78">
        <v>1694</v>
      </c>
      <c r="AF165" s="290">
        <v>1694</v>
      </c>
      <c r="AG165" s="290">
        <v>1707</v>
      </c>
      <c r="AH165" s="290">
        <v>1730</v>
      </c>
      <c r="AI165" s="429">
        <v>1735</v>
      </c>
      <c r="AJ165" s="78">
        <v>1735</v>
      </c>
      <c r="AK165" s="290">
        <v>1754</v>
      </c>
      <c r="AL165" s="290">
        <v>1760</v>
      </c>
      <c r="AM165" s="290">
        <v>1760</v>
      </c>
      <c r="AN165" s="429">
        <v>1735</v>
      </c>
      <c r="AO165" s="78">
        <v>1735</v>
      </c>
      <c r="AP165" s="290"/>
      <c r="AQ165" s="290"/>
      <c r="AR165" s="290"/>
      <c r="AS165" s="77"/>
      <c r="AT165" s="78"/>
      <c r="AU165" s="290"/>
      <c r="AV165" s="290"/>
      <c r="AW165" s="290"/>
      <c r="AX165" s="77"/>
      <c r="AY165" s="78"/>
      <c r="AZ165" s="290"/>
      <c r="BA165" s="290"/>
      <c r="BB165" s="290"/>
      <c r="BC165" s="77"/>
      <c r="BD165" s="78"/>
      <c r="BE165" s="290"/>
      <c r="BF165" s="290"/>
      <c r="BG165" s="290"/>
      <c r="BH165" s="77"/>
      <c r="BI165" s="78"/>
    </row>
    <row r="166" spans="1:74">
      <c r="A166" s="1" t="s">
        <v>425</v>
      </c>
      <c r="B166" s="290">
        <v>286</v>
      </c>
      <c r="C166" s="291">
        <v>306</v>
      </c>
      <c r="D166" s="291">
        <v>306</v>
      </c>
      <c r="E166" s="67">
        <f t="shared" si="417"/>
        <v>306</v>
      </c>
      <c r="F166" s="43">
        <v>306</v>
      </c>
      <c r="G166" s="290">
        <v>303</v>
      </c>
      <c r="H166" s="291">
        <v>306</v>
      </c>
      <c r="I166" s="291">
        <v>306</v>
      </c>
      <c r="J166" s="67">
        <f t="shared" si="418"/>
        <v>306</v>
      </c>
      <c r="K166" s="43">
        <v>306</v>
      </c>
      <c r="L166" s="290">
        <v>306</v>
      </c>
      <c r="M166" s="291">
        <v>326</v>
      </c>
      <c r="N166" s="291">
        <v>326</v>
      </c>
      <c r="O166" s="67">
        <f t="shared" si="419"/>
        <v>326</v>
      </c>
      <c r="P166" s="43">
        <v>326</v>
      </c>
      <c r="Q166" s="290">
        <v>326</v>
      </c>
      <c r="R166" s="291">
        <v>326</v>
      </c>
      <c r="S166" s="291">
        <v>326</v>
      </c>
      <c r="T166" s="67">
        <f t="shared" si="420"/>
        <v>326</v>
      </c>
      <c r="U166" s="43">
        <v>326</v>
      </c>
      <c r="V166" s="290">
        <v>344</v>
      </c>
      <c r="W166" s="291">
        <v>344</v>
      </c>
      <c r="X166" s="291">
        <v>344</v>
      </c>
      <c r="Y166" s="67">
        <f t="shared" si="421"/>
        <v>309</v>
      </c>
      <c r="Z166" s="43">
        <v>309</v>
      </c>
      <c r="AA166" s="290">
        <v>309</v>
      </c>
      <c r="AB166" s="290">
        <v>309</v>
      </c>
      <c r="AC166" s="290">
        <v>309</v>
      </c>
      <c r="AD166" s="429">
        <v>191</v>
      </c>
      <c r="AE166" s="78">
        <v>191</v>
      </c>
      <c r="AF166" s="290">
        <v>228</v>
      </c>
      <c r="AG166" s="290">
        <v>246</v>
      </c>
      <c r="AH166" s="290">
        <v>253</v>
      </c>
      <c r="AI166" s="429">
        <v>253</v>
      </c>
      <c r="AJ166" s="78">
        <v>253</v>
      </c>
      <c r="AK166" s="290">
        <v>224</v>
      </c>
      <c r="AL166" s="290">
        <v>231</v>
      </c>
      <c r="AM166" s="290">
        <v>231</v>
      </c>
      <c r="AN166" s="429">
        <v>253</v>
      </c>
      <c r="AO166" s="78">
        <v>253</v>
      </c>
      <c r="AP166" s="290"/>
      <c r="AQ166" s="290"/>
      <c r="AR166" s="290"/>
      <c r="AS166" s="77"/>
      <c r="AT166" s="78"/>
      <c r="AU166" s="290"/>
      <c r="AV166" s="290"/>
      <c r="AW166" s="290"/>
      <c r="AX166" s="77"/>
      <c r="AY166" s="78"/>
      <c r="AZ166" s="290"/>
      <c r="BA166" s="290"/>
      <c r="BB166" s="290"/>
      <c r="BC166" s="77"/>
      <c r="BD166" s="78"/>
      <c r="BE166" s="290"/>
      <c r="BF166" s="290"/>
      <c r="BG166" s="290"/>
      <c r="BH166" s="77"/>
      <c r="BI166" s="78"/>
    </row>
    <row r="167" spans="1:74">
      <c r="A167" s="1">
        <v>787</v>
      </c>
      <c r="B167" s="290">
        <v>1105</v>
      </c>
      <c r="C167" s="291">
        <v>1095</v>
      </c>
      <c r="D167" s="291">
        <v>1097</v>
      </c>
      <c r="E167" s="67">
        <f t="shared" si="417"/>
        <v>1142</v>
      </c>
      <c r="F167" s="43">
        <v>1142</v>
      </c>
      <c r="G167" s="290">
        <v>1139</v>
      </c>
      <c r="H167" s="291">
        <v>1155</v>
      </c>
      <c r="I167" s="291">
        <v>1161</v>
      </c>
      <c r="J167" s="67">
        <f t="shared" si="418"/>
        <v>1200</v>
      </c>
      <c r="K167" s="43">
        <v>1200</v>
      </c>
      <c r="L167" s="290">
        <v>1211</v>
      </c>
      <c r="M167" s="291">
        <v>1275</v>
      </c>
      <c r="N167" s="291">
        <v>1283</v>
      </c>
      <c r="O167" s="67">
        <f t="shared" si="419"/>
        <v>1276</v>
      </c>
      <c r="P167" s="43">
        <v>1276</v>
      </c>
      <c r="Q167" s="290">
        <v>1308</v>
      </c>
      <c r="R167" s="291">
        <v>1363</v>
      </c>
      <c r="S167" s="291">
        <v>1380</v>
      </c>
      <c r="T167" s="67">
        <f t="shared" si="420"/>
        <v>1385</v>
      </c>
      <c r="U167" s="43">
        <v>1385</v>
      </c>
      <c r="V167" s="290">
        <v>1413</v>
      </c>
      <c r="W167" s="291">
        <v>1414</v>
      </c>
      <c r="X167" s="291">
        <v>1423</v>
      </c>
      <c r="Y167" s="67">
        <f t="shared" si="421"/>
        <v>1459</v>
      </c>
      <c r="Z167" s="43">
        <v>1459</v>
      </c>
      <c r="AA167" s="290">
        <v>1483</v>
      </c>
      <c r="AB167" s="290">
        <v>1476</v>
      </c>
      <c r="AC167" s="290">
        <v>1463</v>
      </c>
      <c r="AD167" s="429">
        <v>1450</v>
      </c>
      <c r="AE167" s="78">
        <v>1450</v>
      </c>
      <c r="AF167" s="290">
        <v>1436</v>
      </c>
      <c r="AG167" s="290">
        <v>1423</v>
      </c>
      <c r="AH167" s="290">
        <v>1419</v>
      </c>
      <c r="AI167" s="429">
        <v>1417</v>
      </c>
      <c r="AJ167" s="78">
        <v>1417</v>
      </c>
      <c r="AK167" s="290">
        <v>1411</v>
      </c>
      <c r="AL167" s="290">
        <v>1413</v>
      </c>
      <c r="AM167" s="290">
        <v>1413</v>
      </c>
      <c r="AN167" s="429">
        <v>1417</v>
      </c>
      <c r="AO167" s="78">
        <v>1417</v>
      </c>
      <c r="AP167" s="290"/>
      <c r="AQ167" s="290"/>
      <c r="AR167" s="290"/>
      <c r="AS167" s="77"/>
      <c r="AT167" s="78"/>
      <c r="AU167" s="290"/>
      <c r="AV167" s="290"/>
      <c r="AW167" s="290"/>
      <c r="AX167" s="77"/>
      <c r="AY167" s="78"/>
      <c r="AZ167" s="290"/>
      <c r="BA167" s="290"/>
      <c r="BB167" s="290"/>
      <c r="BC167" s="77"/>
      <c r="BD167" s="78"/>
      <c r="BE167" s="290"/>
      <c r="BF167" s="290"/>
      <c r="BG167" s="290"/>
      <c r="BH167" s="77"/>
      <c r="BI167" s="78"/>
    </row>
    <row r="168" spans="1:74">
      <c r="A168" s="1">
        <v>717</v>
      </c>
      <c r="B168" s="290">
        <v>0</v>
      </c>
      <c r="C168" s="291">
        <v>0</v>
      </c>
      <c r="D168" s="291">
        <v>0</v>
      </c>
      <c r="E168" s="67">
        <f t="shared" si="417"/>
        <v>0</v>
      </c>
      <c r="F168" s="43">
        <v>0</v>
      </c>
      <c r="G168" s="290">
        <v>0</v>
      </c>
      <c r="H168" s="291">
        <v>0</v>
      </c>
      <c r="I168" s="291">
        <v>0</v>
      </c>
      <c r="J168" s="67">
        <f t="shared" si="418"/>
        <v>0</v>
      </c>
      <c r="K168" s="43">
        <v>0</v>
      </c>
      <c r="L168" s="290">
        <v>0</v>
      </c>
      <c r="M168" s="291">
        <v>0</v>
      </c>
      <c r="N168" s="291">
        <v>0</v>
      </c>
      <c r="O168" s="67">
        <f t="shared" si="419"/>
        <v>0</v>
      </c>
      <c r="P168" s="43">
        <v>0</v>
      </c>
      <c r="Q168" s="290">
        <v>0</v>
      </c>
      <c r="R168" s="291">
        <v>0</v>
      </c>
      <c r="S168" s="291">
        <v>0</v>
      </c>
      <c r="T168" s="67">
        <f t="shared" si="420"/>
        <v>0</v>
      </c>
      <c r="U168" s="43">
        <v>0</v>
      </c>
      <c r="V168" s="290">
        <v>0</v>
      </c>
      <c r="W168" s="291">
        <v>0</v>
      </c>
      <c r="X168" s="291">
        <v>0</v>
      </c>
      <c r="Y168" s="67">
        <f t="shared" si="421"/>
        <v>0</v>
      </c>
      <c r="Z168" s="43">
        <v>0</v>
      </c>
      <c r="AA168" s="290">
        <v>0</v>
      </c>
      <c r="AB168" s="290">
        <v>0</v>
      </c>
      <c r="AC168" s="290">
        <v>0</v>
      </c>
      <c r="AD168" s="429">
        <v>0</v>
      </c>
      <c r="AE168" s="78">
        <v>0</v>
      </c>
      <c r="AF168" s="290">
        <v>0</v>
      </c>
      <c r="AG168" s="290">
        <v>0</v>
      </c>
      <c r="AH168" s="290">
        <v>0</v>
      </c>
      <c r="AI168" s="429">
        <v>0</v>
      </c>
      <c r="AJ168" s="78">
        <v>0</v>
      </c>
      <c r="AK168" s="290">
        <v>0</v>
      </c>
      <c r="AL168" s="290">
        <v>0</v>
      </c>
      <c r="AM168" s="290">
        <v>0</v>
      </c>
      <c r="AN168" s="429">
        <v>0</v>
      </c>
      <c r="AO168" s="78">
        <v>0</v>
      </c>
      <c r="AP168" s="290"/>
      <c r="AQ168" s="290"/>
      <c r="AR168" s="290"/>
      <c r="AS168" s="77"/>
      <c r="AT168" s="78"/>
      <c r="AU168" s="290"/>
      <c r="AV168" s="290"/>
      <c r="AW168" s="290"/>
      <c r="AX168" s="77"/>
      <c r="AY168" s="78"/>
      <c r="AZ168" s="290"/>
      <c r="BA168" s="290"/>
      <c r="BB168" s="290"/>
      <c r="BC168" s="77"/>
      <c r="BD168" s="78"/>
      <c r="BE168" s="290"/>
      <c r="BF168" s="290"/>
      <c r="BG168" s="290"/>
      <c r="BH168" s="77"/>
      <c r="BI168" s="78"/>
    </row>
    <row r="169" spans="1:74">
      <c r="A169" s="1">
        <v>757</v>
      </c>
      <c r="B169" s="290">
        <v>0</v>
      </c>
      <c r="C169" s="291">
        <v>0</v>
      </c>
      <c r="D169" s="291">
        <v>0</v>
      </c>
      <c r="E169" s="67">
        <f t="shared" si="417"/>
        <v>0</v>
      </c>
      <c r="F169" s="43">
        <v>0</v>
      </c>
      <c r="G169" s="290">
        <v>0</v>
      </c>
      <c r="H169" s="291">
        <v>0</v>
      </c>
      <c r="I169" s="291">
        <v>0</v>
      </c>
      <c r="J169" s="67">
        <f t="shared" si="418"/>
        <v>0</v>
      </c>
      <c r="K169" s="43">
        <v>0</v>
      </c>
      <c r="L169" s="290">
        <v>0</v>
      </c>
      <c r="M169" s="291">
        <v>0</v>
      </c>
      <c r="N169" s="291">
        <v>0</v>
      </c>
      <c r="O169" s="67">
        <f t="shared" si="419"/>
        <v>0</v>
      </c>
      <c r="P169" s="43">
        <v>0</v>
      </c>
      <c r="Q169" s="290">
        <v>0</v>
      </c>
      <c r="R169" s="291">
        <v>0</v>
      </c>
      <c r="S169" s="291">
        <v>0</v>
      </c>
      <c r="T169" s="67">
        <f t="shared" si="420"/>
        <v>0</v>
      </c>
      <c r="U169" s="43">
        <v>0</v>
      </c>
      <c r="V169" s="290">
        <v>0</v>
      </c>
      <c r="W169" s="291">
        <v>0</v>
      </c>
      <c r="X169" s="291">
        <v>0</v>
      </c>
      <c r="Y169" s="67">
        <f t="shared" si="421"/>
        <v>0</v>
      </c>
      <c r="Z169" s="43">
        <v>0</v>
      </c>
      <c r="AA169" s="290">
        <v>0</v>
      </c>
      <c r="AB169" s="290">
        <v>0</v>
      </c>
      <c r="AC169" s="290">
        <v>0</v>
      </c>
      <c r="AD169" s="429">
        <v>0</v>
      </c>
      <c r="AE169" s="78">
        <v>0</v>
      </c>
      <c r="AF169" s="290">
        <v>0</v>
      </c>
      <c r="AG169" s="290">
        <v>0</v>
      </c>
      <c r="AH169" s="290">
        <v>0</v>
      </c>
      <c r="AI169" s="429">
        <v>0</v>
      </c>
      <c r="AJ169" s="78">
        <v>0</v>
      </c>
      <c r="AK169" s="290">
        <v>0</v>
      </c>
      <c r="AL169" s="290">
        <v>0</v>
      </c>
      <c r="AM169" s="290">
        <v>0</v>
      </c>
      <c r="AN169" s="429">
        <v>0</v>
      </c>
      <c r="AO169" s="78">
        <v>0</v>
      </c>
      <c r="AP169" s="290"/>
      <c r="AQ169" s="290"/>
      <c r="AR169" s="290"/>
      <c r="AS169" s="77"/>
      <c r="AT169" s="78"/>
      <c r="AU169" s="290"/>
      <c r="AV169" s="290"/>
      <c r="AW169" s="290"/>
      <c r="AX169" s="77"/>
      <c r="AY169" s="78"/>
      <c r="AZ169" s="290"/>
      <c r="BA169" s="290"/>
      <c r="BB169" s="290"/>
      <c r="BC169" s="77"/>
      <c r="BD169" s="78"/>
      <c r="BE169" s="290"/>
      <c r="BF169" s="290"/>
      <c r="BG169" s="290"/>
      <c r="BH169" s="77"/>
      <c r="BI169" s="78"/>
    </row>
    <row r="170" spans="1:74">
      <c r="A170" s="1"/>
      <c r="B170" s="62"/>
      <c r="C170" s="63"/>
      <c r="D170" s="63"/>
      <c r="E170" s="67"/>
      <c r="F170" s="43"/>
      <c r="G170" s="62"/>
      <c r="H170" s="63"/>
      <c r="I170" s="63"/>
      <c r="J170" s="67"/>
      <c r="K170" s="43"/>
      <c r="L170" s="62"/>
      <c r="M170" s="63"/>
      <c r="N170" s="63"/>
      <c r="O170" s="67"/>
      <c r="P170" s="43"/>
      <c r="Q170" s="62"/>
      <c r="R170" s="63"/>
      <c r="S170" s="63"/>
      <c r="T170" s="67"/>
      <c r="U170" s="43"/>
      <c r="V170" s="62"/>
      <c r="W170" s="63"/>
      <c r="X170" s="63"/>
      <c r="Y170" s="67"/>
      <c r="Z170" s="43"/>
      <c r="AA170" s="62"/>
      <c r="AB170" s="168"/>
      <c r="AC170" s="168"/>
      <c r="AD170" s="77"/>
      <c r="AE170" s="78"/>
      <c r="AF170" s="62"/>
      <c r="AG170" s="168"/>
      <c r="AH170" s="168"/>
      <c r="AI170" s="77"/>
      <c r="AJ170" s="78"/>
      <c r="AK170" s="62"/>
      <c r="AL170" s="168"/>
      <c r="AM170" s="168"/>
      <c r="AN170" s="77"/>
      <c r="AO170" s="78"/>
      <c r="AP170" s="62"/>
      <c r="AQ170" s="168"/>
      <c r="AR170" s="168"/>
      <c r="AS170" s="77"/>
      <c r="AT170" s="78"/>
      <c r="AU170" s="62"/>
      <c r="AV170" s="168"/>
      <c r="AW170" s="168"/>
      <c r="AX170" s="77"/>
      <c r="AY170" s="78"/>
      <c r="AZ170" s="62"/>
      <c r="BA170" s="168"/>
      <c r="BB170" s="168"/>
      <c r="BC170" s="77"/>
      <c r="BD170" s="78"/>
      <c r="BE170" s="62"/>
      <c r="BF170" s="168"/>
      <c r="BG170" s="168"/>
      <c r="BH170" s="77"/>
      <c r="BI170" s="78"/>
    </row>
    <row r="171" spans="1:74">
      <c r="A171" s="113" t="s">
        <v>216</v>
      </c>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c r="BF171" s="68"/>
      <c r="BG171" s="68"/>
      <c r="BH171" s="68"/>
      <c r="BI171" s="68"/>
    </row>
    <row r="172" spans="1:74" outlineLevel="1">
      <c r="A172" t="s">
        <v>215</v>
      </c>
      <c r="B172" s="292" t="s">
        <v>310</v>
      </c>
      <c r="C172" s="292" t="s">
        <v>310</v>
      </c>
      <c r="D172" s="292" t="s">
        <v>310</v>
      </c>
      <c r="E172" s="292" t="s">
        <v>310</v>
      </c>
      <c r="F172" s="292" t="s">
        <v>310</v>
      </c>
      <c r="G172" s="292" t="s">
        <v>310</v>
      </c>
      <c r="H172" s="292" t="s">
        <v>310</v>
      </c>
      <c r="I172" s="292" t="s">
        <v>310</v>
      </c>
      <c r="J172" s="292" t="s">
        <v>310</v>
      </c>
      <c r="K172" s="292" t="s">
        <v>310</v>
      </c>
      <c r="L172" s="292" t="s">
        <v>310</v>
      </c>
      <c r="M172" s="292" t="s">
        <v>310</v>
      </c>
      <c r="N172" s="292" t="s">
        <v>310</v>
      </c>
      <c r="O172" s="292" t="s">
        <v>310</v>
      </c>
      <c r="P172" s="292" t="s">
        <v>310</v>
      </c>
      <c r="Q172" s="292" t="s">
        <v>310</v>
      </c>
      <c r="R172" s="292" t="s">
        <v>310</v>
      </c>
      <c r="S172" s="292" t="s">
        <v>310</v>
      </c>
      <c r="T172" s="292" t="s">
        <v>310</v>
      </c>
      <c r="U172" s="292" t="s">
        <v>310</v>
      </c>
      <c r="V172" s="292" t="s">
        <v>310</v>
      </c>
      <c r="W172" s="292" t="s">
        <v>310</v>
      </c>
      <c r="X172" s="292" t="s">
        <v>310</v>
      </c>
      <c r="Y172" s="292" t="s">
        <v>310</v>
      </c>
      <c r="Z172" s="292" t="s">
        <v>310</v>
      </c>
      <c r="AA172" s="292" t="s">
        <v>310</v>
      </c>
      <c r="AB172" s="292" t="s">
        <v>310</v>
      </c>
      <c r="AC172" s="292" t="s">
        <v>310</v>
      </c>
      <c r="AD172" s="292" t="s">
        <v>310</v>
      </c>
      <c r="AE172" s="293" t="s">
        <v>310</v>
      </c>
      <c r="AF172" s="292" t="s">
        <v>310</v>
      </c>
      <c r="AG172" s="292" t="s">
        <v>310</v>
      </c>
      <c r="AH172" s="292" t="s">
        <v>310</v>
      </c>
      <c r="AI172" s="292" t="s">
        <v>310</v>
      </c>
      <c r="AJ172" s="293" t="s">
        <v>310</v>
      </c>
      <c r="AK172" s="292" t="s">
        <v>310</v>
      </c>
      <c r="AL172" s="292" t="s">
        <v>310</v>
      </c>
      <c r="AM172" s="292" t="s">
        <v>310</v>
      </c>
      <c r="AN172" s="292" t="s">
        <v>310</v>
      </c>
      <c r="AO172" s="293" t="s">
        <v>310</v>
      </c>
      <c r="AP172" s="292" t="s">
        <v>310</v>
      </c>
      <c r="AQ172" s="292" t="s">
        <v>310</v>
      </c>
      <c r="AR172" s="292" t="s">
        <v>310</v>
      </c>
      <c r="AS172" s="292" t="s">
        <v>310</v>
      </c>
      <c r="AT172" s="293" t="s">
        <v>310</v>
      </c>
      <c r="AU172" s="292" t="s">
        <v>310</v>
      </c>
      <c r="AV172" s="292" t="s">
        <v>310</v>
      </c>
      <c r="AW172" s="292" t="s">
        <v>310</v>
      </c>
      <c r="AX172" s="292" t="s">
        <v>310</v>
      </c>
      <c r="AY172" s="293" t="s">
        <v>310</v>
      </c>
      <c r="AZ172" s="292" t="s">
        <v>310</v>
      </c>
      <c r="BA172" s="292" t="s">
        <v>310</v>
      </c>
      <c r="BB172" s="292" t="s">
        <v>310</v>
      </c>
      <c r="BC172" s="292" t="s">
        <v>310</v>
      </c>
      <c r="BD172" s="293" t="s">
        <v>310</v>
      </c>
      <c r="BE172" s="292" t="s">
        <v>310</v>
      </c>
      <c r="BF172" s="292" t="s">
        <v>310</v>
      </c>
      <c r="BG172" s="292" t="s">
        <v>310</v>
      </c>
      <c r="BH172" s="292" t="s">
        <v>310</v>
      </c>
      <c r="BI172" s="293" t="s">
        <v>310</v>
      </c>
      <c r="BJ172" s="26"/>
    </row>
    <row r="173" spans="1:74" outlineLevel="1">
      <c r="A173" t="s">
        <v>231</v>
      </c>
      <c r="B173" s="34">
        <f>F173</f>
        <v>0.35</v>
      </c>
      <c r="C173" s="34">
        <f>F173</f>
        <v>0.35</v>
      </c>
      <c r="D173" s="34">
        <f>F173</f>
        <v>0.35</v>
      </c>
      <c r="E173" s="34">
        <f>F173</f>
        <v>0.35</v>
      </c>
      <c r="F173" s="193">
        <v>0.35</v>
      </c>
      <c r="G173" s="34">
        <f>K173</f>
        <v>0.35</v>
      </c>
      <c r="H173" s="34">
        <f>K173</f>
        <v>0.35</v>
      </c>
      <c r="I173" s="34">
        <f>K173</f>
        <v>0.35</v>
      </c>
      <c r="J173" s="34">
        <f>K173</f>
        <v>0.35</v>
      </c>
      <c r="K173" s="193">
        <v>0.35</v>
      </c>
      <c r="L173" s="34">
        <f>P173</f>
        <v>0.35200000000000004</v>
      </c>
      <c r="M173" s="34">
        <f>P173</f>
        <v>0.35200000000000004</v>
      </c>
      <c r="N173" s="34">
        <f>P173</f>
        <v>0.35200000000000004</v>
      </c>
      <c r="O173" s="34">
        <f>P173</f>
        <v>0.35200000000000004</v>
      </c>
      <c r="P173" s="193">
        <f>(35+0.2)%</f>
        <v>0.35200000000000004</v>
      </c>
      <c r="Q173" s="34">
        <f>U173</f>
        <v>0.217</v>
      </c>
      <c r="R173" s="34">
        <f>U173</f>
        <v>0.217</v>
      </c>
      <c r="S173" s="34">
        <f>U173</f>
        <v>0.217</v>
      </c>
      <c r="T173" s="34">
        <f>U173</f>
        <v>0.217</v>
      </c>
      <c r="U173" s="193">
        <f>(21+0.7)%</f>
        <v>0.217</v>
      </c>
      <c r="V173" s="34">
        <f>Z173</f>
        <v>0.22899999999999998</v>
      </c>
      <c r="W173" s="34">
        <f>Z173</f>
        <v>0.22899999999999998</v>
      </c>
      <c r="X173" s="34">
        <f>Z173</f>
        <v>0.22899999999999998</v>
      </c>
      <c r="Y173" s="34">
        <f>Z173</f>
        <v>0.22899999999999998</v>
      </c>
      <c r="Z173" s="193">
        <f>(21+1.9)%</f>
        <v>0.22899999999999998</v>
      </c>
      <c r="AA173" s="110">
        <f>AE173</f>
        <v>0.22899999999999998</v>
      </c>
      <c r="AB173" s="110">
        <f>AE173</f>
        <v>0.22899999999999998</v>
      </c>
      <c r="AC173" s="110">
        <f>AE173</f>
        <v>0.22899999999999998</v>
      </c>
      <c r="AD173" s="110">
        <f>AE173</f>
        <v>0.22899999999999998</v>
      </c>
      <c r="AE173" s="193">
        <f>Z173</f>
        <v>0.22899999999999998</v>
      </c>
      <c r="AF173" s="110">
        <f>AJ173</f>
        <v>0.22899999999999998</v>
      </c>
      <c r="AG173" s="110">
        <f>AJ173</f>
        <v>0.22899999999999998</v>
      </c>
      <c r="AH173" s="110">
        <f>AJ173</f>
        <v>0.22899999999999998</v>
      </c>
      <c r="AI173" s="110">
        <f>AJ173</f>
        <v>0.22899999999999998</v>
      </c>
      <c r="AJ173" s="193">
        <f>AE173</f>
        <v>0.22899999999999998</v>
      </c>
      <c r="AK173" s="110">
        <f>AL173</f>
        <v>0.22899999999999998</v>
      </c>
      <c r="AL173" s="110">
        <f>AM173</f>
        <v>0.22899999999999998</v>
      </c>
      <c r="AM173" s="110">
        <f>AN173</f>
        <v>0.22899999999999998</v>
      </c>
      <c r="AN173" s="110">
        <f>AO173</f>
        <v>0.22899999999999998</v>
      </c>
      <c r="AO173" s="193">
        <f>AJ173</f>
        <v>0.22899999999999998</v>
      </c>
      <c r="AP173" s="110">
        <f t="shared" ref="AP173:AR173" si="422">AQ173</f>
        <v>0.22899999999999998</v>
      </c>
      <c r="AQ173" s="110">
        <f t="shared" si="422"/>
        <v>0.22899999999999998</v>
      </c>
      <c r="AR173" s="110">
        <f t="shared" si="422"/>
        <v>0.22899999999999998</v>
      </c>
      <c r="AS173" s="110">
        <f>AT173</f>
        <v>0.22899999999999998</v>
      </c>
      <c r="AT173" s="193">
        <f>AO173</f>
        <v>0.22899999999999998</v>
      </c>
      <c r="AU173" s="110">
        <f t="shared" ref="AU173" si="423">AV173</f>
        <v>0.22899999999999998</v>
      </c>
      <c r="AV173" s="110">
        <f t="shared" ref="AV173" si="424">AW173</f>
        <v>0.22899999999999998</v>
      </c>
      <c r="AW173" s="110">
        <f t="shared" ref="AW173" si="425">AX173</f>
        <v>0.22899999999999998</v>
      </c>
      <c r="AX173" s="110">
        <f>AY173</f>
        <v>0.22899999999999998</v>
      </c>
      <c r="AY173" s="193">
        <f>AT173</f>
        <v>0.22899999999999998</v>
      </c>
      <c r="AZ173" s="110">
        <f t="shared" ref="AZ173" si="426">BA173</f>
        <v>0.22899999999999998</v>
      </c>
      <c r="BA173" s="110">
        <f t="shared" ref="BA173" si="427">BB173</f>
        <v>0.22899999999999998</v>
      </c>
      <c r="BB173" s="110">
        <f t="shared" ref="BB173" si="428">BC173</f>
        <v>0.22899999999999998</v>
      </c>
      <c r="BC173" s="110">
        <f>BD173</f>
        <v>0.22899999999999998</v>
      </c>
      <c r="BD173" s="193">
        <f>AY173</f>
        <v>0.22899999999999998</v>
      </c>
      <c r="BE173" s="110">
        <f t="shared" ref="BE173" si="429">BF173</f>
        <v>0.22899999999999998</v>
      </c>
      <c r="BF173" s="110">
        <f t="shared" ref="BF173" si="430">BG173</f>
        <v>0.22899999999999998</v>
      </c>
      <c r="BG173" s="110">
        <f t="shared" ref="BG173" si="431">BH173</f>
        <v>0.22899999999999998</v>
      </c>
      <c r="BH173" s="110">
        <f>BI173</f>
        <v>0.22899999999999998</v>
      </c>
      <c r="BI173" s="193">
        <f>BD173</f>
        <v>0.22899999999999998</v>
      </c>
      <c r="BJ173" s="26"/>
    </row>
    <row r="174" spans="1:74" s="256" customFormat="1" outlineLevel="1">
      <c r="A174" t="s">
        <v>214</v>
      </c>
      <c r="B174" s="42">
        <f t="shared" ref="B174:AJ174" si="432">B34-B10</f>
        <v>-20130</v>
      </c>
      <c r="C174" s="42">
        <f t="shared" si="432"/>
        <v>-22860</v>
      </c>
      <c r="D174" s="42">
        <f t="shared" si="432"/>
        <v>-23269</v>
      </c>
      <c r="E174" s="42">
        <f t="shared" si="432"/>
        <v>-22412</v>
      </c>
      <c r="F174" s="42">
        <f t="shared" si="432"/>
        <v>-88671</v>
      </c>
      <c r="G174" s="42">
        <f t="shared" si="432"/>
        <v>-20844</v>
      </c>
      <c r="H174" s="42">
        <f t="shared" si="432"/>
        <v>-25174</v>
      </c>
      <c r="I174" s="42">
        <f t="shared" si="432"/>
        <v>-21616</v>
      </c>
      <c r="J174" s="42">
        <f t="shared" si="432"/>
        <v>-21103</v>
      </c>
      <c r="K174" s="42">
        <f t="shared" si="432"/>
        <v>-88737</v>
      </c>
      <c r="L174" s="42">
        <f t="shared" si="432"/>
        <v>-19755</v>
      </c>
      <c r="M174" s="42">
        <f t="shared" si="432"/>
        <v>-20521</v>
      </c>
      <c r="N174" s="42">
        <f t="shared" si="432"/>
        <v>-21593</v>
      </c>
      <c r="O174" s="42">
        <f t="shared" si="432"/>
        <v>-21792</v>
      </c>
      <c r="P174" s="42">
        <f t="shared" si="432"/>
        <v>-83661</v>
      </c>
      <c r="Q174" s="42">
        <f t="shared" si="432"/>
        <v>-20507</v>
      </c>
      <c r="R174" s="42">
        <f t="shared" si="432"/>
        <v>-21548</v>
      </c>
      <c r="S174" s="42">
        <f t="shared" si="432"/>
        <v>-22919</v>
      </c>
      <c r="T174" s="42">
        <f t="shared" si="432"/>
        <v>-24166</v>
      </c>
      <c r="U174" s="42">
        <f t="shared" si="432"/>
        <v>-89140</v>
      </c>
      <c r="V174" s="42">
        <f t="shared" si="432"/>
        <v>-20567</v>
      </c>
      <c r="W174" s="42">
        <f t="shared" si="432"/>
        <v>-19131</v>
      </c>
      <c r="X174" s="42">
        <f t="shared" si="432"/>
        <v>-18721</v>
      </c>
      <c r="Y174" s="42">
        <f t="shared" si="432"/>
        <v>-20115</v>
      </c>
      <c r="Z174" s="42">
        <f t="shared" si="432"/>
        <v>-78534</v>
      </c>
      <c r="AA174" s="42">
        <f t="shared" si="432"/>
        <v>-18261</v>
      </c>
      <c r="AB174" s="42">
        <f t="shared" si="432"/>
        <v>-14771</v>
      </c>
      <c r="AC174" s="42">
        <f t="shared" si="432"/>
        <v>-14540</v>
      </c>
      <c r="AD174" s="42">
        <f t="shared" si="432"/>
        <v>-23353</v>
      </c>
      <c r="AE174" s="42">
        <f t="shared" si="432"/>
        <v>-70925</v>
      </c>
      <c r="AF174" s="42">
        <f>AF34-AF10</f>
        <v>-15300</v>
      </c>
      <c r="AG174" s="42">
        <f t="shared" si="432"/>
        <v>-15975</v>
      </c>
      <c r="AH174" s="42">
        <f>AH34-AH10</f>
        <v>-14949</v>
      </c>
      <c r="AI174" s="42">
        <f t="shared" si="432"/>
        <v>-18964</v>
      </c>
      <c r="AJ174" s="42">
        <f t="shared" si="432"/>
        <v>-65188</v>
      </c>
      <c r="AK174" s="42">
        <f>AK34-AK10</f>
        <v>-15160</v>
      </c>
      <c r="AL174" s="42">
        <f>AL34-AL10</f>
        <v>-15907</v>
      </c>
      <c r="AM174" s="42">
        <f>AM34-AM10</f>
        <v>-18755</v>
      </c>
      <c r="AN174" s="42">
        <f>AN34-AN10</f>
        <v>-20333</v>
      </c>
      <c r="AO174" s="42">
        <f>AO34-AO10</f>
        <v>-70155</v>
      </c>
      <c r="AP174" s="42">
        <f t="shared" ref="AP174:AR174" si="433">AP34-AP10</f>
        <v>-18070</v>
      </c>
      <c r="AQ174" s="42">
        <f t="shared" si="433"/>
        <v>-19850</v>
      </c>
      <c r="AR174" s="42">
        <f t="shared" si="433"/>
        <v>-18912</v>
      </c>
      <c r="AS174" s="42">
        <f>AS34-AS10</f>
        <v>-21735</v>
      </c>
      <c r="AT174" s="42">
        <f>AT34-AT10</f>
        <v>-78567</v>
      </c>
      <c r="AU174" s="42">
        <f t="shared" ref="AU174:AW174" si="434">AU34-AU10</f>
        <v>-16655</v>
      </c>
      <c r="AV174" s="42">
        <f t="shared" si="434"/>
        <v>-17956</v>
      </c>
      <c r="AW174" s="42">
        <f t="shared" si="434"/>
        <v>-23601</v>
      </c>
      <c r="AX174" s="42">
        <f>AX34-AX10</f>
        <v>-19012</v>
      </c>
      <c r="AY174" s="42">
        <f>AY34-AY10</f>
        <v>-77224</v>
      </c>
      <c r="AZ174" s="42">
        <f t="shared" ref="AZ174:BB174" si="435">AZ34-AZ10</f>
        <v>-19035</v>
      </c>
      <c r="BA174" s="42">
        <f t="shared" si="435"/>
        <v>-22925</v>
      </c>
      <c r="BB174" s="42">
        <f t="shared" si="435"/>
        <v>-28051</v>
      </c>
      <c r="BC174" s="42">
        <f>BC34-BC10</f>
        <v>-15171</v>
      </c>
      <c r="BD174" s="42">
        <f>BD34-BD10</f>
        <v>-85182</v>
      </c>
      <c r="BE174" s="42">
        <f t="shared" ref="BE174:BG174" si="436">BE34-BE10</f>
        <v>-24580.666350098683</v>
      </c>
      <c r="BF174" s="42">
        <f t="shared" si="436"/>
        <v>-24497.947496326593</v>
      </c>
      <c r="BG174" s="42">
        <f t="shared" si="436"/>
        <v>-24380.343270974481</v>
      </c>
      <c r="BH174" s="42">
        <f>BH34-BH10</f>
        <v>-24144.027255900583</v>
      </c>
      <c r="BI174" s="42">
        <f>BI34-BI10</f>
        <v>-97602.984373300336</v>
      </c>
      <c r="BJ174" s="97"/>
      <c r="BQ174"/>
      <c r="BR174"/>
      <c r="BS174"/>
      <c r="BT174"/>
      <c r="BU174"/>
      <c r="BV174"/>
    </row>
    <row r="175" spans="1:74" s="259" customFormat="1" outlineLevel="1">
      <c r="A175" t="s">
        <v>234</v>
      </c>
      <c r="B175" s="37">
        <f>Cash_Flow_Qtr!B51+Cash_Flow_Qtr!B48</f>
        <v>-2269</v>
      </c>
      <c r="C175" s="37">
        <f>Cash_Flow_Qtr!C51+Cash_Flow_Qtr!C48</f>
        <v>-1956</v>
      </c>
      <c r="D175" s="37">
        <f>Cash_Flow_Qtr!D51+Cash_Flow_Qtr!D48</f>
        <v>-1445</v>
      </c>
      <c r="E175" s="37">
        <f>Cash_Flow_Qtr!E51+Cash_Flow_Qtr!E48</f>
        <v>-682</v>
      </c>
      <c r="F175" s="37">
        <f>Cash_Flow_Qtr!F51+Cash_Flow_Qtr!F48</f>
        <v>-6352</v>
      </c>
      <c r="G175" s="37">
        <f>Cash_Flow_Qtr!G51+Cash_Flow_Qtr!G48</f>
        <v>-3459</v>
      </c>
      <c r="H175" s="37">
        <f>Cash_Flow_Qtr!H51+Cash_Flow_Qtr!H48</f>
        <v>-1895</v>
      </c>
      <c r="I175" s="37">
        <f>Cash_Flow_Qtr!I51+Cash_Flow_Qtr!I48</f>
        <v>-955</v>
      </c>
      <c r="J175" s="37">
        <f>Cash_Flow_Qtr!J51+Cash_Flow_Qtr!J48</f>
        <v>-371</v>
      </c>
      <c r="K175" s="37">
        <f>Cash_Flow_Qtr!K51+Cash_Flow_Qtr!K48</f>
        <v>-6680</v>
      </c>
      <c r="L175" s="37">
        <f>Cash_Flow_Qtr!L51+Cash_Flow_Qtr!L48</f>
        <v>-2326</v>
      </c>
      <c r="M175" s="37">
        <f>Cash_Flow_Qtr!M51+Cash_Flow_Qtr!M48</f>
        <v>-2434</v>
      </c>
      <c r="N175" s="37">
        <f>Cash_Flow_Qtr!N51+Cash_Flow_Qtr!N48</f>
        <v>-2449</v>
      </c>
      <c r="O175" s="37">
        <f>Cash_Flow_Qtr!O51+Cash_Flow_Qtr!O48</f>
        <v>-1716</v>
      </c>
      <c r="P175" s="37">
        <f>Cash_Flow_Qtr!P51+Cash_Flow_Qtr!P48</f>
        <v>-8925</v>
      </c>
      <c r="Q175" s="37">
        <f>Cash_Flow_Qtr!Q51+Cash_Flow_Qtr!Q48</f>
        <v>-2949</v>
      </c>
      <c r="R175" s="37">
        <f>Cash_Flow_Qtr!R51+Cash_Flow_Qtr!R48</f>
        <v>-2955</v>
      </c>
      <c r="S175" s="37">
        <f>Cash_Flow_Qtr!S51+Cash_Flow_Qtr!S48</f>
        <v>-2441</v>
      </c>
      <c r="T175" s="37">
        <f>Cash_Flow_Qtr!T51+Cash_Flow_Qtr!T48</f>
        <v>-574</v>
      </c>
      <c r="U175" s="37">
        <f>Cash_Flow_Qtr!U51+Cash_Flow_Qtr!U48</f>
        <v>-8919</v>
      </c>
      <c r="V175" s="37">
        <f>Cash_Flow_Qtr!V51+Cash_Flow_Qtr!V48</f>
        <v>-2299</v>
      </c>
      <c r="W175" s="37">
        <f>Cash_Flow_Qtr!W51+Cash_Flow_Qtr!W48</f>
        <v>-305</v>
      </c>
      <c r="X175" s="37">
        <f>Cash_Flow_Qtr!X51+Cash_Flow_Qtr!X48</f>
        <v>4</v>
      </c>
      <c r="Y175" s="37">
        <f>Cash_Flow_Qtr!Y51+Cash_Flow_Qtr!Y48</f>
        <v>7</v>
      </c>
      <c r="Z175" s="37">
        <f>Cash_Flow_Qtr!Z51+Cash_Flow_Qtr!Z48</f>
        <v>-2593</v>
      </c>
      <c r="AA175" s="37">
        <f>Cash_Flow_Qtr!AA51+Cash_Flow_Qtr!AA48</f>
        <v>21</v>
      </c>
      <c r="AB175" s="37">
        <f>Cash_Flow_Qtr!AB51+Cash_Flow_Qtr!AB48</f>
        <v>6</v>
      </c>
      <c r="AC175" s="37">
        <f>Cash_Flow_Qtr!AC51+Cash_Flow_Qtr!AC48</f>
        <v>4</v>
      </c>
      <c r="AD175" s="37">
        <f>Cash_Flow_Qtr!AD51+Cash_Flow_Qtr!AD48</f>
        <v>5</v>
      </c>
      <c r="AE175" s="37">
        <f>Cash_Flow_Qtr!AE51+Cash_Flow_Qtr!AE48</f>
        <v>36</v>
      </c>
      <c r="AF175" s="37">
        <f>Cash_Flow_Qtr!AF51+Cash_Flow_Qtr!AF48</f>
        <v>23</v>
      </c>
      <c r="AG175" s="37">
        <f>Cash_Flow_Qtr!AG51+Cash_Flow_Qtr!AG48</f>
        <v>6</v>
      </c>
      <c r="AH175" s="37">
        <f>Cash_Flow_Qtr!AH51+Cash_Flow_Qtr!AH48</f>
        <v>7</v>
      </c>
      <c r="AI175" s="37">
        <f>Cash_Flow_Qtr!AI51+Cash_Flow_Qtr!AI48</f>
        <v>6</v>
      </c>
      <c r="AJ175" s="37">
        <f>Cash_Flow_Qtr!AJ51+Cash_Flow_Qtr!AJ48</f>
        <v>42</v>
      </c>
      <c r="AK175" s="37">
        <f>Cash_Flow_Qtr!AK51+Cash_Flow_Qtr!AK48</f>
        <v>30</v>
      </c>
      <c r="AL175" s="37">
        <f>Cash_Flow_Qtr!AL51+Cash_Flow_Qtr!AL48</f>
        <v>4</v>
      </c>
      <c r="AM175" s="37">
        <f>Cash_Flow_Qtr!AM51+Cash_Flow_Qtr!AM48</f>
        <v>5</v>
      </c>
      <c r="AN175" s="37">
        <f>Cash_Flow_Qtr!AN51+Cash_Flow_Qtr!AN48</f>
        <v>11</v>
      </c>
      <c r="AO175" s="37">
        <f>Cash_Flow_Qtr!AO51+Cash_Flow_Qtr!AO48</f>
        <v>50</v>
      </c>
      <c r="AP175" s="37">
        <f>Cash_Flow_Qtr!AP51+Cash_Flow_Qtr!AP48</f>
        <v>44</v>
      </c>
      <c r="AQ175" s="37">
        <f>Cash_Flow_Qtr!AQ51+Cash_Flow_Qtr!AQ48</f>
        <v>0</v>
      </c>
      <c r="AR175" s="37">
        <f>Cash_Flow_Qtr!AR51+Cash_Flow_Qtr!AR48</f>
        <v>1</v>
      </c>
      <c r="AS175" s="37">
        <f>Cash_Flow_Qtr!AS51+Cash_Flow_Qtr!AS48</f>
        <v>0</v>
      </c>
      <c r="AT175" s="37">
        <f>Cash_Flow_Qtr!AT51+Cash_Flow_Qtr!AT48</f>
        <v>45</v>
      </c>
      <c r="AU175" s="37">
        <f>Cash_Flow_Qtr!AU51+Cash_Flow_Qtr!AU48</f>
        <v>0</v>
      </c>
      <c r="AV175" s="37">
        <f>Cash_Flow_Qtr!AV51+Cash_Flow_Qtr!AV48</f>
        <v>0</v>
      </c>
      <c r="AW175" s="37">
        <f>Cash_Flow_Qtr!AW51+Cash_Flow_Qtr!AW48</f>
        <v>0</v>
      </c>
      <c r="AX175" s="37">
        <f>Cash_Flow_Qtr!AX51+Cash_Flow_Qtr!AX48</f>
        <v>18200</v>
      </c>
      <c r="AY175" s="37">
        <f>Cash_Flow_Qtr!AY51+Cash_Flow_Qtr!AY48</f>
        <v>18200</v>
      </c>
      <c r="AZ175" s="37">
        <f>Cash_Flow_Qtr!AZ51+Cash_Flow_Qtr!AZ48</f>
        <v>0</v>
      </c>
      <c r="BA175" s="37">
        <f>Cash_Flow_Qtr!BA51+Cash_Flow_Qtr!BA48</f>
        <v>0</v>
      </c>
      <c r="BB175" s="37">
        <f>Cash_Flow_Qtr!BB51+Cash_Flow_Qtr!BB48</f>
        <v>0</v>
      </c>
      <c r="BC175" s="37">
        <f>Cash_Flow_Qtr!BC51+Cash_Flow_Qtr!BC48</f>
        <v>0</v>
      </c>
      <c r="BD175" s="37">
        <f>Cash_Flow_Qtr!BD51+Cash_Flow_Qtr!BD48</f>
        <v>0</v>
      </c>
      <c r="BE175" s="37">
        <f>Cash_Flow_Qtr!BE51+Cash_Flow_Qtr!BE48</f>
        <v>0</v>
      </c>
      <c r="BF175" s="37">
        <f>Cash_Flow_Qtr!BF51+Cash_Flow_Qtr!BF48</f>
        <v>0</v>
      </c>
      <c r="BG175" s="37">
        <f>Cash_Flow_Qtr!BG51+Cash_Flow_Qtr!BG48</f>
        <v>0</v>
      </c>
      <c r="BH175" s="37">
        <f>Cash_Flow_Qtr!BH51+Cash_Flow_Qtr!BH48</f>
        <v>0</v>
      </c>
      <c r="BI175" s="37">
        <f>Cash_Flow_Qtr!BI51+Cash_Flow_Qtr!BI48</f>
        <v>0</v>
      </c>
      <c r="BJ175" s="87"/>
      <c r="BQ175"/>
      <c r="BR175"/>
      <c r="BS175"/>
      <c r="BT175"/>
      <c r="BU175"/>
      <c r="BV175"/>
    </row>
    <row r="182" spans="1:61">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row>
    <row r="185" spans="1:61">
      <c r="A185" s="5"/>
    </row>
    <row r="186" spans="1:61" outlineLevel="1">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74"/>
      <c r="AY186" s="74"/>
      <c r="AZ186" s="74"/>
      <c r="BA186" s="74"/>
      <c r="BB186" s="74"/>
      <c r="BC186" s="74"/>
      <c r="BD186" s="74"/>
      <c r="BE186" s="74"/>
      <c r="BF186" s="74"/>
      <c r="BG186" s="74"/>
      <c r="BH186" s="74"/>
      <c r="BI186" s="74"/>
    </row>
    <row r="187" spans="1:61" outlineLevel="1">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49"/>
      <c r="AU187" s="49"/>
      <c r="AV187" s="49"/>
      <c r="AW187" s="49"/>
      <c r="AX187" s="49"/>
      <c r="AY187" s="49"/>
      <c r="AZ187" s="49"/>
      <c r="BA187" s="49"/>
      <c r="BB187" s="49"/>
      <c r="BC187" s="49"/>
      <c r="BD187" s="49"/>
      <c r="BE187" s="49"/>
      <c r="BF187" s="49"/>
      <c r="BG187" s="49"/>
      <c r="BH187" s="49"/>
      <c r="BI187" s="49"/>
    </row>
    <row r="188" spans="1:61" outlineLevel="1">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c r="AN188" s="74"/>
      <c r="AO188" s="74"/>
      <c r="AP188" s="74"/>
      <c r="AQ188" s="74"/>
      <c r="AR188" s="74"/>
      <c r="AS188" s="74"/>
      <c r="AT188" s="74"/>
      <c r="AU188" s="74"/>
      <c r="AV188" s="74"/>
      <c r="AW188" s="74"/>
      <c r="AX188" s="74"/>
      <c r="AY188" s="74"/>
      <c r="AZ188" s="74"/>
      <c r="BA188" s="74"/>
      <c r="BB188" s="74"/>
      <c r="BC188" s="74"/>
      <c r="BD188" s="74"/>
      <c r="BE188" s="74"/>
      <c r="BF188" s="74"/>
      <c r="BG188" s="74"/>
      <c r="BH188" s="74"/>
      <c r="BI188" s="74"/>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4" tint="0.39997558519241921"/>
  </sheetPr>
  <dimension ref="A1:BA205"/>
  <sheetViews>
    <sheetView showGridLines="0" zoomScale="85" zoomScaleNormal="85" workbookViewId="0">
      <pane xSplit="1" ySplit="2" topLeftCell="U3" activePane="bottomRight" state="frozen"/>
      <selection activeCell="A5" sqref="A5"/>
      <selection pane="topRight" activeCell="A5" sqref="A5"/>
      <selection pane="bottomLeft" activeCell="A5" sqref="A5"/>
      <selection pane="bottomRight" activeCell="AE70" sqref="AE70"/>
    </sheetView>
  </sheetViews>
  <sheetFormatPr defaultRowHeight="14.5" outlineLevelCol="1"/>
  <cols>
    <col min="1" max="1" width="48.1796875" customWidth="1"/>
    <col min="2" max="21" width="12" style="26" customWidth="1"/>
    <col min="22" max="27" width="12" customWidth="1"/>
    <col min="28" max="33" width="12.81640625" customWidth="1"/>
    <col min="34" max="34" width="27.7265625" customWidth="1"/>
    <col min="35" max="36" width="12.1796875" customWidth="1"/>
    <col min="37" max="38" width="11" customWidth="1"/>
    <col min="39" max="39" width="12.1796875" customWidth="1"/>
    <col min="40" max="40" width="72.7265625" customWidth="1" outlineLevel="1"/>
    <col min="41" max="45" width="9.1796875" customWidth="1" outlineLevel="1"/>
  </cols>
  <sheetData>
    <row r="1" spans="1:36">
      <c r="A1" s="15" t="s">
        <v>38</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26"/>
    </row>
    <row r="2" spans="1:36">
      <c r="B2" s="103" t="str">
        <f>Income_Statement_Annual!B2</f>
        <v>CY2000A</v>
      </c>
      <c r="C2" s="103" t="str">
        <f>Income_Statement_Annual!C2</f>
        <v>CY2001A</v>
      </c>
      <c r="D2" s="103" t="str">
        <f>Income_Statement_Annual!D2</f>
        <v>CY2002A</v>
      </c>
      <c r="E2" s="103" t="str">
        <f>Income_Statement_Annual!E2</f>
        <v>CY2003A</v>
      </c>
      <c r="F2" s="103" t="str">
        <f>Income_Statement_Annual!F2</f>
        <v>CY2004A</v>
      </c>
      <c r="G2" s="103" t="str">
        <f>Income_Statement_Annual!G2</f>
        <v>CY2005A</v>
      </c>
      <c r="H2" s="103" t="str">
        <f>Income_Statement_Annual!H2</f>
        <v>CY2006A</v>
      </c>
      <c r="I2" s="103" t="str">
        <f>Income_Statement_Annual!I2</f>
        <v>CY2007A</v>
      </c>
      <c r="J2" s="103" t="str">
        <f>Income_Statement_Annual!J2</f>
        <v>CY2008A</v>
      </c>
      <c r="K2" s="103" t="str">
        <f>Income_Statement_Annual!K2</f>
        <v>CY2009A</v>
      </c>
      <c r="L2" s="103" t="str">
        <f>Income_Statement_Annual!L2</f>
        <v>CY2010A</v>
      </c>
      <c r="M2" s="103" t="str">
        <f>Income_Statement_Annual!M2</f>
        <v>CY2011A</v>
      </c>
      <c r="N2" s="103" t="str">
        <f>Income_Statement_Annual!N2</f>
        <v>CY2012A</v>
      </c>
      <c r="O2" s="103" t="str">
        <f>Income_Statement_Annual!O2</f>
        <v>CY2013A</v>
      </c>
      <c r="P2" s="103" t="str">
        <f>Income_Statement_Annual!P2</f>
        <v>CY2014A</v>
      </c>
      <c r="Q2" s="103" t="str">
        <f>Income_Statement_Annual!Q2</f>
        <v>CY2015A</v>
      </c>
      <c r="R2" s="103" t="str">
        <f>Income_Statement_Annual!R2</f>
        <v>CY2016A</v>
      </c>
      <c r="S2" s="103" t="str">
        <f>Income_Statement_Annual!S2</f>
        <v>CY2017A</v>
      </c>
      <c r="T2" s="103" t="str">
        <f>Income_Statement_Annual!T2</f>
        <v>CY2018A</v>
      </c>
      <c r="U2" s="101" t="str">
        <f>Income_Statement_Annual!U2</f>
        <v>CY2019A</v>
      </c>
      <c r="V2" s="103" t="str">
        <f>Income_Statement_Annual!V2</f>
        <v>CY2020A</v>
      </c>
      <c r="W2" s="103" t="str">
        <f>Income_Statement_Annual!W2</f>
        <v>CY2021A</v>
      </c>
      <c r="X2" s="103" t="str">
        <f>Income_Statement_Annual!X2</f>
        <v>CY2022A</v>
      </c>
      <c r="Y2" s="103" t="str">
        <f>Income_Statement_Annual!Y2</f>
        <v>CY2023A</v>
      </c>
      <c r="Z2" s="103" t="str">
        <f>Income_Statement_Annual!Z2</f>
        <v>CY2024A</v>
      </c>
      <c r="AA2" s="103" t="str">
        <f>Income_Statement_Annual!AA2</f>
        <v>CY2025A</v>
      </c>
      <c r="AB2" s="103" t="str">
        <f>Income_Statement_Annual!AB2</f>
        <v>CY2026E</v>
      </c>
      <c r="AC2" s="103" t="str">
        <f>Income_Statement_Annual!AC2</f>
        <v>CY2027E</v>
      </c>
      <c r="AD2" s="103" t="str">
        <f>Income_Statement_Annual!AD2</f>
        <v>CY2028E</v>
      </c>
      <c r="AE2" s="103" t="str">
        <f>Income_Statement_Annual!AE2</f>
        <v>CY2029E</v>
      </c>
      <c r="AF2" s="103" t="str">
        <f>Income_Statement_Annual!AF2</f>
        <v>CY2030E</v>
      </c>
      <c r="AG2" s="101"/>
    </row>
    <row r="3" spans="1:36">
      <c r="A3" s="5" t="str">
        <f>Balance_Sheet_Qtr!A3</f>
        <v>Assets</v>
      </c>
      <c r="B3" s="27"/>
      <c r="C3" s="27"/>
      <c r="D3" s="27"/>
      <c r="E3" s="27"/>
      <c r="F3" s="27"/>
      <c r="G3" s="27"/>
      <c r="H3" s="27"/>
      <c r="I3" s="27"/>
      <c r="J3" s="27"/>
      <c r="K3" s="27"/>
      <c r="L3" s="27"/>
      <c r="M3" s="27"/>
      <c r="N3" s="27"/>
      <c r="O3" s="27"/>
      <c r="P3" s="27"/>
      <c r="Q3" s="27"/>
      <c r="R3" s="27"/>
      <c r="S3" s="27"/>
      <c r="T3" s="27"/>
      <c r="V3" s="201"/>
      <c r="W3" s="201"/>
      <c r="X3" s="201"/>
      <c r="Y3" s="201"/>
      <c r="Z3" s="201"/>
      <c r="AA3" s="201"/>
      <c r="AB3" s="201"/>
      <c r="AC3" s="201"/>
      <c r="AD3" s="201"/>
      <c r="AE3" s="201"/>
      <c r="AF3" s="201"/>
    </row>
    <row r="4" spans="1:36">
      <c r="A4" s="5" t="str">
        <f>Balance_Sheet_Qtr!A4</f>
        <v>Current Assets</v>
      </c>
      <c r="B4" s="27"/>
      <c r="C4" s="27"/>
      <c r="D4" s="27"/>
      <c r="E4" s="27"/>
      <c r="F4" s="27"/>
      <c r="G4" s="27"/>
      <c r="H4" s="27"/>
      <c r="I4" s="27"/>
      <c r="J4" s="27"/>
      <c r="K4" s="27"/>
      <c r="L4" s="27"/>
      <c r="M4" s="27"/>
      <c r="N4" s="27"/>
      <c r="O4" s="76"/>
      <c r="P4" s="76"/>
      <c r="Q4" s="27"/>
      <c r="R4" s="27"/>
      <c r="S4" s="27"/>
      <c r="T4" s="27"/>
      <c r="V4" s="201"/>
      <c r="W4" s="201"/>
      <c r="X4" s="201"/>
      <c r="Y4" s="201"/>
      <c r="Z4" s="201"/>
      <c r="AA4" s="201"/>
      <c r="AB4" s="201"/>
      <c r="AC4" s="201"/>
      <c r="AD4" s="201"/>
      <c r="AE4" s="201"/>
      <c r="AF4" s="201"/>
    </row>
    <row r="5" spans="1:36">
      <c r="A5" s="1" t="str">
        <f>Balance_Sheet_Qtr!A5</f>
        <v>Cash and Cash Equivalents</v>
      </c>
      <c r="B5" s="43">
        <v>1010</v>
      </c>
      <c r="C5" s="43">
        <v>633</v>
      </c>
      <c r="D5" s="43">
        <v>2333</v>
      </c>
      <c r="E5" s="43">
        <v>4633</v>
      </c>
      <c r="F5" s="43">
        <v>3204</v>
      </c>
      <c r="G5" s="43">
        <v>5412</v>
      </c>
      <c r="H5" s="43">
        <v>6118</v>
      </c>
      <c r="I5" s="43">
        <v>7042</v>
      </c>
      <c r="J5" s="43">
        <v>3268</v>
      </c>
      <c r="K5" s="43">
        <v>9215</v>
      </c>
      <c r="L5" s="43">
        <v>5359</v>
      </c>
      <c r="M5" s="43">
        <v>10049</v>
      </c>
      <c r="N5" s="43">
        <v>10341</v>
      </c>
      <c r="O5" s="43">
        <v>9088</v>
      </c>
      <c r="P5" s="41">
        <v>11733</v>
      </c>
      <c r="Q5" s="38">
        <f>Balance_Sheet_Qtr!F5</f>
        <v>11302</v>
      </c>
      <c r="R5" s="38">
        <f>Balance_Sheet_Qtr!K5</f>
        <v>8801</v>
      </c>
      <c r="S5" s="38">
        <f>Balance_Sheet_Qtr!P5</f>
        <v>8813</v>
      </c>
      <c r="T5" s="38">
        <f>Balance_Sheet_Qtr!U5</f>
        <v>7637</v>
      </c>
      <c r="U5" s="37">
        <f>Balance_Sheet_Qtr!Z5</f>
        <v>9485</v>
      </c>
      <c r="V5" s="38">
        <f>Balance_Sheet_Qtr!AE5</f>
        <v>7752</v>
      </c>
      <c r="W5" s="38">
        <f>Balance_Sheet_Qtr!AJ5</f>
        <v>8052</v>
      </c>
      <c r="X5" s="38">
        <f>Balance_Sheet_Qtr!AO5</f>
        <v>14614</v>
      </c>
      <c r="Y5" s="38">
        <f>Balance_Sheet_Qtr!AT5</f>
        <v>12691</v>
      </c>
      <c r="Z5" s="38">
        <f>Balance_Sheet_Qtr!AY5</f>
        <v>13801</v>
      </c>
      <c r="AA5" s="38">
        <f>Balance_Sheet_Qtr!BD5</f>
        <v>10921</v>
      </c>
      <c r="AB5" s="38">
        <f ca="1">Balance_Sheet_Qtr!BI5</f>
        <v>8329.4025496080467</v>
      </c>
      <c r="AC5" s="38">
        <f ca="1">Cash_Flow_Annual!AC64</f>
        <v>6992.4568068181052</v>
      </c>
      <c r="AD5" s="38">
        <f ca="1">Cash_Flow_Annual!AD64</f>
        <v>15270.022640047382</v>
      </c>
      <c r="AE5" s="38">
        <f ca="1">Cash_Flow_Annual!AE64</f>
        <v>25856.699751766406</v>
      </c>
      <c r="AF5" s="38">
        <f ca="1">Cash_Flow_Annual!AF64</f>
        <v>38337.089076852972</v>
      </c>
      <c r="AG5" s="37"/>
    </row>
    <row r="6" spans="1:36">
      <c r="A6" s="1" t="str">
        <f>Balance_Sheet_Qtr!A6</f>
        <v>Restricted Cash</v>
      </c>
      <c r="B6" s="43">
        <v>0</v>
      </c>
      <c r="C6" s="43">
        <v>0</v>
      </c>
      <c r="D6" s="43">
        <v>0</v>
      </c>
      <c r="E6" s="43">
        <v>0</v>
      </c>
      <c r="F6" s="43">
        <v>0</v>
      </c>
      <c r="G6" s="43">
        <v>0</v>
      </c>
      <c r="H6" s="43">
        <v>0</v>
      </c>
      <c r="I6" s="43">
        <v>0</v>
      </c>
      <c r="J6" s="43">
        <v>0</v>
      </c>
      <c r="K6" s="43">
        <v>0</v>
      </c>
      <c r="L6" s="43">
        <v>0</v>
      </c>
      <c r="M6" s="43">
        <v>0</v>
      </c>
      <c r="N6" s="43">
        <v>0</v>
      </c>
      <c r="O6" s="43">
        <v>0</v>
      </c>
      <c r="P6" s="41">
        <v>0</v>
      </c>
      <c r="Q6" s="38">
        <f>Balance_Sheet_Qtr!F6</f>
        <v>0</v>
      </c>
      <c r="R6" s="38">
        <f>Balance_Sheet_Qtr!K6</f>
        <v>0</v>
      </c>
      <c r="S6" s="38">
        <f>Balance_Sheet_Qtr!P6</f>
        <v>74</v>
      </c>
      <c r="T6" s="38">
        <f>Balance_Sheet_Qtr!U6</f>
        <v>176</v>
      </c>
      <c r="U6" s="37">
        <f>Balance_Sheet_Qtr!Z6</f>
        <v>86</v>
      </c>
      <c r="V6" s="38">
        <f>Balance_Sheet_Qtr!AE6</f>
        <v>83</v>
      </c>
      <c r="W6" s="38">
        <f>Balance_Sheet_Qtr!AJ6</f>
        <v>52</v>
      </c>
      <c r="X6" s="38">
        <f>Balance_Sheet_Qtr!AO6</f>
        <v>33</v>
      </c>
      <c r="Y6" s="38">
        <f>Balance_Sheet_Qtr!AT6</f>
        <v>22</v>
      </c>
      <c r="Z6" s="38">
        <f>Balance_Sheet_Qtr!AY6</f>
        <v>21</v>
      </c>
      <c r="AA6" s="38">
        <f>Balance_Sheet_Qtr!BD6</f>
        <v>742</v>
      </c>
      <c r="AB6" s="38">
        <f>Balance_Sheet_Qtr!BI6</f>
        <v>709</v>
      </c>
      <c r="AC6" s="38">
        <f>Cash_Flow_Annual!AC63</f>
        <v>709</v>
      </c>
      <c r="AD6" s="38">
        <f>Cash_Flow_Annual!AD63</f>
        <v>709</v>
      </c>
      <c r="AE6" s="38">
        <f>Cash_Flow_Annual!AE63</f>
        <v>709</v>
      </c>
      <c r="AF6" s="38">
        <f>Cash_Flow_Annual!AF63</f>
        <v>709</v>
      </c>
      <c r="AG6" s="37"/>
    </row>
    <row r="7" spans="1:36">
      <c r="A7" s="1" t="str">
        <f>Balance_Sheet_Qtr!A7</f>
        <v>Short-Term and Other Investments</v>
      </c>
      <c r="B7" s="43">
        <v>0</v>
      </c>
      <c r="C7" s="43">
        <v>0</v>
      </c>
      <c r="D7" s="43">
        <v>0</v>
      </c>
      <c r="E7" s="43">
        <v>0</v>
      </c>
      <c r="F7" s="43">
        <v>319</v>
      </c>
      <c r="G7" s="43">
        <v>554</v>
      </c>
      <c r="H7" s="43">
        <v>268</v>
      </c>
      <c r="I7" s="43">
        <v>2266</v>
      </c>
      <c r="J7" s="43">
        <v>11</v>
      </c>
      <c r="K7" s="43">
        <v>2008</v>
      </c>
      <c r="L7" s="43">
        <v>5158</v>
      </c>
      <c r="M7" s="43">
        <v>1223</v>
      </c>
      <c r="N7" s="43">
        <v>3217</v>
      </c>
      <c r="O7" s="43">
        <v>6170</v>
      </c>
      <c r="P7" s="43">
        <v>1359</v>
      </c>
      <c r="Q7" s="38">
        <f>Balance_Sheet_Qtr!F7</f>
        <v>750</v>
      </c>
      <c r="R7" s="38">
        <f>Balance_Sheet_Qtr!K7</f>
        <v>1228</v>
      </c>
      <c r="S7" s="38">
        <f>Balance_Sheet_Qtr!P7</f>
        <v>1105</v>
      </c>
      <c r="T7" s="38">
        <f>Balance_Sheet_Qtr!U7</f>
        <v>751</v>
      </c>
      <c r="U7" s="37">
        <f>Balance_Sheet_Qtr!Z7</f>
        <v>459</v>
      </c>
      <c r="V7" s="38">
        <f>Balance_Sheet_Qtr!AE7</f>
        <v>17755</v>
      </c>
      <c r="W7" s="38">
        <f>Balance_Sheet_Qtr!AJ7</f>
        <v>8140</v>
      </c>
      <c r="X7" s="38">
        <f>Balance_Sheet_Qtr!AO7</f>
        <v>2606</v>
      </c>
      <c r="Y7" s="38">
        <f>Balance_Sheet_Qtr!AT7</f>
        <v>3274</v>
      </c>
      <c r="Z7" s="38">
        <f>Balance_Sheet_Qtr!AY7</f>
        <v>12481</v>
      </c>
      <c r="AA7" s="38">
        <f>Balance_Sheet_Qtr!BD7</f>
        <v>18479</v>
      </c>
      <c r="AB7" s="38">
        <f>Balance_Sheet_Qtr!BI7</f>
        <v>18479</v>
      </c>
      <c r="AC7" s="43">
        <f>AB7</f>
        <v>18479</v>
      </c>
      <c r="AD7" s="43">
        <f>AC7</f>
        <v>18479</v>
      </c>
      <c r="AE7" s="43">
        <f>AD7</f>
        <v>18479</v>
      </c>
      <c r="AF7" s="43">
        <f>AE7</f>
        <v>18479</v>
      </c>
      <c r="AG7" s="41"/>
    </row>
    <row r="8" spans="1:36">
      <c r="A8" s="1" t="str">
        <f>Balance_Sheet_Qtr!A8</f>
        <v>Accounts Receivables, Net</v>
      </c>
      <c r="B8" s="43">
        <v>4928</v>
      </c>
      <c r="C8" s="43">
        <v>5156</v>
      </c>
      <c r="D8" s="43">
        <v>5007</v>
      </c>
      <c r="E8" s="43">
        <v>4515</v>
      </c>
      <c r="F8" s="43">
        <v>4653</v>
      </c>
      <c r="G8" s="43">
        <v>5246</v>
      </c>
      <c r="H8" s="43">
        <v>5285</v>
      </c>
      <c r="I8" s="43">
        <v>5740</v>
      </c>
      <c r="J8" s="43">
        <v>5602</v>
      </c>
      <c r="K8" s="43">
        <v>5785</v>
      </c>
      <c r="L8" s="43">
        <v>5422</v>
      </c>
      <c r="M8" s="43">
        <v>5793</v>
      </c>
      <c r="N8" s="43">
        <v>5608</v>
      </c>
      <c r="O8" s="43">
        <v>6546</v>
      </c>
      <c r="P8" s="43">
        <v>7729</v>
      </c>
      <c r="Q8" s="38">
        <f>Balance_Sheet_Qtr!F8</f>
        <v>8713</v>
      </c>
      <c r="R8" s="38">
        <f>Balance_Sheet_Qtr!K8</f>
        <v>8832</v>
      </c>
      <c r="S8" s="38">
        <f>Balance_Sheet_Qtr!P8</f>
        <v>10516</v>
      </c>
      <c r="T8" s="38">
        <f>Balance_Sheet_Qtr!U8</f>
        <v>3879</v>
      </c>
      <c r="U8" s="37">
        <f>Balance_Sheet_Qtr!Z8</f>
        <v>3266</v>
      </c>
      <c r="V8" s="38">
        <f>Balance_Sheet_Qtr!AE8</f>
        <v>1955</v>
      </c>
      <c r="W8" s="38">
        <f>Balance_Sheet_Qtr!AJ8</f>
        <v>2641</v>
      </c>
      <c r="X8" s="38">
        <f>Balance_Sheet_Qtr!AO8</f>
        <v>2517</v>
      </c>
      <c r="Y8" s="38">
        <f>Balance_Sheet_Qtr!AT8</f>
        <v>2649</v>
      </c>
      <c r="Z8" s="38">
        <f>Balance_Sheet_Qtr!AY8</f>
        <v>2631</v>
      </c>
      <c r="AA8" s="38">
        <f>Balance_Sheet_Qtr!BD8</f>
        <v>2921</v>
      </c>
      <c r="AB8" s="38">
        <f>Balance_Sheet_Qtr!BI8</f>
        <v>2868.513069451581</v>
      </c>
      <c r="AC8" s="23">
        <f>AC$68*(Income_Statement_Annual!AC$10/(365))</f>
        <v>2969.2729367780794</v>
      </c>
      <c r="AD8" s="23">
        <f>AD$68*(Income_Statement_Annual!AD$10/(365))</f>
        <v>3005.9975947635739</v>
      </c>
      <c r="AE8" s="23">
        <f>AE$68*(Income_Statement_Annual!AE$10/(365))</f>
        <v>2963.0093820485617</v>
      </c>
      <c r="AF8" s="23">
        <f>AF$68*(Income_Statement_Annual!AF$10/(365))</f>
        <v>2637.702922480476</v>
      </c>
      <c r="AG8" s="22"/>
    </row>
    <row r="9" spans="1:36">
      <c r="A9" s="1" t="str">
        <f>Balance_Sheet_Qtr!A9</f>
        <v>Unbilled Receivables, Net</v>
      </c>
      <c r="B9" s="43">
        <v>0</v>
      </c>
      <c r="C9" s="43">
        <v>0</v>
      </c>
      <c r="D9" s="43">
        <v>0</v>
      </c>
      <c r="E9" s="43">
        <v>0</v>
      </c>
      <c r="F9" s="43">
        <v>0</v>
      </c>
      <c r="G9" s="43">
        <v>0</v>
      </c>
      <c r="H9" s="43">
        <v>0</v>
      </c>
      <c r="I9" s="43">
        <v>0</v>
      </c>
      <c r="J9" s="43">
        <v>0</v>
      </c>
      <c r="K9" s="43">
        <v>0</v>
      </c>
      <c r="L9" s="43">
        <v>0</v>
      </c>
      <c r="M9" s="43">
        <v>0</v>
      </c>
      <c r="N9" s="43">
        <v>0</v>
      </c>
      <c r="O9" s="43">
        <v>0</v>
      </c>
      <c r="P9" s="43">
        <v>0</v>
      </c>
      <c r="Q9" s="38">
        <f>Balance_Sheet_Qtr!F9</f>
        <v>0</v>
      </c>
      <c r="R9" s="38">
        <f>Balance_Sheet_Qtr!K9</f>
        <v>0</v>
      </c>
      <c r="S9" s="38">
        <f>Balance_Sheet_Qtr!P9</f>
        <v>0</v>
      </c>
      <c r="T9" s="38">
        <f>Balance_Sheet_Qtr!U9</f>
        <v>10025</v>
      </c>
      <c r="U9" s="37">
        <f>Balance_Sheet_Qtr!Z9</f>
        <v>9043</v>
      </c>
      <c r="V9" s="38">
        <f>Balance_Sheet_Qtr!AE9</f>
        <v>7995</v>
      </c>
      <c r="W9" s="38">
        <f>Balance_Sheet_Qtr!AJ9</f>
        <v>8620</v>
      </c>
      <c r="X9" s="38">
        <f>Balance_Sheet_Qtr!AO9</f>
        <v>8634</v>
      </c>
      <c r="Y9" s="38">
        <f>Balance_Sheet_Qtr!AT9</f>
        <v>8317</v>
      </c>
      <c r="Z9" s="38">
        <f>Balance_Sheet_Qtr!AY9</f>
        <v>8363</v>
      </c>
      <c r="AA9" s="38">
        <f>Balance_Sheet_Qtr!BD9</f>
        <v>9158</v>
      </c>
      <c r="AB9" s="38">
        <f>Balance_Sheet_Qtr!BI9</f>
        <v>8810.4329990298556</v>
      </c>
      <c r="AC9" s="23">
        <f>AC$69*(Income_Statement_Annual!AC$10/(365))</f>
        <v>9056.2824571731417</v>
      </c>
      <c r="AD9" s="23">
        <f>AD$69*(Income_Statement_Annual!AD$10/(365))</f>
        <v>9175.4202871917441</v>
      </c>
      <c r="AE9" s="23">
        <f>AE$69*(Income_Statement_Annual!AE$10/(365))</f>
        <v>9244.9740784047644</v>
      </c>
      <c r="AF9" s="23">
        <f>AF$69*(Income_Statement_Annual!AF$10/(365))</f>
        <v>8572.5344980615464</v>
      </c>
      <c r="AG9" s="22"/>
      <c r="AJ9" s="109"/>
    </row>
    <row r="10" spans="1:36">
      <c r="A10" s="1" t="str">
        <f>Balance_Sheet_Qtr!A10</f>
        <v>Current Portion of Customer Financing, Net</v>
      </c>
      <c r="B10" s="43">
        <v>995</v>
      </c>
      <c r="C10" s="43">
        <v>1053</v>
      </c>
      <c r="D10" s="43">
        <v>1289</v>
      </c>
      <c r="E10" s="43">
        <v>857</v>
      </c>
      <c r="F10" s="43">
        <v>616</v>
      </c>
      <c r="G10" s="43">
        <v>367</v>
      </c>
      <c r="H10" s="43">
        <v>370</v>
      </c>
      <c r="I10" s="43">
        <v>328</v>
      </c>
      <c r="J10" s="43">
        <v>425</v>
      </c>
      <c r="K10" s="43">
        <v>368</v>
      </c>
      <c r="L10" s="43">
        <v>285</v>
      </c>
      <c r="M10" s="43">
        <v>476</v>
      </c>
      <c r="N10" s="43">
        <v>364</v>
      </c>
      <c r="O10" s="43">
        <v>344</v>
      </c>
      <c r="P10" s="43">
        <v>190</v>
      </c>
      <c r="Q10" s="38">
        <f>Balance_Sheet_Qtr!F10</f>
        <v>212</v>
      </c>
      <c r="R10" s="38">
        <f>Balance_Sheet_Qtr!K10</f>
        <v>428</v>
      </c>
      <c r="S10" s="38">
        <f>Balance_Sheet_Qtr!P10</f>
        <v>309</v>
      </c>
      <c r="T10" s="38">
        <f>Balance_Sheet_Qtr!U10</f>
        <v>460</v>
      </c>
      <c r="U10" s="37">
        <f>Balance_Sheet_Qtr!Z10</f>
        <v>162</v>
      </c>
      <c r="V10" s="38">
        <f>Balance_Sheet_Qtr!AE10</f>
        <v>101</v>
      </c>
      <c r="W10" s="38">
        <f>Balance_Sheet_Qtr!AJ10</f>
        <v>117</v>
      </c>
      <c r="X10" s="38">
        <f>Balance_Sheet_Qtr!AO10</f>
        <v>154</v>
      </c>
      <c r="Y10" s="38">
        <f>Balance_Sheet_Qtr!AT10</f>
        <v>99</v>
      </c>
      <c r="Z10" s="38">
        <f>Balance_Sheet_Qtr!AY10</f>
        <v>207</v>
      </c>
      <c r="AA10" s="38">
        <f>Balance_Sheet_Qtr!BD10</f>
        <v>0</v>
      </c>
      <c r="AB10" s="38">
        <f>Balance_Sheet_Qtr!BI10</f>
        <v>0</v>
      </c>
      <c r="AC10" s="43">
        <f>AB10</f>
        <v>0</v>
      </c>
      <c r="AD10" s="43">
        <f>AC10</f>
        <v>0</v>
      </c>
      <c r="AE10" s="43">
        <f>AD10</f>
        <v>0</v>
      </c>
      <c r="AF10" s="43">
        <f>AE10</f>
        <v>0</v>
      </c>
      <c r="AG10" s="41"/>
    </row>
    <row r="11" spans="1:36">
      <c r="A11" s="1" t="str">
        <f>Balance_Sheet_Qtr!A11</f>
        <v>Deferred Income Taxes</v>
      </c>
      <c r="B11" s="43">
        <v>2137</v>
      </c>
      <c r="C11" s="43">
        <v>2444</v>
      </c>
      <c r="D11" s="43">
        <v>2042</v>
      </c>
      <c r="E11" s="43">
        <v>1716</v>
      </c>
      <c r="F11" s="43">
        <v>1991</v>
      </c>
      <c r="G11" s="43">
        <v>2449</v>
      </c>
      <c r="H11" s="43">
        <v>2837</v>
      </c>
      <c r="I11" s="43">
        <v>2341</v>
      </c>
      <c r="J11" s="43">
        <v>1046</v>
      </c>
      <c r="K11" s="43">
        <v>966</v>
      </c>
      <c r="L11" s="43">
        <v>31</v>
      </c>
      <c r="M11" s="43">
        <v>29</v>
      </c>
      <c r="N11" s="43">
        <v>28</v>
      </c>
      <c r="O11" s="43">
        <v>14</v>
      </c>
      <c r="P11" s="43">
        <v>18</v>
      </c>
      <c r="Q11" s="38">
        <f>Balance_Sheet_Qtr!F11</f>
        <v>0</v>
      </c>
      <c r="R11" s="38">
        <f>Balance_Sheet_Qtr!K11</f>
        <v>0</v>
      </c>
      <c r="S11" s="38">
        <f>Balance_Sheet_Qtr!P11</f>
        <v>0</v>
      </c>
      <c r="T11" s="38">
        <f>Balance_Sheet_Qtr!U11</f>
        <v>0</v>
      </c>
      <c r="U11" s="37">
        <f>Balance_Sheet_Qtr!Z11</f>
        <v>0</v>
      </c>
      <c r="V11" s="38">
        <f>Balance_Sheet_Qtr!AE11</f>
        <v>0</v>
      </c>
      <c r="W11" s="38">
        <f>Balance_Sheet_Qtr!AJ11</f>
        <v>0</v>
      </c>
      <c r="X11" s="38">
        <f>Balance_Sheet_Qtr!AO11</f>
        <v>0</v>
      </c>
      <c r="Y11" s="38">
        <f>Balance_Sheet_Qtr!AT11</f>
        <v>0</v>
      </c>
      <c r="Z11" s="38">
        <f>Balance_Sheet_Qtr!AY11</f>
        <v>0</v>
      </c>
      <c r="AA11" s="38">
        <f>Balance_Sheet_Qtr!BD11</f>
        <v>0</v>
      </c>
      <c r="AB11" s="38">
        <f>Balance_Sheet_Qtr!BI11</f>
        <v>0</v>
      </c>
      <c r="AC11" s="43">
        <f t="shared" ref="AC11:AF13" si="0">AB11</f>
        <v>0</v>
      </c>
      <c r="AD11" s="43">
        <f t="shared" si="0"/>
        <v>0</v>
      </c>
      <c r="AE11" s="43">
        <f t="shared" si="0"/>
        <v>0</v>
      </c>
      <c r="AF11" s="43">
        <f t="shared" si="0"/>
        <v>0</v>
      </c>
      <c r="AG11" s="41"/>
    </row>
    <row r="12" spans="1:36">
      <c r="A12" s="1" t="str">
        <f>Balance_Sheet_Qtr!A12</f>
        <v>Inventories</v>
      </c>
      <c r="B12" s="43">
        <v>6794</v>
      </c>
      <c r="C12" s="43">
        <v>6920</v>
      </c>
      <c r="D12" s="43">
        <v>6184</v>
      </c>
      <c r="E12" s="43">
        <v>5338</v>
      </c>
      <c r="F12" s="43">
        <v>4247</v>
      </c>
      <c r="G12" s="43">
        <v>7940</v>
      </c>
      <c r="H12" s="43">
        <v>8105</v>
      </c>
      <c r="I12" s="43">
        <v>9563</v>
      </c>
      <c r="J12" s="43">
        <v>15612</v>
      </c>
      <c r="K12" s="43">
        <v>16933</v>
      </c>
      <c r="L12" s="43">
        <v>24317</v>
      </c>
      <c r="M12" s="43">
        <v>32240</v>
      </c>
      <c r="N12" s="43">
        <v>37751</v>
      </c>
      <c r="O12" s="43">
        <v>42912</v>
      </c>
      <c r="P12" s="43">
        <v>46756</v>
      </c>
      <c r="Q12" s="38">
        <f>Balance_Sheet_Qtr!F12</f>
        <v>47257</v>
      </c>
      <c r="R12" s="38">
        <f>Balance_Sheet_Qtr!K12</f>
        <v>43199</v>
      </c>
      <c r="S12" s="38">
        <f>Balance_Sheet_Qtr!P12</f>
        <v>44344</v>
      </c>
      <c r="T12" s="38">
        <f>Balance_Sheet_Qtr!U12</f>
        <v>62567</v>
      </c>
      <c r="U12" s="37">
        <f>Balance_Sheet_Qtr!Z12</f>
        <v>76622</v>
      </c>
      <c r="V12" s="38">
        <f>Balance_Sheet_Qtr!AE12</f>
        <v>81715</v>
      </c>
      <c r="W12" s="38">
        <f>Balance_Sheet_Qtr!AJ12</f>
        <v>78823</v>
      </c>
      <c r="X12" s="38">
        <f>Balance_Sheet_Qtr!AO12</f>
        <v>78151</v>
      </c>
      <c r="Y12" s="38">
        <f>Balance_Sheet_Qtr!AT12</f>
        <v>79741</v>
      </c>
      <c r="Z12" s="38">
        <f>Balance_Sheet_Qtr!AY12</f>
        <v>87550</v>
      </c>
      <c r="AA12" s="38">
        <f>Balance_Sheet_Qtr!BD12</f>
        <v>84679</v>
      </c>
      <c r="AB12" s="38">
        <f ca="1">Balance_Sheet_Qtr!BI12</f>
        <v>82768.25</v>
      </c>
      <c r="AC12" s="38">
        <f ca="1">Inventory!S124</f>
        <v>81858.25</v>
      </c>
      <c r="AD12" s="38">
        <f ca="1">Inventory!T124</f>
        <v>80198.25</v>
      </c>
      <c r="AE12" s="38">
        <f ca="1">Inventory!U124</f>
        <v>78538.25</v>
      </c>
      <c r="AF12" s="38">
        <f ca="1">Inventory!V124</f>
        <v>76878.25</v>
      </c>
      <c r="AG12" s="37"/>
    </row>
    <row r="13" spans="1:36">
      <c r="A13" s="1" t="str">
        <f>Balance_Sheet_Qtr!A13</f>
        <v>Assets of Discontinued Operations</v>
      </c>
      <c r="B13" s="43">
        <v>0</v>
      </c>
      <c r="C13" s="43">
        <v>0</v>
      </c>
      <c r="D13" s="43">
        <v>0</v>
      </c>
      <c r="E13" s="43">
        <v>0</v>
      </c>
      <c r="F13" s="43">
        <v>70</v>
      </c>
      <c r="G13" s="43">
        <v>0</v>
      </c>
      <c r="H13" s="43">
        <v>0</v>
      </c>
      <c r="I13" s="43">
        <v>0</v>
      </c>
      <c r="J13" s="43">
        <v>0</v>
      </c>
      <c r="K13" s="43">
        <v>0</v>
      </c>
      <c r="L13" s="43">
        <v>0</v>
      </c>
      <c r="M13" s="43">
        <v>0</v>
      </c>
      <c r="N13" s="43">
        <v>0</v>
      </c>
      <c r="O13" s="43">
        <v>0</v>
      </c>
      <c r="P13" s="43">
        <v>0</v>
      </c>
      <c r="Q13" s="38">
        <f>Balance_Sheet_Qtr!F13</f>
        <v>0</v>
      </c>
      <c r="R13" s="38">
        <f>Balance_Sheet_Qtr!K13</f>
        <v>0</v>
      </c>
      <c r="S13" s="38">
        <f>Balance_Sheet_Qtr!P13</f>
        <v>0</v>
      </c>
      <c r="T13" s="38">
        <f>Balance_Sheet_Qtr!U13</f>
        <v>0</v>
      </c>
      <c r="U13" s="37">
        <f>Balance_Sheet_Qtr!Z13</f>
        <v>0</v>
      </c>
      <c r="V13" s="38">
        <f>Balance_Sheet_Qtr!AE13</f>
        <v>0</v>
      </c>
      <c r="W13" s="38">
        <f>Balance_Sheet_Qtr!AJ13</f>
        <v>0</v>
      </c>
      <c r="X13" s="38">
        <f>Balance_Sheet_Qtr!AO13</f>
        <v>0</v>
      </c>
      <c r="Y13" s="38">
        <f>Balance_Sheet_Qtr!AT13</f>
        <v>0</v>
      </c>
      <c r="Z13" s="38">
        <f>Balance_Sheet_Qtr!AY13</f>
        <v>0</v>
      </c>
      <c r="AA13" s="38">
        <f>Balance_Sheet_Qtr!BD13</f>
        <v>0</v>
      </c>
      <c r="AB13" s="38">
        <f>Balance_Sheet_Qtr!BI13</f>
        <v>0</v>
      </c>
      <c r="AC13" s="43">
        <f t="shared" si="0"/>
        <v>0</v>
      </c>
      <c r="AD13" s="43">
        <f t="shared" si="0"/>
        <v>0</v>
      </c>
      <c r="AE13" s="43">
        <f t="shared" si="0"/>
        <v>0</v>
      </c>
      <c r="AF13" s="43">
        <f t="shared" si="0"/>
        <v>0</v>
      </c>
      <c r="AG13" s="41"/>
    </row>
    <row r="14" spans="1:36">
      <c r="A14" s="1" t="str">
        <f>Balance_Sheet_Qtr!A14</f>
        <v>Other Current Assets</v>
      </c>
      <c r="B14" s="43">
        <v>0</v>
      </c>
      <c r="C14" s="43">
        <v>0</v>
      </c>
      <c r="D14" s="43">
        <v>0</v>
      </c>
      <c r="E14" s="43">
        <v>199</v>
      </c>
      <c r="F14" s="43">
        <v>0</v>
      </c>
      <c r="G14" s="43">
        <v>0</v>
      </c>
      <c r="H14" s="43">
        <v>0</v>
      </c>
      <c r="I14" s="43">
        <v>0</v>
      </c>
      <c r="J14" s="43">
        <v>0</v>
      </c>
      <c r="K14" s="43">
        <v>0</v>
      </c>
      <c r="L14" s="43">
        <v>0</v>
      </c>
      <c r="M14" s="43">
        <v>0</v>
      </c>
      <c r="N14" s="43">
        <v>0</v>
      </c>
      <c r="O14" s="43">
        <v>0</v>
      </c>
      <c r="P14" s="43">
        <v>0</v>
      </c>
      <c r="Q14" s="38">
        <f>Balance_Sheet_Qtr!F14</f>
        <v>0</v>
      </c>
      <c r="R14" s="38">
        <f>Balance_Sheet_Qtr!K14</f>
        <v>0</v>
      </c>
      <c r="S14" s="38">
        <f>Balance_Sheet_Qtr!P14</f>
        <v>0</v>
      </c>
      <c r="T14" s="38">
        <f>Balance_Sheet_Qtr!U14</f>
        <v>2335</v>
      </c>
      <c r="U14" s="37">
        <f>Balance_Sheet_Qtr!Z14</f>
        <v>3106</v>
      </c>
      <c r="V14" s="38">
        <f>Balance_Sheet_Qtr!AE14</f>
        <v>4286</v>
      </c>
      <c r="W14" s="38">
        <f>Balance_Sheet_Qtr!AJ14</f>
        <v>2221</v>
      </c>
      <c r="X14" s="38">
        <f>Balance_Sheet_Qtr!AO14</f>
        <v>2814</v>
      </c>
      <c r="Y14" s="38">
        <f>Balance_Sheet_Qtr!AT14</f>
        <v>2482</v>
      </c>
      <c r="Z14" s="38">
        <f>Balance_Sheet_Qtr!AY14</f>
        <v>2944</v>
      </c>
      <c r="AA14" s="38">
        <f>Balance_Sheet_Qtr!BD14</f>
        <v>1559</v>
      </c>
      <c r="AB14" s="38">
        <f>Balance_Sheet_Qtr!BI14</f>
        <v>1495.7246719283244</v>
      </c>
      <c r="AC14" s="23">
        <f>AC75*Income_Statement_Annual!AC$10</f>
        <v>1625.6769328859984</v>
      </c>
      <c r="AD14" s="23">
        <f>AD75*Income_Statement_Annual!AD$10</f>
        <v>1696.6842094155227</v>
      </c>
      <c r="AE14" s="23">
        <f>AE75*Income_Statement_Annual!AE$10</f>
        <v>1755.6792604670861</v>
      </c>
      <c r="AF14" s="23">
        <f>AF75*Income_Statement_Annual!AF$10</f>
        <v>1805.1779375725757</v>
      </c>
      <c r="AG14" s="22"/>
    </row>
    <row r="15" spans="1:36">
      <c r="A15" s="9" t="str">
        <f>Balance_Sheet_Qtr!A15</f>
        <v>Total Current Assets</v>
      </c>
      <c r="B15" s="25">
        <f t="shared" ref="B15:P15" si="1">+SUM(B5:B14)</f>
        <v>15864</v>
      </c>
      <c r="C15" s="25">
        <f t="shared" si="1"/>
        <v>16206</v>
      </c>
      <c r="D15" s="25">
        <f t="shared" si="1"/>
        <v>16855</v>
      </c>
      <c r="E15" s="25">
        <f t="shared" si="1"/>
        <v>17258</v>
      </c>
      <c r="F15" s="25">
        <f t="shared" si="1"/>
        <v>15100</v>
      </c>
      <c r="G15" s="25">
        <f t="shared" si="1"/>
        <v>21968</v>
      </c>
      <c r="H15" s="25">
        <f t="shared" si="1"/>
        <v>22983</v>
      </c>
      <c r="I15" s="25">
        <f t="shared" si="1"/>
        <v>27280</v>
      </c>
      <c r="J15" s="25">
        <f t="shared" si="1"/>
        <v>25964</v>
      </c>
      <c r="K15" s="25">
        <f t="shared" si="1"/>
        <v>35275</v>
      </c>
      <c r="L15" s="25">
        <f t="shared" si="1"/>
        <v>40572</v>
      </c>
      <c r="M15" s="25">
        <f t="shared" si="1"/>
        <v>49810</v>
      </c>
      <c r="N15" s="25">
        <f t="shared" si="1"/>
        <v>57309</v>
      </c>
      <c r="O15" s="25">
        <f t="shared" si="1"/>
        <v>65074</v>
      </c>
      <c r="P15" s="25">
        <f t="shared" si="1"/>
        <v>67785</v>
      </c>
      <c r="Q15" s="178">
        <f>Balance_Sheet_Qtr!F15</f>
        <v>68234</v>
      </c>
      <c r="R15" s="178">
        <f>Balance_Sheet_Qtr!K15</f>
        <v>62488</v>
      </c>
      <c r="S15" s="178">
        <f>Balance_Sheet_Qtr!P15</f>
        <v>65161</v>
      </c>
      <c r="T15" s="178">
        <f>Balance_Sheet_Qtr!U15</f>
        <v>87830</v>
      </c>
      <c r="U15" s="71">
        <f>Balance_Sheet_Qtr!Z15</f>
        <v>102229</v>
      </c>
      <c r="V15" s="178">
        <f>Balance_Sheet_Qtr!AE15</f>
        <v>121642</v>
      </c>
      <c r="W15" s="178">
        <f>Balance_Sheet_Qtr!AJ15</f>
        <v>108666</v>
      </c>
      <c r="X15" s="178">
        <f>Balance_Sheet_Qtr!AO15</f>
        <v>109523</v>
      </c>
      <c r="Y15" s="178">
        <f>Balance_Sheet_Qtr!AT15</f>
        <v>109275</v>
      </c>
      <c r="Z15" s="178">
        <f>Balance_Sheet_Qtr!AY15</f>
        <v>127998</v>
      </c>
      <c r="AA15" s="178">
        <f>Balance_Sheet_Qtr!BD15</f>
        <v>128459</v>
      </c>
      <c r="AB15" s="178">
        <f ca="1">Balance_Sheet_Qtr!BI15</f>
        <v>123460.32329001781</v>
      </c>
      <c r="AC15" s="25">
        <f ca="1">+SUM(AC5:AC14)</f>
        <v>121689.93913365532</v>
      </c>
      <c r="AD15" s="25">
        <f ca="1">+SUM(AD5:AD14)</f>
        <v>128534.37473141823</v>
      </c>
      <c r="AE15" s="25">
        <f ca="1">+SUM(AE5:AE14)</f>
        <v>137546.61247268683</v>
      </c>
      <c r="AF15" s="25">
        <f ca="1">+SUM(AF5:AF14)</f>
        <v>147418.75443496759</v>
      </c>
      <c r="AG15" s="77"/>
    </row>
    <row r="16" spans="1:36">
      <c r="B16" s="23"/>
      <c r="C16" s="23"/>
      <c r="D16" s="23"/>
      <c r="E16" s="23"/>
      <c r="F16" s="23"/>
      <c r="G16" s="23"/>
      <c r="H16" s="23"/>
      <c r="I16" s="23"/>
      <c r="J16" s="23"/>
      <c r="K16" s="23"/>
      <c r="L16" s="23"/>
      <c r="M16" s="23"/>
      <c r="N16" s="23"/>
      <c r="O16" s="23"/>
      <c r="P16" s="23"/>
      <c r="Q16" s="23"/>
      <c r="R16" s="23"/>
      <c r="S16" s="23"/>
      <c r="T16" s="23"/>
      <c r="U16" s="22"/>
      <c r="V16" s="23"/>
      <c r="W16" s="23"/>
      <c r="X16" s="23"/>
      <c r="Y16" s="23"/>
      <c r="Z16" s="23"/>
      <c r="AA16" s="23"/>
      <c r="AB16" s="23"/>
      <c r="AC16" s="201"/>
      <c r="AD16" s="201"/>
      <c r="AE16" s="201"/>
      <c r="AF16" s="201"/>
    </row>
    <row r="17" spans="1:33">
      <c r="A17" s="14" t="str">
        <f>Balance_Sheet_Qtr!A17</f>
        <v>Noncurrent Assets</v>
      </c>
      <c r="B17" s="23"/>
      <c r="C17" s="23"/>
      <c r="D17" s="23"/>
      <c r="E17" s="23"/>
      <c r="F17" s="23"/>
      <c r="G17" s="23"/>
      <c r="H17" s="23"/>
      <c r="I17" s="23"/>
      <c r="J17" s="23"/>
      <c r="K17" s="23"/>
      <c r="L17" s="23"/>
      <c r="M17" s="23"/>
      <c r="N17" s="23"/>
      <c r="O17" s="23"/>
      <c r="P17" s="23"/>
      <c r="Q17" s="23"/>
      <c r="R17" s="23"/>
      <c r="S17" s="23"/>
      <c r="T17" s="23"/>
      <c r="U17" s="22"/>
      <c r="V17" s="23"/>
      <c r="W17" s="23"/>
      <c r="X17" s="23"/>
      <c r="Y17" s="23"/>
      <c r="Z17" s="23"/>
      <c r="AA17" s="23"/>
      <c r="AB17" s="23"/>
      <c r="AC17" s="201"/>
      <c r="AD17" s="201"/>
      <c r="AE17" s="201"/>
      <c r="AF17" s="201"/>
    </row>
    <row r="18" spans="1:33">
      <c r="A18" s="1" t="str">
        <f>Balance_Sheet_Qtr!A18</f>
        <v>Customer Financing, Net</v>
      </c>
      <c r="B18" s="43">
        <v>5964</v>
      </c>
      <c r="C18" s="43">
        <v>9345</v>
      </c>
      <c r="D18" s="43">
        <v>10922</v>
      </c>
      <c r="E18" s="43">
        <v>12094</v>
      </c>
      <c r="F18" s="43">
        <v>10385</v>
      </c>
      <c r="G18" s="43">
        <v>9639</v>
      </c>
      <c r="H18" s="43">
        <v>8520</v>
      </c>
      <c r="I18" s="43">
        <v>6777</v>
      </c>
      <c r="J18" s="43">
        <v>5857</v>
      </c>
      <c r="K18" s="43">
        <v>5466</v>
      </c>
      <c r="L18" s="43">
        <v>4395</v>
      </c>
      <c r="M18" s="43">
        <v>4296</v>
      </c>
      <c r="N18" s="43">
        <v>4056</v>
      </c>
      <c r="O18" s="43">
        <v>3627</v>
      </c>
      <c r="P18" s="43">
        <v>3371</v>
      </c>
      <c r="Q18" s="38">
        <f>Balance_Sheet_Qtr!F18</f>
        <v>3358</v>
      </c>
      <c r="R18" s="38">
        <f>Balance_Sheet_Qtr!K18</f>
        <v>3773</v>
      </c>
      <c r="S18" s="38">
        <f>Balance_Sheet_Qtr!P18</f>
        <v>2740</v>
      </c>
      <c r="T18" s="38">
        <f>Balance_Sheet_Qtr!U18</f>
        <v>2418</v>
      </c>
      <c r="U18" s="37">
        <f>Balance_Sheet_Qtr!Z18</f>
        <v>2136</v>
      </c>
      <c r="V18" s="38">
        <f>Balance_Sheet_Qtr!AE18</f>
        <v>1936</v>
      </c>
      <c r="W18" s="38">
        <f>Balance_Sheet_Qtr!AJ18</f>
        <v>1695</v>
      </c>
      <c r="X18" s="38">
        <f>Balance_Sheet_Qtr!AO18</f>
        <v>1450</v>
      </c>
      <c r="Y18" s="38">
        <f>Balance_Sheet_Qtr!AT18</f>
        <v>860</v>
      </c>
      <c r="Z18" s="38">
        <f>Balance_Sheet_Qtr!AY18</f>
        <v>314</v>
      </c>
      <c r="AA18" s="38">
        <f>Balance_Sheet_Qtr!BD18</f>
        <v>241</v>
      </c>
      <c r="AB18" s="38">
        <f>Balance_Sheet_Qtr!BI18</f>
        <v>241</v>
      </c>
      <c r="AC18" s="43">
        <f>AB18</f>
        <v>241</v>
      </c>
      <c r="AD18" s="43">
        <f>AC18</f>
        <v>241</v>
      </c>
      <c r="AE18" s="43">
        <f>AD18</f>
        <v>241</v>
      </c>
      <c r="AF18" s="43">
        <f>AE18</f>
        <v>241</v>
      </c>
      <c r="AG18" s="41"/>
    </row>
    <row r="19" spans="1:33">
      <c r="A19" s="1" t="str">
        <f>Balance_Sheet_Qtr!A19</f>
        <v>Property, Plant and Equipment, Net</v>
      </c>
      <c r="B19" s="43">
        <v>8814</v>
      </c>
      <c r="C19" s="43">
        <v>8459</v>
      </c>
      <c r="D19" s="43">
        <v>8765</v>
      </c>
      <c r="E19" s="43">
        <v>8432</v>
      </c>
      <c r="F19" s="43">
        <v>8443</v>
      </c>
      <c r="G19" s="43">
        <v>8420</v>
      </c>
      <c r="H19" s="43">
        <v>7675</v>
      </c>
      <c r="I19" s="43">
        <v>8265</v>
      </c>
      <c r="J19" s="43">
        <v>8762</v>
      </c>
      <c r="K19" s="43">
        <v>8784</v>
      </c>
      <c r="L19" s="43">
        <v>8931</v>
      </c>
      <c r="M19" s="43">
        <v>9313</v>
      </c>
      <c r="N19" s="43">
        <v>9660</v>
      </c>
      <c r="O19" s="43">
        <v>10224</v>
      </c>
      <c r="P19" s="43">
        <v>11007</v>
      </c>
      <c r="Q19" s="38">
        <f>Balance_Sheet_Qtr!F19</f>
        <v>12076</v>
      </c>
      <c r="R19" s="38">
        <f>Balance_Sheet_Qtr!K19</f>
        <v>12807</v>
      </c>
      <c r="S19" s="38">
        <f>Balance_Sheet_Qtr!P19</f>
        <v>12672</v>
      </c>
      <c r="T19" s="38">
        <f>Balance_Sheet_Qtr!U19</f>
        <v>12645</v>
      </c>
      <c r="U19" s="37">
        <f>Balance_Sheet_Qtr!Z19</f>
        <v>12502</v>
      </c>
      <c r="V19" s="38">
        <f>Balance_Sheet_Qtr!AE19</f>
        <v>11820</v>
      </c>
      <c r="W19" s="38">
        <f>Balance_Sheet_Qtr!AJ19</f>
        <v>10918</v>
      </c>
      <c r="X19" s="38">
        <f>Balance_Sheet_Qtr!AO19</f>
        <v>10550</v>
      </c>
      <c r="Y19" s="38">
        <f>Balance_Sheet_Qtr!AT19</f>
        <v>10661</v>
      </c>
      <c r="Z19" s="38">
        <f>Balance_Sheet_Qtr!AY19</f>
        <v>11412</v>
      </c>
      <c r="AA19" s="38">
        <f>Balance_Sheet_Qtr!BD19</f>
        <v>15361</v>
      </c>
      <c r="AB19" s="38">
        <f>Balance_Sheet_Qtr!BI19</f>
        <v>17345.664609832187</v>
      </c>
      <c r="AC19" s="229">
        <f>AB19-Cash_Flow_Annual!AC68-Cash_Flow_Annual!AC71-Cash_Flow_Annual!AC33-Cash_Flow_Annual!AC34-Cash_Flow_Annual!AC11</f>
        <v>17769.675144201537</v>
      </c>
      <c r="AD19" s="229">
        <f>AC19-Cash_Flow_Annual!AD68-Cash_Flow_Annual!AD71-Cash_Flow_Annual!AD33-Cash_Flow_Annual!AD34-Cash_Flow_Annual!AD11</f>
        <v>18266.586514527735</v>
      </c>
      <c r="AE19" s="229">
        <f>AD19-Cash_Flow_Annual!AE68-Cash_Flow_Annual!AE71-Cash_Flow_Annual!AE33-Cash_Flow_Annual!AE34-Cash_Flow_Annual!AE11</f>
        <v>18800.491433593885</v>
      </c>
      <c r="AF19" s="229">
        <f>AE19-Cash_Flow_Annual!AF68-Cash_Flow_Annual!AF71-Cash_Flow_Annual!AF33-Cash_Flow_Annual!AF34-Cash_Flow_Annual!AF11</f>
        <v>19346.367205063234</v>
      </c>
      <c r="AG19" s="109"/>
    </row>
    <row r="20" spans="1:33">
      <c r="A20" s="1" t="str">
        <f>Balance_Sheet_Qtr!A20</f>
        <v>Goodwill</v>
      </c>
      <c r="B20" s="43">
        <v>4189</v>
      </c>
      <c r="C20" s="43">
        <v>5666</v>
      </c>
      <c r="D20" s="43">
        <v>2760</v>
      </c>
      <c r="E20" s="43">
        <v>1913</v>
      </c>
      <c r="F20" s="43">
        <v>1948</v>
      </c>
      <c r="G20" s="43">
        <v>1924</v>
      </c>
      <c r="H20" s="43">
        <v>3047</v>
      </c>
      <c r="I20" s="43">
        <v>3081</v>
      </c>
      <c r="J20" s="43">
        <v>3647</v>
      </c>
      <c r="K20" s="43">
        <v>4319</v>
      </c>
      <c r="L20" s="43">
        <v>4937</v>
      </c>
      <c r="M20" s="43">
        <v>4945</v>
      </c>
      <c r="N20" s="43">
        <v>5035</v>
      </c>
      <c r="O20" s="43">
        <v>5043</v>
      </c>
      <c r="P20" s="43">
        <v>5119</v>
      </c>
      <c r="Q20" s="38">
        <f>Balance_Sheet_Qtr!F20</f>
        <v>5126</v>
      </c>
      <c r="R20" s="38">
        <f>Balance_Sheet_Qtr!K20</f>
        <v>5324</v>
      </c>
      <c r="S20" s="38">
        <f>Balance_Sheet_Qtr!P20</f>
        <v>5559</v>
      </c>
      <c r="T20" s="38">
        <f>Balance_Sheet_Qtr!U20</f>
        <v>7840</v>
      </c>
      <c r="U20" s="37">
        <f>Balance_Sheet_Qtr!Z20</f>
        <v>8060</v>
      </c>
      <c r="V20" s="38">
        <f>Balance_Sheet_Qtr!AE20</f>
        <v>8081</v>
      </c>
      <c r="W20" s="38">
        <f>Balance_Sheet_Qtr!AJ20</f>
        <v>8068</v>
      </c>
      <c r="X20" s="38">
        <f>Balance_Sheet_Qtr!AO20</f>
        <v>8057</v>
      </c>
      <c r="Y20" s="38">
        <f>Balance_Sheet_Qtr!AT20</f>
        <v>8093</v>
      </c>
      <c r="Z20" s="38">
        <f>Balance_Sheet_Qtr!AY20</f>
        <v>8084</v>
      </c>
      <c r="AA20" s="38">
        <f>Balance_Sheet_Qtr!BD20</f>
        <v>17275</v>
      </c>
      <c r="AB20" s="38">
        <f>Balance_Sheet_Qtr!BI20</f>
        <v>17275</v>
      </c>
      <c r="AC20" s="23">
        <f>AB20-Cash_Flow_Annual!AC35-Cash_Flow_Annual!AC36</f>
        <v>17275</v>
      </c>
      <c r="AD20" s="23">
        <f>AC20-Cash_Flow_Annual!AD35-Cash_Flow_Annual!AD36</f>
        <v>17275</v>
      </c>
      <c r="AE20" s="23">
        <f>AD20-Cash_Flow_Annual!AE35-Cash_Flow_Annual!AE36</f>
        <v>17275</v>
      </c>
      <c r="AF20" s="23">
        <f>AE20-Cash_Flow_Annual!AF35-Cash_Flow_Annual!AF36</f>
        <v>17275</v>
      </c>
      <c r="AG20" s="22"/>
    </row>
    <row r="21" spans="1:33">
      <c r="A21" s="1" t="str">
        <f>Balance_Sheet_Qtr!A21</f>
        <v>Acquired Intangible Assets, Net</v>
      </c>
      <c r="B21" s="43">
        <f>1415-390</f>
        <v>1025</v>
      </c>
      <c r="C21" s="43">
        <f>1449-672</f>
        <v>777</v>
      </c>
      <c r="D21" s="43">
        <v>1128</v>
      </c>
      <c r="E21" s="43">
        <v>1035</v>
      </c>
      <c r="F21" s="43">
        <v>955</v>
      </c>
      <c r="G21" s="43">
        <v>875</v>
      </c>
      <c r="H21" s="43">
        <v>1698</v>
      </c>
      <c r="I21" s="43">
        <v>2093</v>
      </c>
      <c r="J21" s="43">
        <v>2685</v>
      </c>
      <c r="K21" s="43">
        <v>2877</v>
      </c>
      <c r="L21" s="43">
        <v>2979</v>
      </c>
      <c r="M21" s="43">
        <v>3044</v>
      </c>
      <c r="N21" s="43">
        <v>3111</v>
      </c>
      <c r="O21" s="43">
        <v>3052</v>
      </c>
      <c r="P21" s="43">
        <v>2869</v>
      </c>
      <c r="Q21" s="38">
        <f>Balance_Sheet_Qtr!F21</f>
        <v>2657</v>
      </c>
      <c r="R21" s="38">
        <f>Balance_Sheet_Qtr!K21</f>
        <v>2540</v>
      </c>
      <c r="S21" s="38">
        <f>Balance_Sheet_Qtr!P21</f>
        <v>2573</v>
      </c>
      <c r="T21" s="38">
        <f>Balance_Sheet_Qtr!U21</f>
        <v>3429</v>
      </c>
      <c r="U21" s="37">
        <f>Balance_Sheet_Qtr!Z21</f>
        <v>3338</v>
      </c>
      <c r="V21" s="38">
        <f>Balance_Sheet_Qtr!AE21</f>
        <v>2843</v>
      </c>
      <c r="W21" s="38">
        <f>Balance_Sheet_Qtr!AJ21</f>
        <v>2562</v>
      </c>
      <c r="X21" s="38">
        <f>Balance_Sheet_Qtr!AO21</f>
        <v>2311</v>
      </c>
      <c r="Y21" s="38">
        <f>Balance_Sheet_Qtr!AT21</f>
        <v>2094</v>
      </c>
      <c r="Z21" s="38">
        <f>Balance_Sheet_Qtr!AY21</f>
        <v>1957</v>
      </c>
      <c r="AA21" s="38">
        <f>Balance_Sheet_Qtr!BD21</f>
        <v>1567</v>
      </c>
      <c r="AB21" s="38">
        <f>Balance_Sheet_Qtr!BI21</f>
        <v>1567</v>
      </c>
      <c r="AC21" s="23">
        <f>AB21-Cash_Flow_Annual!AC70-Cash_Flow_Annual!AC39-Cash_Flow_Annual!AC46</f>
        <v>1567</v>
      </c>
      <c r="AD21" s="23">
        <f>AC21-Cash_Flow_Annual!AD70-Cash_Flow_Annual!AD39-Cash_Flow_Annual!AD46</f>
        <v>1567</v>
      </c>
      <c r="AE21" s="23">
        <f>AD21-Cash_Flow_Annual!AE70-Cash_Flow_Annual!AE39-Cash_Flow_Annual!AE46</f>
        <v>1567</v>
      </c>
      <c r="AF21" s="23">
        <f>AE21-Cash_Flow_Annual!AF70-Cash_Flow_Annual!AF39-Cash_Flow_Annual!AF46</f>
        <v>1567</v>
      </c>
      <c r="AG21" s="22"/>
    </row>
    <row r="22" spans="1:33">
      <c r="A22" s="1" t="str">
        <f>Balance_Sheet_Qtr!A22</f>
        <v>Deferred Income Taxes</v>
      </c>
      <c r="B22" s="43">
        <v>60</v>
      </c>
      <c r="C22" s="43">
        <v>0</v>
      </c>
      <c r="D22" s="43">
        <v>2272</v>
      </c>
      <c r="E22" s="43">
        <v>1242</v>
      </c>
      <c r="F22" s="43">
        <v>154</v>
      </c>
      <c r="G22" s="43">
        <v>140</v>
      </c>
      <c r="H22" s="43">
        <v>1051</v>
      </c>
      <c r="I22" s="43">
        <v>197</v>
      </c>
      <c r="J22" s="43">
        <v>4114</v>
      </c>
      <c r="K22" s="43">
        <v>3062</v>
      </c>
      <c r="L22" s="43">
        <v>4031</v>
      </c>
      <c r="M22" s="43">
        <v>5892</v>
      </c>
      <c r="N22" s="43">
        <v>6753</v>
      </c>
      <c r="O22" s="43">
        <v>2939</v>
      </c>
      <c r="P22" s="43">
        <v>6576</v>
      </c>
      <c r="Q22" s="38">
        <f>Balance_Sheet_Qtr!F22</f>
        <v>265</v>
      </c>
      <c r="R22" s="38">
        <f>Balance_Sheet_Qtr!K22</f>
        <v>332</v>
      </c>
      <c r="S22" s="38">
        <f>Balance_Sheet_Qtr!P22</f>
        <v>341</v>
      </c>
      <c r="T22" s="38">
        <f>Balance_Sheet_Qtr!U22</f>
        <v>284</v>
      </c>
      <c r="U22" s="37">
        <f>Balance_Sheet_Qtr!Z22</f>
        <v>683</v>
      </c>
      <c r="V22" s="38">
        <f>Balance_Sheet_Qtr!AE22</f>
        <v>86</v>
      </c>
      <c r="W22" s="38">
        <f>Balance_Sheet_Qtr!AJ22</f>
        <v>77</v>
      </c>
      <c r="X22" s="38">
        <f>Balance_Sheet_Qtr!AO22</f>
        <v>63</v>
      </c>
      <c r="Y22" s="38">
        <f>Balance_Sheet_Qtr!AT22</f>
        <v>59</v>
      </c>
      <c r="Z22" s="38">
        <f>Balance_Sheet_Qtr!AY22</f>
        <v>185</v>
      </c>
      <c r="AA22" s="38">
        <f>Balance_Sheet_Qtr!BD22</f>
        <v>107</v>
      </c>
      <c r="AB22" s="38">
        <f>Balance_Sheet_Qtr!BI22</f>
        <v>107</v>
      </c>
      <c r="AC22" s="43">
        <f t="shared" ref="AC22:AF24" si="2">AB22</f>
        <v>107</v>
      </c>
      <c r="AD22" s="43">
        <f t="shared" si="2"/>
        <v>107</v>
      </c>
      <c r="AE22" s="43">
        <f t="shared" si="2"/>
        <v>107</v>
      </c>
      <c r="AF22" s="43">
        <f t="shared" si="2"/>
        <v>107</v>
      </c>
      <c r="AG22" s="41"/>
    </row>
    <row r="23" spans="1:33">
      <c r="A23" s="1" t="str">
        <f>Balance_Sheet_Qtr!A23</f>
        <v xml:space="preserve">Investments </v>
      </c>
      <c r="B23" s="43">
        <v>0</v>
      </c>
      <c r="C23" s="43">
        <v>0</v>
      </c>
      <c r="D23" s="43">
        <v>0</v>
      </c>
      <c r="E23" s="43">
        <v>0</v>
      </c>
      <c r="F23" s="43">
        <v>3050</v>
      </c>
      <c r="G23" s="43">
        <v>2852</v>
      </c>
      <c r="H23" s="43">
        <v>4085</v>
      </c>
      <c r="I23" s="43">
        <v>4111</v>
      </c>
      <c r="J23" s="43">
        <v>1328</v>
      </c>
      <c r="K23" s="43">
        <v>1030</v>
      </c>
      <c r="L23" s="43">
        <v>1111</v>
      </c>
      <c r="M23" s="43">
        <v>1043</v>
      </c>
      <c r="N23" s="43">
        <v>1180</v>
      </c>
      <c r="O23" s="43">
        <v>1204</v>
      </c>
      <c r="P23" s="43">
        <v>1154</v>
      </c>
      <c r="Q23" s="38">
        <f>Balance_Sheet_Qtr!F23</f>
        <v>1284</v>
      </c>
      <c r="R23" s="38">
        <f>Balance_Sheet_Qtr!K23</f>
        <v>1317</v>
      </c>
      <c r="S23" s="38">
        <f>Balance_Sheet_Qtr!P23</f>
        <v>1260</v>
      </c>
      <c r="T23" s="38">
        <f>Balance_Sheet_Qtr!U23</f>
        <v>1087</v>
      </c>
      <c r="U23" s="37">
        <f>Balance_Sheet_Qtr!Z23</f>
        <v>1092</v>
      </c>
      <c r="V23" s="38">
        <f>Balance_Sheet_Qtr!AE23</f>
        <v>1016</v>
      </c>
      <c r="W23" s="38">
        <f>Balance_Sheet_Qtr!AJ23</f>
        <v>975</v>
      </c>
      <c r="X23" s="38">
        <f>Balance_Sheet_Qtr!AO23</f>
        <v>983</v>
      </c>
      <c r="Y23" s="38">
        <f>Balance_Sheet_Qtr!AT23</f>
        <v>1035</v>
      </c>
      <c r="Z23" s="38">
        <f>Balance_Sheet_Qtr!AY23</f>
        <v>999</v>
      </c>
      <c r="AA23" s="38">
        <f>Balance_Sheet_Qtr!BD23</f>
        <v>1048</v>
      </c>
      <c r="AB23" s="38">
        <f>Balance_Sheet_Qtr!BI23</f>
        <v>1048</v>
      </c>
      <c r="AC23" s="270">
        <f t="shared" si="2"/>
        <v>1048</v>
      </c>
      <c r="AD23" s="270">
        <f t="shared" si="2"/>
        <v>1048</v>
      </c>
      <c r="AE23" s="270">
        <f t="shared" si="2"/>
        <v>1048</v>
      </c>
      <c r="AF23" s="270">
        <f t="shared" si="2"/>
        <v>1048</v>
      </c>
      <c r="AG23" s="312"/>
    </row>
    <row r="24" spans="1:33">
      <c r="A24" s="1" t="str">
        <f>Balance_Sheet_Qtr!A24</f>
        <v>Other Assets</v>
      </c>
      <c r="B24" s="43">
        <f>1267+4845</f>
        <v>6112</v>
      </c>
      <c r="C24" s="43">
        <f>2052+5838</f>
        <v>7890</v>
      </c>
      <c r="D24" s="43">
        <f>2969+6671</f>
        <v>9640</v>
      </c>
      <c r="E24" s="43">
        <f>2519+8542</f>
        <v>11061</v>
      </c>
      <c r="F24" s="43">
        <f>1340+12588</f>
        <v>13928</v>
      </c>
      <c r="G24" s="43">
        <f>989+13251</f>
        <v>14240</v>
      </c>
      <c r="H24" s="43">
        <v>2735</v>
      </c>
      <c r="I24" s="43">
        <f>1258+5924</f>
        <v>7182</v>
      </c>
      <c r="J24" s="43">
        <f>1406+16</f>
        <v>1422</v>
      </c>
      <c r="K24" s="43">
        <f>1224+16</f>
        <v>1240</v>
      </c>
      <c r="L24" s="43">
        <f>1603+6</f>
        <v>1609</v>
      </c>
      <c r="M24" s="43">
        <v>1643</v>
      </c>
      <c r="N24" s="43">
        <v>1792</v>
      </c>
      <c r="O24" s="43">
        <v>1500</v>
      </c>
      <c r="P24" s="43">
        <v>1317</v>
      </c>
      <c r="Q24" s="38">
        <f>Balance_Sheet_Qtr!F24</f>
        <v>1408</v>
      </c>
      <c r="R24" s="38">
        <f>Balance_Sheet_Qtr!K24</f>
        <v>1416</v>
      </c>
      <c r="S24" s="38">
        <f>Balance_Sheet_Qtr!P24</f>
        <v>2027</v>
      </c>
      <c r="T24" s="38">
        <f>Balance_Sheet_Qtr!U24</f>
        <v>1826</v>
      </c>
      <c r="U24" s="37">
        <f>Balance_Sheet_Qtr!Z24</f>
        <v>3585</v>
      </c>
      <c r="V24" s="38">
        <f>Balance_Sheet_Qtr!AE24</f>
        <v>4712</v>
      </c>
      <c r="W24" s="38">
        <f>Balance_Sheet_Qtr!AJ24</f>
        <v>5591</v>
      </c>
      <c r="X24" s="38">
        <f>Balance_Sheet_Qtr!AO24</f>
        <v>4163</v>
      </c>
      <c r="Y24" s="38">
        <f>Balance_Sheet_Qtr!AT24</f>
        <v>4935</v>
      </c>
      <c r="Z24" s="38">
        <f>Balance_Sheet_Qtr!AY24</f>
        <v>5414</v>
      </c>
      <c r="AA24" s="38">
        <f>Balance_Sheet_Qtr!BD24</f>
        <v>4177</v>
      </c>
      <c r="AB24" s="38">
        <f>Balance_Sheet_Qtr!BI24</f>
        <v>4177</v>
      </c>
      <c r="AC24" s="43">
        <f t="shared" si="2"/>
        <v>4177</v>
      </c>
      <c r="AD24" s="43">
        <f t="shared" si="2"/>
        <v>4177</v>
      </c>
      <c r="AE24" s="43">
        <f t="shared" si="2"/>
        <v>4177</v>
      </c>
      <c r="AF24" s="43">
        <f t="shared" si="2"/>
        <v>4177</v>
      </c>
      <c r="AG24" s="41"/>
    </row>
    <row r="25" spans="1:33">
      <c r="A25" s="9" t="str">
        <f>Balance_Sheet_Qtr!A25</f>
        <v>Total Noncurrent Assets</v>
      </c>
      <c r="B25" s="25">
        <f t="shared" ref="B25:O25" si="3">SUM(B18:B24)</f>
        <v>26164</v>
      </c>
      <c r="C25" s="25">
        <f t="shared" si="3"/>
        <v>32137</v>
      </c>
      <c r="D25" s="25">
        <f t="shared" si="3"/>
        <v>35487</v>
      </c>
      <c r="E25" s="25">
        <f t="shared" si="3"/>
        <v>35777</v>
      </c>
      <c r="F25" s="25">
        <f t="shared" si="3"/>
        <v>38863</v>
      </c>
      <c r="G25" s="25">
        <f t="shared" si="3"/>
        <v>38090</v>
      </c>
      <c r="H25" s="25">
        <f t="shared" si="3"/>
        <v>28811</v>
      </c>
      <c r="I25" s="25">
        <f t="shared" si="3"/>
        <v>31706</v>
      </c>
      <c r="J25" s="25">
        <f t="shared" si="3"/>
        <v>27815</v>
      </c>
      <c r="K25" s="25">
        <f t="shared" si="3"/>
        <v>26778</v>
      </c>
      <c r="L25" s="25">
        <f t="shared" si="3"/>
        <v>27993</v>
      </c>
      <c r="M25" s="25">
        <f t="shared" si="3"/>
        <v>30176</v>
      </c>
      <c r="N25" s="25">
        <f t="shared" si="3"/>
        <v>31587</v>
      </c>
      <c r="O25" s="25">
        <f t="shared" si="3"/>
        <v>27589</v>
      </c>
      <c r="P25" s="25">
        <f>SUM(P18:P24)</f>
        <v>31413</v>
      </c>
      <c r="Q25" s="178">
        <f>Balance_Sheet_Qtr!F25</f>
        <v>26174</v>
      </c>
      <c r="R25" s="178">
        <f>Balance_Sheet_Qtr!K25</f>
        <v>27509</v>
      </c>
      <c r="S25" s="178">
        <f>Balance_Sheet_Qtr!P25</f>
        <v>27172</v>
      </c>
      <c r="T25" s="178">
        <f>Balance_Sheet_Qtr!U25</f>
        <v>29529</v>
      </c>
      <c r="U25" s="71">
        <f>Balance_Sheet_Qtr!Z25</f>
        <v>31396</v>
      </c>
      <c r="V25" s="178">
        <f>Balance_Sheet_Qtr!AE25</f>
        <v>30494</v>
      </c>
      <c r="W25" s="178">
        <f>Balance_Sheet_Qtr!AJ25</f>
        <v>29886</v>
      </c>
      <c r="X25" s="178">
        <f>Balance_Sheet_Qtr!AO25</f>
        <v>27577</v>
      </c>
      <c r="Y25" s="178">
        <f>Balance_Sheet_Qtr!AT25</f>
        <v>27737</v>
      </c>
      <c r="Z25" s="178">
        <f>Balance_Sheet_Qtr!AY25</f>
        <v>28365</v>
      </c>
      <c r="AA25" s="178">
        <f>Balance_Sheet_Qtr!BD25</f>
        <v>39776</v>
      </c>
      <c r="AB25" s="178">
        <f>Balance_Sheet_Qtr!BI25</f>
        <v>41760.664609832187</v>
      </c>
      <c r="AC25" s="25">
        <f>SUM(AC18:AC24)</f>
        <v>42184.675144201537</v>
      </c>
      <c r="AD25" s="25">
        <f>SUM(AD18:AD24)</f>
        <v>42681.586514527735</v>
      </c>
      <c r="AE25" s="25">
        <f>SUM(AE18:AE24)</f>
        <v>43215.491433593881</v>
      </c>
      <c r="AF25" s="25">
        <f>SUM(AF18:AF24)</f>
        <v>43761.36720506323</v>
      </c>
      <c r="AG25" s="77"/>
    </row>
    <row r="26" spans="1:33">
      <c r="B26" s="23"/>
      <c r="C26" s="23"/>
      <c r="D26" s="23"/>
      <c r="E26" s="23"/>
      <c r="F26" s="23"/>
      <c r="G26" s="23"/>
      <c r="H26" s="23"/>
      <c r="I26" s="23"/>
      <c r="J26" s="23"/>
      <c r="K26" s="23"/>
      <c r="L26" s="23"/>
      <c r="M26" s="23"/>
      <c r="N26" s="23"/>
      <c r="O26" s="23"/>
      <c r="P26" s="23"/>
      <c r="Q26" s="23"/>
      <c r="R26" s="23"/>
      <c r="S26" s="23"/>
      <c r="T26" s="23"/>
      <c r="U26" s="22"/>
      <c r="V26" s="23"/>
      <c r="W26" s="23"/>
      <c r="X26" s="23"/>
      <c r="Y26" s="23"/>
      <c r="Z26" s="23"/>
      <c r="AA26" s="23"/>
      <c r="AB26" s="23"/>
      <c r="AC26" s="23"/>
      <c r="AD26" s="23"/>
      <c r="AE26" s="23"/>
      <c r="AF26" s="23"/>
      <c r="AG26" s="22"/>
    </row>
    <row r="27" spans="1:33">
      <c r="A27" s="9" t="str">
        <f>Balance_Sheet_Qtr!A27</f>
        <v>Total Assets</v>
      </c>
      <c r="B27" s="25">
        <f t="shared" ref="B27:P27" si="4">+B25+B15</f>
        <v>42028</v>
      </c>
      <c r="C27" s="25">
        <f t="shared" si="4"/>
        <v>48343</v>
      </c>
      <c r="D27" s="25">
        <f t="shared" si="4"/>
        <v>52342</v>
      </c>
      <c r="E27" s="25">
        <f t="shared" si="4"/>
        <v>53035</v>
      </c>
      <c r="F27" s="25">
        <f t="shared" si="4"/>
        <v>53963</v>
      </c>
      <c r="G27" s="25">
        <f t="shared" si="4"/>
        <v>60058</v>
      </c>
      <c r="H27" s="25">
        <f t="shared" si="4"/>
        <v>51794</v>
      </c>
      <c r="I27" s="25">
        <f t="shared" si="4"/>
        <v>58986</v>
      </c>
      <c r="J27" s="25">
        <f t="shared" si="4"/>
        <v>53779</v>
      </c>
      <c r="K27" s="25">
        <f t="shared" si="4"/>
        <v>62053</v>
      </c>
      <c r="L27" s="25">
        <f t="shared" si="4"/>
        <v>68565</v>
      </c>
      <c r="M27" s="25">
        <f t="shared" si="4"/>
        <v>79986</v>
      </c>
      <c r="N27" s="25">
        <f t="shared" si="4"/>
        <v>88896</v>
      </c>
      <c r="O27" s="25">
        <f t="shared" si="4"/>
        <v>92663</v>
      </c>
      <c r="P27" s="25">
        <f t="shared" si="4"/>
        <v>99198</v>
      </c>
      <c r="Q27" s="178">
        <f>Balance_Sheet_Qtr!F27</f>
        <v>94408</v>
      </c>
      <c r="R27" s="178">
        <f>Balance_Sheet_Qtr!K27</f>
        <v>89997</v>
      </c>
      <c r="S27" s="178">
        <f>Balance_Sheet_Qtr!P27</f>
        <v>92333</v>
      </c>
      <c r="T27" s="178">
        <f>Balance_Sheet_Qtr!U27</f>
        <v>117359</v>
      </c>
      <c r="U27" s="71">
        <f>Balance_Sheet_Qtr!Z27</f>
        <v>133625</v>
      </c>
      <c r="V27" s="178">
        <f>Balance_Sheet_Qtr!AE27</f>
        <v>152136</v>
      </c>
      <c r="W27" s="178">
        <f>Balance_Sheet_Qtr!AJ27</f>
        <v>138552</v>
      </c>
      <c r="X27" s="178">
        <f>Balance_Sheet_Qtr!AO27</f>
        <v>137100</v>
      </c>
      <c r="Y27" s="178">
        <f>Balance_Sheet_Qtr!AT27</f>
        <v>137012</v>
      </c>
      <c r="Z27" s="178">
        <f>Balance_Sheet_Qtr!AY27</f>
        <v>156363</v>
      </c>
      <c r="AA27" s="178">
        <f>Balance_Sheet_Qtr!BD27</f>
        <v>168235</v>
      </c>
      <c r="AB27" s="178">
        <f ca="1">Balance_Sheet_Qtr!BI27</f>
        <v>165220.98789985001</v>
      </c>
      <c r="AC27" s="25">
        <f ca="1">+AC25+AC15</f>
        <v>163874.61427785686</v>
      </c>
      <c r="AD27" s="25">
        <f ca="1">+AD25+AD15</f>
        <v>171215.96124594595</v>
      </c>
      <c r="AE27" s="25">
        <f ca="1">+AE25+AE15</f>
        <v>180762.10390628071</v>
      </c>
      <c r="AF27" s="25">
        <f ca="1">+AF25+AF15</f>
        <v>191180.12164003082</v>
      </c>
      <c r="AG27" s="77"/>
    </row>
    <row r="28" spans="1:33">
      <c r="B28" s="23"/>
      <c r="C28" s="23"/>
      <c r="D28" s="23"/>
      <c r="E28" s="23"/>
      <c r="F28" s="23"/>
      <c r="G28" s="23"/>
      <c r="H28" s="23"/>
      <c r="I28" s="23"/>
      <c r="J28" s="23"/>
      <c r="K28" s="23"/>
      <c r="L28" s="23"/>
      <c r="M28" s="23"/>
      <c r="N28" s="23"/>
      <c r="O28" s="23"/>
      <c r="P28" s="23"/>
      <c r="Q28" s="23"/>
      <c r="R28" s="23"/>
      <c r="S28" s="23"/>
      <c r="T28" s="23"/>
      <c r="U28" s="22"/>
      <c r="V28" s="23"/>
      <c r="W28" s="23"/>
      <c r="X28" s="23"/>
      <c r="Y28" s="23"/>
      <c r="Z28" s="23"/>
      <c r="AA28" s="23"/>
      <c r="AB28" s="23"/>
      <c r="AC28" s="201"/>
      <c r="AD28" s="201"/>
      <c r="AE28" s="201"/>
      <c r="AF28" s="201"/>
    </row>
    <row r="29" spans="1:33">
      <c r="A29" s="5" t="str">
        <f>Balance_Sheet_Qtr!A29</f>
        <v>Liabilities</v>
      </c>
      <c r="B29" s="23"/>
      <c r="C29" s="23"/>
      <c r="D29" s="23"/>
      <c r="E29" s="23"/>
      <c r="F29" s="23"/>
      <c r="G29" s="23"/>
      <c r="H29" s="23"/>
      <c r="I29" s="23"/>
      <c r="J29" s="23"/>
      <c r="K29" s="23"/>
      <c r="L29" s="23"/>
      <c r="M29" s="23"/>
      <c r="N29" s="23"/>
      <c r="O29" s="23"/>
      <c r="P29" s="23"/>
      <c r="Q29" s="23"/>
      <c r="R29" s="23"/>
      <c r="S29" s="23"/>
      <c r="T29" s="23"/>
      <c r="U29" s="22"/>
      <c r="V29" s="23"/>
      <c r="W29" s="23"/>
      <c r="X29" s="23"/>
      <c r="Y29" s="23"/>
      <c r="Z29" s="23"/>
      <c r="AA29" s="23"/>
      <c r="AB29" s="23"/>
      <c r="AC29" s="201"/>
      <c r="AD29" s="201"/>
      <c r="AE29" s="201"/>
      <c r="AF29" s="201"/>
    </row>
    <row r="30" spans="1:33">
      <c r="A30" t="str">
        <f>Balance_Sheet_Qtr!A30</f>
        <v>Current Liabilities</v>
      </c>
      <c r="B30" s="23"/>
      <c r="C30" s="23"/>
      <c r="D30" s="23"/>
      <c r="E30" s="23"/>
      <c r="F30" s="23"/>
      <c r="G30" s="23"/>
      <c r="H30" s="23"/>
      <c r="I30" s="23"/>
      <c r="J30" s="23"/>
      <c r="K30" s="23"/>
      <c r="L30" s="23"/>
      <c r="M30" s="23"/>
      <c r="N30" s="23"/>
      <c r="O30" s="23"/>
      <c r="P30" s="23"/>
      <c r="Q30" s="23"/>
      <c r="R30" s="23"/>
      <c r="S30" s="23"/>
      <c r="T30" s="23"/>
      <c r="U30" s="22"/>
      <c r="V30" s="23"/>
      <c r="W30" s="23"/>
      <c r="X30" s="23"/>
      <c r="Y30" s="23"/>
      <c r="Z30" s="23"/>
      <c r="AA30" s="23"/>
      <c r="AB30" s="23"/>
      <c r="AC30" s="201"/>
      <c r="AD30" s="201"/>
      <c r="AE30" s="201"/>
      <c r="AF30" s="201"/>
    </row>
    <row r="31" spans="1:33">
      <c r="A31" s="1" t="str">
        <f>Balance_Sheet_Qtr!A31</f>
        <v>Accounts Payable</v>
      </c>
      <c r="B31" s="43">
        <v>11979</v>
      </c>
      <c r="C31" s="43">
        <v>13872</v>
      </c>
      <c r="D31" s="43">
        <v>13739</v>
      </c>
      <c r="E31" s="43">
        <v>13563</v>
      </c>
      <c r="F31" s="43">
        <v>14869</v>
      </c>
      <c r="G31" s="43">
        <v>16513</v>
      </c>
      <c r="H31" s="43">
        <v>16201</v>
      </c>
      <c r="I31" s="43">
        <v>16676</v>
      </c>
      <c r="J31" s="43">
        <v>17587</v>
      </c>
      <c r="K31" s="43">
        <v>7096</v>
      </c>
      <c r="L31" s="43">
        <v>7715</v>
      </c>
      <c r="M31" s="43">
        <v>8406</v>
      </c>
      <c r="N31" s="43">
        <v>9394</v>
      </c>
      <c r="O31" s="43">
        <v>9498</v>
      </c>
      <c r="P31" s="43">
        <v>10667</v>
      </c>
      <c r="Q31" s="38">
        <f>Balance_Sheet_Qtr!F31</f>
        <v>10800</v>
      </c>
      <c r="R31" s="38">
        <f>Balance_Sheet_Qtr!K31</f>
        <v>11190</v>
      </c>
      <c r="S31" s="38">
        <f>Balance_Sheet_Qtr!P31</f>
        <v>12202</v>
      </c>
      <c r="T31" s="38">
        <f>Balance_Sheet_Qtr!U31</f>
        <v>12916</v>
      </c>
      <c r="U31" s="37">
        <f>Balance_Sheet_Qtr!Z31</f>
        <v>15553</v>
      </c>
      <c r="V31" s="38">
        <f>Balance_Sheet_Qtr!AE31</f>
        <v>12928</v>
      </c>
      <c r="W31" s="38">
        <f>Balance_Sheet_Qtr!AJ31</f>
        <v>9261</v>
      </c>
      <c r="X31" s="38">
        <f>Balance_Sheet_Qtr!AO31</f>
        <v>10200</v>
      </c>
      <c r="Y31" s="38">
        <f>Balance_Sheet_Qtr!AT31</f>
        <v>11964</v>
      </c>
      <c r="Z31" s="38">
        <f>Balance_Sheet_Qtr!AY31</f>
        <v>11364</v>
      </c>
      <c r="AA31" s="38">
        <f>Balance_Sheet_Qtr!BD31</f>
        <v>13109</v>
      </c>
      <c r="AB31" s="38">
        <f>Balance_Sheet_Qtr!BI31</f>
        <v>13522.990184557453</v>
      </c>
      <c r="AC31" s="23">
        <f>AC70*(-Income_Statement_Annual!AC100/(365))</f>
        <v>13733.718729020917</v>
      </c>
      <c r="AD31" s="23">
        <f>AD70*(-Income_Statement_Annual!AD100/(365))</f>
        <v>14026.279178993133</v>
      </c>
      <c r="AE31" s="23">
        <f>AE70*(-Income_Statement_Annual!AE100/(365))</f>
        <v>14021.383682908376</v>
      </c>
      <c r="AF31" s="23">
        <f>AF70*(-Income_Statement_Annual!AF100/(365))</f>
        <v>14854.636149030439</v>
      </c>
      <c r="AG31" s="22"/>
    </row>
    <row r="32" spans="1:33">
      <c r="A32" s="1" t="str">
        <f>Balance_Sheet_Qtr!A32</f>
        <v>Accrued Liabilities</v>
      </c>
      <c r="B32" s="43">
        <v>0</v>
      </c>
      <c r="C32" s="43">
        <v>0</v>
      </c>
      <c r="D32" s="43">
        <v>0</v>
      </c>
      <c r="E32" s="43">
        <v>0</v>
      </c>
      <c r="F32" s="43">
        <v>0</v>
      </c>
      <c r="G32" s="43">
        <v>0</v>
      </c>
      <c r="H32" s="43">
        <v>0</v>
      </c>
      <c r="I32" s="43">
        <v>0</v>
      </c>
      <c r="J32" s="43">
        <v>0</v>
      </c>
      <c r="K32" s="43">
        <v>12822</v>
      </c>
      <c r="L32" s="43">
        <v>13802</v>
      </c>
      <c r="M32" s="43">
        <v>12239</v>
      </c>
      <c r="N32" s="43">
        <v>12995</v>
      </c>
      <c r="O32" s="43">
        <v>14131</v>
      </c>
      <c r="P32" s="43">
        <v>13343</v>
      </c>
      <c r="Q32" s="38">
        <f>Balance_Sheet_Qtr!F32</f>
        <v>14014</v>
      </c>
      <c r="R32" s="38">
        <f>Balance_Sheet_Qtr!K32</f>
        <v>14691</v>
      </c>
      <c r="S32" s="38">
        <f>Balance_Sheet_Qtr!P32</f>
        <v>15292</v>
      </c>
      <c r="T32" s="38">
        <f>Balance_Sheet_Qtr!U32</f>
        <v>14808</v>
      </c>
      <c r="U32" s="37">
        <f>Balance_Sheet_Qtr!Z32</f>
        <v>22868</v>
      </c>
      <c r="V32" s="38">
        <f>Balance_Sheet_Qtr!AE32</f>
        <v>22171</v>
      </c>
      <c r="W32" s="38">
        <f>Balance_Sheet_Qtr!AJ32</f>
        <v>18455</v>
      </c>
      <c r="X32" s="38">
        <f>Balance_Sheet_Qtr!AO32</f>
        <v>21581</v>
      </c>
      <c r="Y32" s="38">
        <f>Balance_Sheet_Qtr!AT32</f>
        <v>22331</v>
      </c>
      <c r="Z32" s="38">
        <f>Balance_Sheet_Qtr!AY32</f>
        <v>24103</v>
      </c>
      <c r="AA32" s="38">
        <f>Balance_Sheet_Qtr!BD32</f>
        <v>27141</v>
      </c>
      <c r="AB32" s="38">
        <f>Balance_Sheet_Qtr!BI32</f>
        <v>25472</v>
      </c>
      <c r="AC32" s="43">
        <f>AB32-500-(((2600+700)*0.79)/3)-200</f>
        <v>23903</v>
      </c>
      <c r="AD32" s="43">
        <f>AC32-200-200</f>
        <v>23503</v>
      </c>
      <c r="AE32" s="43">
        <f>AD32-200-200</f>
        <v>23103</v>
      </c>
      <c r="AF32" s="43">
        <f>AE32-200-200</f>
        <v>22703</v>
      </c>
      <c r="AG32" s="41"/>
    </row>
    <row r="33" spans="1:34">
      <c r="A33" s="1" t="str">
        <f>Balance_Sheet_Qtr!A33</f>
        <v>Advances and Progress Billings</v>
      </c>
      <c r="B33" s="43">
        <v>3517</v>
      </c>
      <c r="C33" s="43">
        <v>4306</v>
      </c>
      <c r="D33" s="43">
        <v>3123</v>
      </c>
      <c r="E33" s="43">
        <v>3464</v>
      </c>
      <c r="F33" s="43">
        <v>4123</v>
      </c>
      <c r="G33" s="43">
        <v>9930</v>
      </c>
      <c r="H33" s="43">
        <v>11449</v>
      </c>
      <c r="I33" s="43">
        <v>13847</v>
      </c>
      <c r="J33" s="43">
        <v>12737</v>
      </c>
      <c r="K33" s="43">
        <v>12076</v>
      </c>
      <c r="L33" s="43">
        <v>12323</v>
      </c>
      <c r="M33" s="43">
        <v>15496</v>
      </c>
      <c r="N33" s="43">
        <v>16672</v>
      </c>
      <c r="O33" s="43">
        <v>20027</v>
      </c>
      <c r="P33" s="43">
        <v>23175</v>
      </c>
      <c r="Q33" s="38">
        <f>Balance_Sheet_Qtr!F33</f>
        <v>24364</v>
      </c>
      <c r="R33" s="38">
        <f>Balance_Sheet_Qtr!K33</f>
        <v>23869</v>
      </c>
      <c r="S33" s="38">
        <f>Balance_Sheet_Qtr!P33</f>
        <v>27440</v>
      </c>
      <c r="T33" s="38">
        <f>Balance_Sheet_Qtr!U33</f>
        <v>50676</v>
      </c>
      <c r="U33" s="37">
        <f>Balance_Sheet_Qtr!Z33</f>
        <v>51551</v>
      </c>
      <c r="V33" s="38">
        <f>Balance_Sheet_Qtr!AE33</f>
        <v>50488</v>
      </c>
      <c r="W33" s="38">
        <f>Balance_Sheet_Qtr!AJ33</f>
        <v>52980</v>
      </c>
      <c r="X33" s="38">
        <f>Balance_Sheet_Qtr!AO33</f>
        <v>53081</v>
      </c>
      <c r="Y33" s="38">
        <f>Balance_Sheet_Qtr!AT33</f>
        <v>56328</v>
      </c>
      <c r="Z33" s="38">
        <f>Balance_Sheet_Qtr!AY33</f>
        <v>60333</v>
      </c>
      <c r="AA33" s="38">
        <f>Balance_Sheet_Qtr!BD33</f>
        <v>59404</v>
      </c>
      <c r="AB33" s="38">
        <f>Balance_Sheet_Qtr!BI33</f>
        <v>59214.936760563389</v>
      </c>
      <c r="AC33" s="38">
        <f>'Customer Advances'!S61</f>
        <v>59244.245239436626</v>
      </c>
      <c r="AD33" s="38">
        <f>'Customer Advances'!T61</f>
        <v>59558.963117746498</v>
      </c>
      <c r="AE33" s="38">
        <f>'Customer Advances'!U61</f>
        <v>60083.373282405657</v>
      </c>
      <c r="AF33" s="38">
        <f>'Customer Advances'!V61</f>
        <v>60277.663183525714</v>
      </c>
      <c r="AG33" s="37"/>
    </row>
    <row r="34" spans="1:34">
      <c r="A34" s="1" t="str">
        <f>Balance_Sheet_Qtr!A34</f>
        <v>Short-Term Debt and Current Portion of Long-Term Debt</v>
      </c>
      <c r="B34" s="43">
        <v>1232</v>
      </c>
      <c r="C34" s="43">
        <v>1399</v>
      </c>
      <c r="D34" s="43">
        <v>1814</v>
      </c>
      <c r="E34" s="43">
        <v>1144</v>
      </c>
      <c r="F34" s="43">
        <v>1321</v>
      </c>
      <c r="G34" s="43">
        <v>1189</v>
      </c>
      <c r="H34" s="43">
        <v>1381</v>
      </c>
      <c r="I34" s="43">
        <v>762</v>
      </c>
      <c r="J34" s="43">
        <v>560</v>
      </c>
      <c r="K34" s="43">
        <v>707</v>
      </c>
      <c r="L34" s="43">
        <v>948</v>
      </c>
      <c r="M34" s="43">
        <v>2353</v>
      </c>
      <c r="N34" s="43">
        <v>1436</v>
      </c>
      <c r="O34" s="43">
        <v>1563</v>
      </c>
      <c r="P34" s="43">
        <v>929</v>
      </c>
      <c r="Q34" s="38">
        <f>Balance_Sheet_Qtr!F34</f>
        <v>1234</v>
      </c>
      <c r="R34" s="38">
        <f>Balance_Sheet_Qtr!K34</f>
        <v>384</v>
      </c>
      <c r="S34" s="38">
        <f>Balance_Sheet_Qtr!P34</f>
        <v>1335</v>
      </c>
      <c r="T34" s="38">
        <f>Balance_Sheet_Qtr!U34</f>
        <v>3190</v>
      </c>
      <c r="U34" s="37">
        <f>Balance_Sheet_Qtr!Z34</f>
        <v>7340</v>
      </c>
      <c r="V34" s="38">
        <f>Balance_Sheet_Qtr!AE34</f>
        <v>1693</v>
      </c>
      <c r="W34" s="38">
        <f>Balance_Sheet_Qtr!AJ34</f>
        <v>1296</v>
      </c>
      <c r="X34" s="38">
        <f>Balance_Sheet_Qtr!AO34</f>
        <v>5190</v>
      </c>
      <c r="Y34" s="38">
        <f>Balance_Sheet_Qtr!AT34</f>
        <v>5204</v>
      </c>
      <c r="Z34" s="38">
        <f>Balance_Sheet_Qtr!AY34</f>
        <v>1278</v>
      </c>
      <c r="AA34" s="38">
        <f>Balance_Sheet_Qtr!BD34</f>
        <v>8461</v>
      </c>
      <c r="AB34" s="38">
        <f>Balance_Sheet_Qtr!BI34</f>
        <v>1300</v>
      </c>
      <c r="AC34" s="38">
        <f>Debt_Annual!AC67</f>
        <v>1300</v>
      </c>
      <c r="AD34" s="38">
        <f>Debt_Annual!AD67</f>
        <v>1300</v>
      </c>
      <c r="AE34" s="38">
        <f>Debt_Annual!AE67</f>
        <v>1300</v>
      </c>
      <c r="AF34" s="38">
        <f>Debt_Annual!AF67</f>
        <v>1300</v>
      </c>
      <c r="AG34" s="37"/>
    </row>
    <row r="35" spans="1:34">
      <c r="A35" s="1" t="str">
        <f>Balance_Sheet_Qtr!A35</f>
        <v>Deferred Income Taxes and Income Taxes Payable</v>
      </c>
      <c r="B35" s="43">
        <v>1561</v>
      </c>
      <c r="C35" s="43">
        <v>909</v>
      </c>
      <c r="D35" s="43">
        <v>1134</v>
      </c>
      <c r="E35" s="43">
        <v>277</v>
      </c>
      <c r="F35" s="43">
        <v>522</v>
      </c>
      <c r="G35" s="43">
        <v>556</v>
      </c>
      <c r="H35" s="43">
        <v>670</v>
      </c>
      <c r="I35" s="43">
        <v>253</v>
      </c>
      <c r="J35" s="43">
        <v>41</v>
      </c>
      <c r="K35" s="43">
        <v>182</v>
      </c>
      <c r="L35" s="43">
        <v>607</v>
      </c>
      <c r="M35" s="43">
        <v>2780</v>
      </c>
      <c r="N35" s="43">
        <v>4485</v>
      </c>
      <c r="O35" s="43">
        <v>6267</v>
      </c>
      <c r="P35" s="43">
        <v>8603</v>
      </c>
      <c r="Q35" s="38">
        <f>Balance_Sheet_Qtr!F35</f>
        <v>0</v>
      </c>
      <c r="R35" s="38">
        <f>Balance_Sheet_Qtr!K35</f>
        <v>0</v>
      </c>
      <c r="S35" s="38">
        <f>Balance_Sheet_Qtr!P35</f>
        <v>0</v>
      </c>
      <c r="T35" s="38">
        <f>Balance_Sheet_Qtr!U35</f>
        <v>0</v>
      </c>
      <c r="U35" s="37">
        <f>Balance_Sheet_Qtr!Z35</f>
        <v>0</v>
      </c>
      <c r="V35" s="38">
        <f>Balance_Sheet_Qtr!AE35</f>
        <v>0</v>
      </c>
      <c r="W35" s="38">
        <f>Balance_Sheet_Qtr!AJ35</f>
        <v>0</v>
      </c>
      <c r="X35" s="38">
        <f>Balance_Sheet_Qtr!AO35</f>
        <v>0</v>
      </c>
      <c r="Y35" s="38">
        <f>Balance_Sheet_Qtr!AT35</f>
        <v>0</v>
      </c>
      <c r="Z35" s="38">
        <f>Balance_Sheet_Qtr!AY35</f>
        <v>0</v>
      </c>
      <c r="AA35" s="38">
        <f>Balance_Sheet_Qtr!BD35</f>
        <v>0</v>
      </c>
      <c r="AB35" s="38">
        <f>Balance_Sheet_Qtr!BI35</f>
        <v>0</v>
      </c>
      <c r="AC35" s="43">
        <f t="shared" ref="AC35:AF36" si="5">AB35</f>
        <v>0</v>
      </c>
      <c r="AD35" s="43">
        <f t="shared" si="5"/>
        <v>0</v>
      </c>
      <c r="AE35" s="43">
        <f t="shared" si="5"/>
        <v>0</v>
      </c>
      <c r="AF35" s="43">
        <f t="shared" si="5"/>
        <v>0</v>
      </c>
      <c r="AG35" s="41"/>
    </row>
    <row r="36" spans="1:34">
      <c r="A36" s="1" t="str">
        <f>Balance_Sheet_Qtr!A36</f>
        <v>Other Current Liabilities</v>
      </c>
      <c r="B36" s="43">
        <v>0</v>
      </c>
      <c r="C36" s="43">
        <v>0</v>
      </c>
      <c r="D36" s="43">
        <v>0</v>
      </c>
      <c r="E36" s="43">
        <v>0</v>
      </c>
      <c r="F36" s="43">
        <v>0</v>
      </c>
      <c r="G36" s="43">
        <v>0</v>
      </c>
      <c r="H36" s="43">
        <v>0</v>
      </c>
      <c r="I36" s="43">
        <v>0</v>
      </c>
      <c r="J36" s="43">
        <v>0</v>
      </c>
      <c r="K36" s="43">
        <v>0</v>
      </c>
      <c r="L36" s="43">
        <v>0</v>
      </c>
      <c r="M36" s="43">
        <v>0</v>
      </c>
      <c r="N36" s="43">
        <v>0</v>
      </c>
      <c r="O36" s="43">
        <v>0</v>
      </c>
      <c r="P36" s="43">
        <v>0</v>
      </c>
      <c r="Q36" s="38">
        <f>Balance_Sheet_Qtr!F36</f>
        <v>0</v>
      </c>
      <c r="R36" s="38">
        <f>Balance_Sheet_Qtr!K36</f>
        <v>0</v>
      </c>
      <c r="S36" s="38">
        <f>Balance_Sheet_Qtr!P36</f>
        <v>0</v>
      </c>
      <c r="T36" s="38">
        <f>Balance_Sheet_Qtr!U36</f>
        <v>0</v>
      </c>
      <c r="U36" s="37">
        <f>Balance_Sheet_Qtr!Z36</f>
        <v>0</v>
      </c>
      <c r="V36" s="38">
        <f>Balance_Sheet_Qtr!AE36</f>
        <v>0</v>
      </c>
      <c r="W36" s="38">
        <f>Balance_Sheet_Qtr!AJ36</f>
        <v>0</v>
      </c>
      <c r="X36" s="38">
        <f>Balance_Sheet_Qtr!AO36</f>
        <v>0</v>
      </c>
      <c r="Y36" s="38">
        <f>Balance_Sheet_Qtr!AT36</f>
        <v>0</v>
      </c>
      <c r="Z36" s="38">
        <f>Balance_Sheet_Qtr!AY36</f>
        <v>0</v>
      </c>
      <c r="AA36" s="38">
        <f>Balance_Sheet_Qtr!BD36</f>
        <v>0</v>
      </c>
      <c r="AB36" s="38">
        <f>Balance_Sheet_Qtr!BI36</f>
        <v>0</v>
      </c>
      <c r="AC36" s="43">
        <f t="shared" si="5"/>
        <v>0</v>
      </c>
      <c r="AD36" s="43">
        <f t="shared" si="5"/>
        <v>0</v>
      </c>
      <c r="AE36" s="43">
        <f t="shared" si="5"/>
        <v>0</v>
      </c>
      <c r="AF36" s="43">
        <f t="shared" si="5"/>
        <v>0</v>
      </c>
      <c r="AG36" s="41"/>
    </row>
    <row r="37" spans="1:34">
      <c r="A37" s="9" t="str">
        <f>Balance_Sheet_Qtr!A37</f>
        <v>Total Current Liabilities</v>
      </c>
      <c r="B37" s="25">
        <f t="shared" ref="B37:P37" si="6">SUM(B31:B36)</f>
        <v>18289</v>
      </c>
      <c r="C37" s="25">
        <f t="shared" si="6"/>
        <v>20486</v>
      </c>
      <c r="D37" s="25">
        <f t="shared" si="6"/>
        <v>19810</v>
      </c>
      <c r="E37" s="25">
        <f t="shared" si="6"/>
        <v>18448</v>
      </c>
      <c r="F37" s="25">
        <f t="shared" si="6"/>
        <v>20835</v>
      </c>
      <c r="G37" s="25">
        <f t="shared" si="6"/>
        <v>28188</v>
      </c>
      <c r="H37" s="25">
        <f t="shared" si="6"/>
        <v>29701</v>
      </c>
      <c r="I37" s="25">
        <f t="shared" si="6"/>
        <v>31538</v>
      </c>
      <c r="J37" s="25">
        <f t="shared" si="6"/>
        <v>30925</v>
      </c>
      <c r="K37" s="25">
        <f t="shared" si="6"/>
        <v>32883</v>
      </c>
      <c r="L37" s="25">
        <f t="shared" si="6"/>
        <v>35395</v>
      </c>
      <c r="M37" s="25">
        <f t="shared" si="6"/>
        <v>41274</v>
      </c>
      <c r="N37" s="25">
        <f t="shared" si="6"/>
        <v>44982</v>
      </c>
      <c r="O37" s="25">
        <f t="shared" si="6"/>
        <v>51486</v>
      </c>
      <c r="P37" s="25">
        <f t="shared" si="6"/>
        <v>56717</v>
      </c>
      <c r="Q37" s="178">
        <f>Balance_Sheet_Qtr!F37</f>
        <v>50412</v>
      </c>
      <c r="R37" s="178">
        <f>Balance_Sheet_Qtr!K37</f>
        <v>50134</v>
      </c>
      <c r="S37" s="178">
        <f>Balance_Sheet_Qtr!P37</f>
        <v>56269</v>
      </c>
      <c r="T37" s="178">
        <f>Balance_Sheet_Qtr!U37</f>
        <v>81590</v>
      </c>
      <c r="U37" s="71">
        <f>Balance_Sheet_Qtr!Z37</f>
        <v>97312</v>
      </c>
      <c r="V37" s="178">
        <f>Balance_Sheet_Qtr!AE37</f>
        <v>87280</v>
      </c>
      <c r="W37" s="178">
        <f>Balance_Sheet_Qtr!AJ37</f>
        <v>81992</v>
      </c>
      <c r="X37" s="178">
        <f>Balance_Sheet_Qtr!AO37</f>
        <v>90052</v>
      </c>
      <c r="Y37" s="178">
        <f>Balance_Sheet_Qtr!AT37</f>
        <v>95827</v>
      </c>
      <c r="Z37" s="178">
        <f>Balance_Sheet_Qtr!AY37</f>
        <v>97078</v>
      </c>
      <c r="AA37" s="178">
        <f>Balance_Sheet_Qtr!BD37</f>
        <v>108115</v>
      </c>
      <c r="AB37" s="178">
        <f>Balance_Sheet_Qtr!BI37</f>
        <v>99509.926945120838</v>
      </c>
      <c r="AC37" s="25">
        <f>SUM(AC31:AC36)</f>
        <v>98180.963968457538</v>
      </c>
      <c r="AD37" s="25">
        <f>SUM(AD31:AD36)</f>
        <v>98388.242296739627</v>
      </c>
      <c r="AE37" s="25">
        <f>SUM(AE31:AE36)</f>
        <v>98507.756965314038</v>
      </c>
      <c r="AF37" s="25">
        <f>SUM(AF31:AF36)</f>
        <v>99135.299332556155</v>
      </c>
      <c r="AG37" s="77"/>
    </row>
    <row r="38" spans="1:34">
      <c r="B38" s="23"/>
      <c r="C38" s="23"/>
      <c r="D38" s="23"/>
      <c r="E38" s="23"/>
      <c r="F38" s="23"/>
      <c r="G38" s="23"/>
      <c r="H38" s="23"/>
      <c r="I38" s="23"/>
      <c r="J38" s="23"/>
      <c r="K38" s="23"/>
      <c r="L38" s="23"/>
      <c r="M38" s="23"/>
      <c r="N38" s="23"/>
      <c r="O38" s="23"/>
      <c r="P38" s="23"/>
      <c r="Q38" s="23"/>
      <c r="R38" s="23"/>
      <c r="S38" s="23"/>
      <c r="T38" s="23"/>
      <c r="U38" s="22"/>
      <c r="V38" s="23"/>
      <c r="W38" s="23"/>
      <c r="X38" s="23"/>
      <c r="Y38" s="23"/>
      <c r="Z38" s="23"/>
      <c r="AA38" s="23"/>
      <c r="AB38" s="23"/>
      <c r="AC38" s="201"/>
      <c r="AD38" s="201"/>
      <c r="AE38" s="201"/>
      <c r="AF38" s="201"/>
    </row>
    <row r="39" spans="1:34">
      <c r="A39" s="14" t="str">
        <f>Balance_Sheet_Qtr!A39</f>
        <v>Noncurrent Liabilities</v>
      </c>
      <c r="B39" s="23"/>
      <c r="C39" s="23"/>
      <c r="D39" s="23"/>
      <c r="E39" s="23"/>
      <c r="F39" s="23"/>
      <c r="G39" s="23"/>
      <c r="H39" s="23"/>
      <c r="I39" s="23"/>
      <c r="J39" s="23"/>
      <c r="K39" s="23"/>
      <c r="L39" s="23"/>
      <c r="M39" s="23"/>
      <c r="N39" s="23"/>
      <c r="O39" s="23"/>
      <c r="P39" s="23"/>
      <c r="Q39" s="23"/>
      <c r="R39" s="23"/>
      <c r="S39" s="23"/>
      <c r="T39" s="23"/>
      <c r="U39" s="22"/>
      <c r="V39" s="23"/>
      <c r="W39" s="23"/>
      <c r="X39" s="23"/>
      <c r="Y39" s="23"/>
      <c r="Z39" s="23"/>
      <c r="AA39" s="23"/>
      <c r="AB39" s="23"/>
      <c r="AC39" s="201"/>
      <c r="AD39" s="201"/>
      <c r="AE39" s="201"/>
      <c r="AF39" s="201"/>
    </row>
    <row r="40" spans="1:34">
      <c r="A40" s="1" t="str">
        <f>Balance_Sheet_Qtr!A40</f>
        <v>Deferred Income Taxes</v>
      </c>
      <c r="B40" s="43">
        <v>0</v>
      </c>
      <c r="C40" s="43">
        <v>177</v>
      </c>
      <c r="D40" s="43">
        <v>0</v>
      </c>
      <c r="E40" s="43">
        <v>0</v>
      </c>
      <c r="F40" s="43">
        <v>1090</v>
      </c>
      <c r="G40" s="43">
        <v>2067</v>
      </c>
      <c r="H40" s="43">
        <v>0</v>
      </c>
      <c r="I40" s="43">
        <v>1190</v>
      </c>
      <c r="J40" s="43">
        <v>0</v>
      </c>
      <c r="K40" s="43">
        <v>0</v>
      </c>
      <c r="L40" s="43">
        <v>0</v>
      </c>
      <c r="M40" s="43">
        <v>0</v>
      </c>
      <c r="N40" s="43">
        <v>0</v>
      </c>
      <c r="O40" s="43">
        <v>0</v>
      </c>
      <c r="P40" s="43">
        <v>0</v>
      </c>
      <c r="Q40" s="38">
        <f>Balance_Sheet_Qtr!F40</f>
        <v>2392</v>
      </c>
      <c r="R40" s="38">
        <f>Balance_Sheet_Qtr!K40</f>
        <v>1338</v>
      </c>
      <c r="S40" s="38">
        <f>Balance_Sheet_Qtr!P40</f>
        <v>1839</v>
      </c>
      <c r="T40" s="38">
        <f>Balance_Sheet_Qtr!U40</f>
        <v>1736</v>
      </c>
      <c r="U40" s="37">
        <f>Balance_Sheet_Qtr!Z40</f>
        <v>413</v>
      </c>
      <c r="V40" s="38">
        <f>Balance_Sheet_Qtr!AE40</f>
        <v>1010</v>
      </c>
      <c r="W40" s="38">
        <f>Balance_Sheet_Qtr!AJ40</f>
        <v>218</v>
      </c>
      <c r="X40" s="38">
        <f>Balance_Sheet_Qtr!AO40</f>
        <v>230</v>
      </c>
      <c r="Y40" s="38">
        <f>Balance_Sheet_Qtr!AT40</f>
        <v>229</v>
      </c>
      <c r="Z40" s="38">
        <f>Balance_Sheet_Qtr!AY40</f>
        <v>122</v>
      </c>
      <c r="AA40" s="38">
        <f>Balance_Sheet_Qtr!BD40</f>
        <v>216</v>
      </c>
      <c r="AB40" s="38">
        <f>Balance_Sheet_Qtr!BI40</f>
        <v>216</v>
      </c>
      <c r="AC40" s="43">
        <f>AB40</f>
        <v>216</v>
      </c>
      <c r="AD40" s="43">
        <f>AC40</f>
        <v>216</v>
      </c>
      <c r="AE40" s="43">
        <f>AD40</f>
        <v>216</v>
      </c>
      <c r="AF40" s="43">
        <f>AE40</f>
        <v>216</v>
      </c>
      <c r="AG40" s="41"/>
    </row>
    <row r="41" spans="1:34">
      <c r="A41" s="1" t="str">
        <f>Balance_Sheet_Qtr!A41</f>
        <v>Accrued Retiree Health Care</v>
      </c>
      <c r="B41" s="43">
        <v>5152</v>
      </c>
      <c r="C41" s="43">
        <v>5367</v>
      </c>
      <c r="D41" s="43">
        <v>5434</v>
      </c>
      <c r="E41" s="43">
        <v>5745</v>
      </c>
      <c r="F41" s="43">
        <v>5959</v>
      </c>
      <c r="G41" s="43">
        <v>5989</v>
      </c>
      <c r="H41" s="43">
        <v>7671</v>
      </c>
      <c r="I41" s="43">
        <v>7007</v>
      </c>
      <c r="J41" s="43">
        <v>7322</v>
      </c>
      <c r="K41" s="43">
        <v>7049</v>
      </c>
      <c r="L41" s="43">
        <v>8025</v>
      </c>
      <c r="M41" s="43">
        <v>7520</v>
      </c>
      <c r="N41" s="43">
        <v>7528</v>
      </c>
      <c r="O41" s="43">
        <v>6528</v>
      </c>
      <c r="P41" s="43">
        <v>6802</v>
      </c>
      <c r="Q41" s="38">
        <f>Balance_Sheet_Qtr!F41</f>
        <v>6616</v>
      </c>
      <c r="R41" s="38">
        <f>Balance_Sheet_Qtr!K41</f>
        <v>5916</v>
      </c>
      <c r="S41" s="38">
        <f>Balance_Sheet_Qtr!P41</f>
        <v>5545</v>
      </c>
      <c r="T41" s="38">
        <f>Balance_Sheet_Qtr!U41</f>
        <v>4584</v>
      </c>
      <c r="U41" s="37">
        <f>Balance_Sheet_Qtr!Z41</f>
        <v>4540</v>
      </c>
      <c r="V41" s="38">
        <f>Balance_Sheet_Qtr!AE41</f>
        <v>4137</v>
      </c>
      <c r="W41" s="38">
        <f>Balance_Sheet_Qtr!AJ41</f>
        <v>3528</v>
      </c>
      <c r="X41" s="38">
        <f>Balance_Sheet_Qtr!AO41</f>
        <v>2503</v>
      </c>
      <c r="Y41" s="38">
        <f>Balance_Sheet_Qtr!AT41</f>
        <v>2233</v>
      </c>
      <c r="Z41" s="38">
        <f>Balance_Sheet_Qtr!AY41</f>
        <v>2176</v>
      </c>
      <c r="AA41" s="38">
        <f>Balance_Sheet_Qtr!BD41</f>
        <v>2091</v>
      </c>
      <c r="AB41" s="38">
        <f>Balance_Sheet_Qtr!BI41</f>
        <v>2071</v>
      </c>
      <c r="AC41" s="23">
        <f>AB41-Cash_Flow_Annual!AC89</f>
        <v>2051</v>
      </c>
      <c r="AD41" s="23">
        <f>AC41-Cash_Flow_Annual!AD89</f>
        <v>2031</v>
      </c>
      <c r="AE41" s="23">
        <f>AD41-Cash_Flow_Annual!AE89</f>
        <v>2011</v>
      </c>
      <c r="AF41" s="23">
        <f>AE41-Cash_Flow_Annual!AF89</f>
        <v>1991</v>
      </c>
      <c r="AG41" s="22"/>
    </row>
    <row r="42" spans="1:34">
      <c r="A42" s="1" t="str">
        <f>Balance_Sheet_Qtr!A42</f>
        <v>Accrued Pension Liabilities</v>
      </c>
      <c r="B42" s="43">
        <v>0</v>
      </c>
      <c r="C42" s="43">
        <v>0</v>
      </c>
      <c r="D42" s="43">
        <v>6271</v>
      </c>
      <c r="E42" s="43">
        <v>6629</v>
      </c>
      <c r="F42" s="43">
        <v>3169</v>
      </c>
      <c r="G42" s="43">
        <v>2948</v>
      </c>
      <c r="H42" s="43">
        <v>1135</v>
      </c>
      <c r="I42" s="43">
        <v>1155</v>
      </c>
      <c r="J42" s="43">
        <v>8383</v>
      </c>
      <c r="K42" s="43">
        <v>6315</v>
      </c>
      <c r="L42" s="43">
        <v>9800</v>
      </c>
      <c r="M42" s="43">
        <v>16537</v>
      </c>
      <c r="N42" s="43">
        <v>19651</v>
      </c>
      <c r="O42" s="43">
        <v>10474</v>
      </c>
      <c r="P42" s="43">
        <v>17182</v>
      </c>
      <c r="Q42" s="38">
        <f>Balance_Sheet_Qtr!F42</f>
        <v>17783</v>
      </c>
      <c r="R42" s="38">
        <f>Balance_Sheet_Qtr!K42</f>
        <v>19943</v>
      </c>
      <c r="S42" s="38">
        <f>Balance_Sheet_Qtr!P42</f>
        <v>16471</v>
      </c>
      <c r="T42" s="38">
        <f>Balance_Sheet_Qtr!U42</f>
        <v>15323</v>
      </c>
      <c r="U42" s="37">
        <f>Balance_Sheet_Qtr!Z42</f>
        <v>16276</v>
      </c>
      <c r="V42" s="38">
        <f>Balance_Sheet_Qtr!AE42</f>
        <v>14408</v>
      </c>
      <c r="W42" s="38">
        <f>Balance_Sheet_Qtr!AJ42</f>
        <v>9104</v>
      </c>
      <c r="X42" s="38">
        <f>Balance_Sheet_Qtr!AO42</f>
        <v>6141</v>
      </c>
      <c r="Y42" s="38">
        <f>Balance_Sheet_Qtr!AT42</f>
        <v>6516</v>
      </c>
      <c r="Z42" s="38">
        <f>Balance_Sheet_Qtr!AY42</f>
        <v>5997</v>
      </c>
      <c r="AA42" s="38">
        <f>Balance_Sheet_Qtr!BD42</f>
        <v>4287</v>
      </c>
      <c r="AB42" s="38">
        <f>Balance_Sheet_Qtr!BI42</f>
        <v>3787</v>
      </c>
      <c r="AC42" s="23">
        <f>AB42-Cash_Flow_Annual!AC88</f>
        <v>3287</v>
      </c>
      <c r="AD42" s="23">
        <f>AC42-Cash_Flow_Annual!AD88</f>
        <v>2787</v>
      </c>
      <c r="AE42" s="23">
        <f>AD42-Cash_Flow_Annual!AE88</f>
        <v>2287</v>
      </c>
      <c r="AF42" s="23">
        <f>AE42-Cash_Flow_Annual!AF88</f>
        <v>1787</v>
      </c>
      <c r="AG42" s="22"/>
    </row>
    <row r="43" spans="1:34">
      <c r="A43" s="1" t="str">
        <f>Balance_Sheet_Qtr!A43</f>
        <v>Non-Current Income Taxes Payable</v>
      </c>
      <c r="B43" s="43">
        <v>0</v>
      </c>
      <c r="C43" s="43">
        <v>0</v>
      </c>
      <c r="D43" s="43">
        <v>0</v>
      </c>
      <c r="E43" s="43">
        <v>0</v>
      </c>
      <c r="F43" s="43">
        <v>0</v>
      </c>
      <c r="G43" s="43">
        <v>0</v>
      </c>
      <c r="H43" s="43">
        <v>0</v>
      </c>
      <c r="I43" s="43">
        <v>1121</v>
      </c>
      <c r="J43" s="43">
        <v>1154</v>
      </c>
      <c r="K43" s="43">
        <v>827</v>
      </c>
      <c r="L43" s="43">
        <v>418</v>
      </c>
      <c r="M43" s="43">
        <v>122</v>
      </c>
      <c r="N43" s="43">
        <v>366</v>
      </c>
      <c r="O43" s="43">
        <v>156</v>
      </c>
      <c r="P43" s="43">
        <v>358</v>
      </c>
      <c r="Q43" s="38">
        <f>Balance_Sheet_Qtr!F43</f>
        <v>0</v>
      </c>
      <c r="R43" s="38">
        <f>Balance_Sheet_Qtr!K43</f>
        <v>0</v>
      </c>
      <c r="S43" s="38">
        <f>Balance_Sheet_Qtr!P43</f>
        <v>0</v>
      </c>
      <c r="T43" s="38">
        <f>Balance_Sheet_Qtr!U43</f>
        <v>0</v>
      </c>
      <c r="U43" s="37">
        <f>Balance_Sheet_Qtr!Z43</f>
        <v>0</v>
      </c>
      <c r="V43" s="38">
        <f>Balance_Sheet_Qtr!AE43</f>
        <v>0</v>
      </c>
      <c r="W43" s="38">
        <f>Balance_Sheet_Qtr!AJ43</f>
        <v>0</v>
      </c>
      <c r="X43" s="38">
        <f>Balance_Sheet_Qtr!AO43</f>
        <v>0</v>
      </c>
      <c r="Y43" s="38">
        <f>Balance_Sheet_Qtr!AT43</f>
        <v>0</v>
      </c>
      <c r="Z43" s="38">
        <f>Balance_Sheet_Qtr!AY43</f>
        <v>0</v>
      </c>
      <c r="AA43" s="38">
        <f>Balance_Sheet_Qtr!BD43</f>
        <v>0</v>
      </c>
      <c r="AB43" s="38">
        <f>Balance_Sheet_Qtr!BI43</f>
        <v>0</v>
      </c>
      <c r="AC43" s="43">
        <f>AB43</f>
        <v>0</v>
      </c>
      <c r="AD43" s="43">
        <f>AC43</f>
        <v>0</v>
      </c>
      <c r="AE43" s="43">
        <f>AD43</f>
        <v>0</v>
      </c>
      <c r="AF43" s="43">
        <f>AE43</f>
        <v>0</v>
      </c>
      <c r="AG43" s="41"/>
    </row>
    <row r="44" spans="1:34">
      <c r="A44" s="1" t="str">
        <f>Balance_Sheet_Qtr!A44</f>
        <v>Long-Term Debt, Net</v>
      </c>
      <c r="B44" s="43">
        <v>7567</v>
      </c>
      <c r="C44" s="43">
        <v>10866</v>
      </c>
      <c r="D44" s="43">
        <v>12589</v>
      </c>
      <c r="E44" s="43">
        <v>13299</v>
      </c>
      <c r="F44" s="43">
        <v>10879</v>
      </c>
      <c r="G44" s="43">
        <v>9538</v>
      </c>
      <c r="H44" s="43">
        <v>8157</v>
      </c>
      <c r="I44" s="43">
        <v>7455</v>
      </c>
      <c r="J44" s="43">
        <v>6952</v>
      </c>
      <c r="K44" s="43">
        <v>12217</v>
      </c>
      <c r="L44" s="43">
        <v>11473</v>
      </c>
      <c r="M44" s="43">
        <v>10018</v>
      </c>
      <c r="N44" s="43">
        <v>8973</v>
      </c>
      <c r="O44" s="43">
        <v>8072</v>
      </c>
      <c r="P44" s="43">
        <v>8141</v>
      </c>
      <c r="Q44" s="38">
        <f>Balance_Sheet_Qtr!F44</f>
        <v>8730</v>
      </c>
      <c r="R44" s="38">
        <f>Balance_Sheet_Qtr!K44</f>
        <v>9568</v>
      </c>
      <c r="S44" s="38">
        <f>Balance_Sheet_Qtr!P44</f>
        <v>9782</v>
      </c>
      <c r="T44" s="38">
        <f>Balance_Sheet_Qtr!U44</f>
        <v>10657</v>
      </c>
      <c r="U44" s="37">
        <f>Balance_Sheet_Qtr!Z44</f>
        <v>19962</v>
      </c>
      <c r="V44" s="38">
        <f>Balance_Sheet_Qtr!AE44</f>
        <v>61890</v>
      </c>
      <c r="W44" s="38">
        <f>Balance_Sheet_Qtr!AJ44</f>
        <v>56806</v>
      </c>
      <c r="X44" s="38">
        <f>Balance_Sheet_Qtr!AO44</f>
        <v>51811</v>
      </c>
      <c r="Y44" s="38">
        <f>Balance_Sheet_Qtr!AT44</f>
        <v>47103</v>
      </c>
      <c r="Z44" s="38">
        <f>Balance_Sheet_Qtr!AY44</f>
        <v>52586</v>
      </c>
      <c r="AA44" s="38">
        <f>Balance_Sheet_Qtr!BD44</f>
        <v>45637</v>
      </c>
      <c r="AB44" s="38">
        <f>Balance_Sheet_Qtr!BI44</f>
        <v>48348</v>
      </c>
      <c r="AC44" s="38">
        <f>Debt_Annual!AC68</f>
        <v>40548</v>
      </c>
      <c r="AD44" s="38">
        <f>Debt_Annual!AD68</f>
        <v>38748</v>
      </c>
      <c r="AE44" s="38">
        <f>Debt_Annual!AE68</f>
        <v>38748</v>
      </c>
      <c r="AF44" s="38">
        <f>Debt_Annual!AF68</f>
        <v>38748</v>
      </c>
      <c r="AG44" s="37"/>
    </row>
    <row r="45" spans="1:34">
      <c r="A45" s="1" t="str">
        <f>Balance_Sheet_Qtr!A45</f>
        <v>Other Long-Term Liabilities</v>
      </c>
      <c r="B45" s="43">
        <v>0</v>
      </c>
      <c r="C45" s="43">
        <v>622</v>
      </c>
      <c r="D45" s="43">
        <v>542</v>
      </c>
      <c r="E45" s="43">
        <v>775</v>
      </c>
      <c r="F45" s="43">
        <v>745</v>
      </c>
      <c r="G45" s="43">
        <v>269</v>
      </c>
      <c r="H45" s="43">
        <v>391</v>
      </c>
      <c r="I45" s="43">
        <v>516</v>
      </c>
      <c r="J45" s="43">
        <v>337</v>
      </c>
      <c r="K45" s="43">
        <v>537</v>
      </c>
      <c r="L45" s="43">
        <v>592</v>
      </c>
      <c r="M45" s="43">
        <v>907</v>
      </c>
      <c r="N45" s="43">
        <v>1429</v>
      </c>
      <c r="O45" s="43">
        <v>950</v>
      </c>
      <c r="P45" s="43">
        <v>1208</v>
      </c>
      <c r="Q45" s="38">
        <f>Balance_Sheet_Qtr!F45</f>
        <v>2078</v>
      </c>
      <c r="R45" s="38">
        <f>Balance_Sheet_Qtr!K45</f>
        <v>2221</v>
      </c>
      <c r="S45" s="38">
        <f>Balance_Sheet_Qtr!P45</f>
        <v>2015</v>
      </c>
      <c r="T45" s="38">
        <f>Balance_Sheet_Qtr!U45</f>
        <v>3059</v>
      </c>
      <c r="U45" s="37">
        <f>Balance_Sheet_Qtr!Z45</f>
        <v>3422</v>
      </c>
      <c r="V45" s="38">
        <f>Balance_Sheet_Qtr!AE45</f>
        <v>1486</v>
      </c>
      <c r="W45" s="38">
        <f>Balance_Sheet_Qtr!AJ45</f>
        <v>1750</v>
      </c>
      <c r="X45" s="38">
        <f>Balance_Sheet_Qtr!AO45</f>
        <v>2211</v>
      </c>
      <c r="Y45" s="38">
        <f>Balance_Sheet_Qtr!AT45</f>
        <v>2332</v>
      </c>
      <c r="Z45" s="38">
        <f>Balance_Sheet_Qtr!AY45</f>
        <v>2318</v>
      </c>
      <c r="AA45" s="38">
        <f>Balance_Sheet_Qtr!BD45</f>
        <v>2432</v>
      </c>
      <c r="AB45" s="38">
        <f>Balance_Sheet_Qtr!BI45</f>
        <v>4932</v>
      </c>
      <c r="AC45" s="23">
        <f>AB45+Cash_Flow_Annual!AC8+Cash_Flow_Annual!AC9+Cash_Flow_Annual!AC10+Cash_Flow_Annual!AC12+Cash_Flow_Annual!AC13+Cash_Flow_Annual!AC27+Cash_Flow_Annual!AC40+Cash_Flow_Annual!AC49+Cash_Flow_Annual!AC50+Cash_Flow_Annual!AC54+Cash_Flow_Annual!AC58</f>
        <v>6932</v>
      </c>
      <c r="AD45" s="23">
        <f>AC45+Cash_Flow_Annual!AD8+Cash_Flow_Annual!AD9+Cash_Flow_Annual!AD10+Cash_Flow_Annual!AD12+Cash_Flow_Annual!AD13+Cash_Flow_Annual!AD27+Cash_Flow_Annual!AD40+Cash_Flow_Annual!AD49+Cash_Flow_Annual!AD50+Cash_Flow_Annual!AD54+Cash_Flow_Annual!AD58</f>
        <v>8432</v>
      </c>
      <c r="AE45" s="23">
        <f>AD45+Cash_Flow_Annual!AE8+Cash_Flow_Annual!AE9+Cash_Flow_Annual!AE10+Cash_Flow_Annual!AE12+Cash_Flow_Annual!AE13+Cash_Flow_Annual!AE27+Cash_Flow_Annual!AE40+Cash_Flow_Annual!AE49+Cash_Flow_Annual!AE50+Cash_Flow_Annual!AE54+Cash_Flow_Annual!AE58</f>
        <v>9932</v>
      </c>
      <c r="AF45" s="23">
        <f>AE45+Cash_Flow_Annual!AF8+Cash_Flow_Annual!AF9+Cash_Flow_Annual!AF10+Cash_Flow_Annual!AF12+Cash_Flow_Annual!AF13+Cash_Flow_Annual!AF27+Cash_Flow_Annual!AF40+Cash_Flow_Annual!AF49+Cash_Flow_Annual!AF50+Cash_Flow_Annual!AF54+Cash_Flow_Annual!AF58</f>
        <v>11432</v>
      </c>
      <c r="AG45" s="22"/>
    </row>
    <row r="46" spans="1:34">
      <c r="A46" s="9" t="str">
        <f>Balance_Sheet_Qtr!A46</f>
        <v>Total Noncurrent Liabilities</v>
      </c>
      <c r="B46" s="25">
        <f t="shared" ref="B46:P46" si="7">+SUM(B40:B45)</f>
        <v>12719</v>
      </c>
      <c r="C46" s="25">
        <f t="shared" si="7"/>
        <v>17032</v>
      </c>
      <c r="D46" s="25">
        <f t="shared" si="7"/>
        <v>24836</v>
      </c>
      <c r="E46" s="25">
        <f t="shared" si="7"/>
        <v>26448</v>
      </c>
      <c r="F46" s="25">
        <f t="shared" si="7"/>
        <v>21842</v>
      </c>
      <c r="G46" s="25">
        <f t="shared" si="7"/>
        <v>20811</v>
      </c>
      <c r="H46" s="25">
        <f t="shared" si="7"/>
        <v>17354</v>
      </c>
      <c r="I46" s="25">
        <f t="shared" si="7"/>
        <v>18444</v>
      </c>
      <c r="J46" s="25">
        <f t="shared" si="7"/>
        <v>24148</v>
      </c>
      <c r="K46" s="25">
        <f t="shared" si="7"/>
        <v>26945</v>
      </c>
      <c r="L46" s="25">
        <f t="shared" si="7"/>
        <v>30308</v>
      </c>
      <c r="M46" s="25">
        <f t="shared" si="7"/>
        <v>35104</v>
      </c>
      <c r="N46" s="25">
        <f t="shared" si="7"/>
        <v>37947</v>
      </c>
      <c r="O46" s="25">
        <f t="shared" si="7"/>
        <v>26180</v>
      </c>
      <c r="P46" s="25">
        <f t="shared" si="7"/>
        <v>33691</v>
      </c>
      <c r="Q46" s="178">
        <f>Balance_Sheet_Qtr!F46</f>
        <v>37599</v>
      </c>
      <c r="R46" s="178">
        <f>Balance_Sheet_Qtr!K46</f>
        <v>38986</v>
      </c>
      <c r="S46" s="178">
        <f>Balance_Sheet_Qtr!P46</f>
        <v>35652</v>
      </c>
      <c r="T46" s="178">
        <f>Balance_Sheet_Qtr!U46</f>
        <v>35359</v>
      </c>
      <c r="U46" s="71">
        <f>Balance_Sheet_Qtr!Z46</f>
        <v>44613</v>
      </c>
      <c r="V46" s="178">
        <f>Balance_Sheet_Qtr!AE46</f>
        <v>82931</v>
      </c>
      <c r="W46" s="178">
        <f>Balance_Sheet_Qtr!AJ46</f>
        <v>71406</v>
      </c>
      <c r="X46" s="178">
        <f>Balance_Sheet_Qtr!AO46</f>
        <v>62896</v>
      </c>
      <c r="Y46" s="178">
        <f>Balance_Sheet_Qtr!AT46</f>
        <v>58413</v>
      </c>
      <c r="Z46" s="178">
        <f>Balance_Sheet_Qtr!AY46</f>
        <v>63199</v>
      </c>
      <c r="AA46" s="178">
        <f>Balance_Sheet_Qtr!BD46</f>
        <v>54663</v>
      </c>
      <c r="AB46" s="178">
        <f>Balance_Sheet_Qtr!BI46</f>
        <v>59354</v>
      </c>
      <c r="AC46" s="25">
        <f>+SUM(AC40:AC45)</f>
        <v>53034</v>
      </c>
      <c r="AD46" s="25">
        <f>+SUM(AD40:AD45)</f>
        <v>52214</v>
      </c>
      <c r="AE46" s="25">
        <f>+SUM(AE40:AE45)</f>
        <v>53194</v>
      </c>
      <c r="AF46" s="25">
        <f>+SUM(AF40:AF45)</f>
        <v>54174</v>
      </c>
      <c r="AG46" s="77"/>
    </row>
    <row r="47" spans="1:34">
      <c r="B47" s="23"/>
      <c r="C47" s="23"/>
      <c r="D47" s="23"/>
      <c r="E47" s="23"/>
      <c r="F47" s="23"/>
      <c r="G47" s="23"/>
      <c r="H47" s="23"/>
      <c r="I47" s="23"/>
      <c r="J47" s="23"/>
      <c r="K47" s="23"/>
      <c r="L47" s="23"/>
      <c r="M47" s="23"/>
      <c r="N47" s="23"/>
      <c r="O47" s="23"/>
      <c r="P47" s="23"/>
      <c r="Q47" s="23"/>
      <c r="R47" s="23"/>
      <c r="S47" s="23"/>
      <c r="T47" s="23"/>
      <c r="U47" s="22"/>
      <c r="V47" s="23"/>
      <c r="W47" s="23"/>
      <c r="X47" s="23"/>
      <c r="Y47" s="23"/>
      <c r="Z47" s="23"/>
      <c r="AA47" s="23"/>
      <c r="AB47" s="23"/>
      <c r="AC47" s="23"/>
      <c r="AD47" s="23"/>
      <c r="AE47" s="23"/>
      <c r="AF47" s="23"/>
      <c r="AG47" s="22"/>
      <c r="AH47">
        <f>385/21</f>
        <v>18.333333333333332</v>
      </c>
    </row>
    <row r="48" spans="1:34">
      <c r="A48" s="9" t="str">
        <f>Balance_Sheet_Qtr!A48</f>
        <v>Total Liabilities</v>
      </c>
      <c r="B48" s="25">
        <f t="shared" ref="B48:P48" si="8">+B46+B37</f>
        <v>31008</v>
      </c>
      <c r="C48" s="25">
        <f t="shared" si="8"/>
        <v>37518</v>
      </c>
      <c r="D48" s="25">
        <f t="shared" si="8"/>
        <v>44646</v>
      </c>
      <c r="E48" s="25">
        <f t="shared" si="8"/>
        <v>44896</v>
      </c>
      <c r="F48" s="25">
        <f t="shared" si="8"/>
        <v>42677</v>
      </c>
      <c r="G48" s="25">
        <f t="shared" si="8"/>
        <v>48999</v>
      </c>
      <c r="H48" s="25">
        <f t="shared" si="8"/>
        <v>47055</v>
      </c>
      <c r="I48" s="25">
        <f t="shared" si="8"/>
        <v>49982</v>
      </c>
      <c r="J48" s="25">
        <f t="shared" si="8"/>
        <v>55073</v>
      </c>
      <c r="K48" s="25">
        <f t="shared" si="8"/>
        <v>59828</v>
      </c>
      <c r="L48" s="25">
        <f t="shared" si="8"/>
        <v>65703</v>
      </c>
      <c r="M48" s="25">
        <f t="shared" si="8"/>
        <v>76378</v>
      </c>
      <c r="N48" s="25">
        <f t="shared" si="8"/>
        <v>82929</v>
      </c>
      <c r="O48" s="25">
        <f t="shared" si="8"/>
        <v>77666</v>
      </c>
      <c r="P48" s="25">
        <f t="shared" si="8"/>
        <v>90408</v>
      </c>
      <c r="Q48" s="178">
        <f>Balance_Sheet_Qtr!F48</f>
        <v>88011</v>
      </c>
      <c r="R48" s="178">
        <f>Balance_Sheet_Qtr!K48</f>
        <v>89120</v>
      </c>
      <c r="S48" s="178">
        <f>Balance_Sheet_Qtr!P48</f>
        <v>91921</v>
      </c>
      <c r="T48" s="178">
        <f>Balance_Sheet_Qtr!U48</f>
        <v>116949</v>
      </c>
      <c r="U48" s="71">
        <f>Balance_Sheet_Qtr!Z48</f>
        <v>141925</v>
      </c>
      <c r="V48" s="178">
        <f>Balance_Sheet_Qtr!AE48</f>
        <v>170211</v>
      </c>
      <c r="W48" s="178">
        <f>Balance_Sheet_Qtr!AJ48</f>
        <v>153398</v>
      </c>
      <c r="X48" s="178">
        <f>Balance_Sheet_Qtr!AO48</f>
        <v>152948</v>
      </c>
      <c r="Y48" s="178">
        <f>Balance_Sheet_Qtr!AT48</f>
        <v>154240</v>
      </c>
      <c r="Z48" s="178">
        <f>Balance_Sheet_Qtr!AY48</f>
        <v>160277</v>
      </c>
      <c r="AA48" s="178">
        <f>Balance_Sheet_Qtr!BD48</f>
        <v>162778</v>
      </c>
      <c r="AB48" s="178">
        <f>Balance_Sheet_Qtr!BI48</f>
        <v>158863.92694512085</v>
      </c>
      <c r="AC48" s="25">
        <f>+AC46+AC37</f>
        <v>151214.96396845754</v>
      </c>
      <c r="AD48" s="25">
        <f>+AD46+AD37</f>
        <v>150602.24229673963</v>
      </c>
      <c r="AE48" s="25">
        <f>+AE46+AE37</f>
        <v>151701.75696531404</v>
      </c>
      <c r="AF48" s="25">
        <f>+AF46+AF37</f>
        <v>153309.29933255614</v>
      </c>
      <c r="AG48" s="77"/>
    </row>
    <row r="49" spans="1:34">
      <c r="B49" s="23"/>
      <c r="C49" s="23"/>
      <c r="D49" s="23"/>
      <c r="E49" s="23"/>
      <c r="F49" s="23"/>
      <c r="G49" s="23"/>
      <c r="H49" s="23"/>
      <c r="I49" s="23"/>
      <c r="J49" s="23"/>
      <c r="K49" s="23"/>
      <c r="L49" s="23"/>
      <c r="M49" s="23"/>
      <c r="N49" s="23"/>
      <c r="O49" s="23"/>
      <c r="P49" s="23"/>
      <c r="Q49" s="23"/>
      <c r="R49" s="23"/>
      <c r="S49" s="23"/>
      <c r="T49" s="23"/>
      <c r="U49" s="22"/>
      <c r="V49" s="23"/>
      <c r="W49" s="23"/>
      <c r="X49" s="23"/>
      <c r="Y49" s="23"/>
      <c r="Z49" s="23"/>
      <c r="AA49" s="23"/>
      <c r="AB49" s="23"/>
      <c r="AC49" s="201"/>
      <c r="AD49" s="201"/>
      <c r="AE49" s="201"/>
      <c r="AF49" s="201"/>
    </row>
    <row r="50" spans="1:34">
      <c r="A50" s="5" t="str">
        <f>Balance_Sheet_Qtr!A50</f>
        <v>Equity</v>
      </c>
      <c r="B50" s="23"/>
      <c r="C50" s="23"/>
      <c r="D50" s="23"/>
      <c r="E50" s="23"/>
      <c r="F50" s="23"/>
      <c r="G50" s="23"/>
      <c r="H50" s="23"/>
      <c r="I50" s="23"/>
      <c r="J50" s="23"/>
      <c r="K50" s="23"/>
      <c r="L50" s="23"/>
      <c r="M50" s="23"/>
      <c r="N50" s="23"/>
      <c r="O50" s="23"/>
      <c r="P50" s="23"/>
      <c r="Q50" s="23"/>
      <c r="R50" s="23"/>
      <c r="S50" s="23"/>
      <c r="T50" s="23"/>
      <c r="U50" s="22"/>
      <c r="V50" s="23"/>
      <c r="W50" s="23"/>
      <c r="X50" s="23"/>
      <c r="Y50" s="23"/>
      <c r="Z50" s="23"/>
      <c r="AA50" s="23"/>
      <c r="AB50" s="23"/>
      <c r="AC50" s="201"/>
      <c r="AD50" s="201"/>
      <c r="AE50" s="201"/>
      <c r="AF50" s="201"/>
    </row>
    <row r="51" spans="1:34">
      <c r="A51" s="1" t="str">
        <f>Balance_Sheet_Qtr!A51</f>
        <v>Stockholders' Equity</v>
      </c>
      <c r="B51" s="23"/>
      <c r="C51" s="23"/>
      <c r="D51" s="23"/>
      <c r="E51" s="23"/>
      <c r="F51" s="23"/>
      <c r="G51" s="23"/>
      <c r="H51" s="23"/>
      <c r="I51" s="23"/>
      <c r="J51" s="23"/>
      <c r="K51" s="23"/>
      <c r="L51" s="23"/>
      <c r="M51" s="23"/>
      <c r="N51" s="23"/>
      <c r="O51" s="23"/>
      <c r="P51" s="23"/>
      <c r="Q51" s="23"/>
      <c r="R51" s="23"/>
      <c r="S51" s="23"/>
      <c r="T51" s="23"/>
      <c r="U51" s="22"/>
      <c r="V51" s="23"/>
      <c r="W51" s="23"/>
      <c r="X51" s="23"/>
      <c r="Y51" s="23"/>
      <c r="Z51" s="23"/>
      <c r="AA51" s="23"/>
      <c r="AB51" s="23"/>
      <c r="AC51" s="201"/>
      <c r="AD51" s="201"/>
      <c r="AE51" s="201"/>
      <c r="AF51" s="201"/>
    </row>
    <row r="52" spans="1:34">
      <c r="A52" s="1" t="str">
        <f>Balance_Sheet_Qtr!A52</f>
        <v>Common Stock</v>
      </c>
      <c r="B52" s="43">
        <v>5059</v>
      </c>
      <c r="C52" s="43">
        <v>5059</v>
      </c>
      <c r="D52" s="43">
        <v>5059</v>
      </c>
      <c r="E52" s="43">
        <v>5059</v>
      </c>
      <c r="F52" s="43">
        <v>5059</v>
      </c>
      <c r="G52" s="43">
        <v>5061</v>
      </c>
      <c r="H52" s="43">
        <v>5061</v>
      </c>
      <c r="I52" s="43">
        <v>5061</v>
      </c>
      <c r="J52" s="43">
        <v>5061</v>
      </c>
      <c r="K52" s="43">
        <v>5061</v>
      </c>
      <c r="L52" s="43">
        <v>5061</v>
      </c>
      <c r="M52" s="43">
        <v>5061</v>
      </c>
      <c r="N52" s="43">
        <v>5061</v>
      </c>
      <c r="O52" s="43">
        <v>5061</v>
      </c>
      <c r="P52" s="43">
        <v>5061</v>
      </c>
      <c r="Q52" s="38">
        <f>Balance_Sheet_Qtr!F52</f>
        <v>5061</v>
      </c>
      <c r="R52" s="38">
        <f>Balance_Sheet_Qtr!K52</f>
        <v>5061</v>
      </c>
      <c r="S52" s="38">
        <f>Balance_Sheet_Qtr!P52</f>
        <v>5061</v>
      </c>
      <c r="T52" s="38">
        <f>Balance_Sheet_Qtr!U52</f>
        <v>5061</v>
      </c>
      <c r="U52" s="37">
        <f>Balance_Sheet_Qtr!Z52</f>
        <v>5061</v>
      </c>
      <c r="V52" s="38">
        <f>Balance_Sheet_Qtr!AE52</f>
        <v>5061</v>
      </c>
      <c r="W52" s="38">
        <f>Balance_Sheet_Qtr!AJ52</f>
        <v>5061</v>
      </c>
      <c r="X52" s="38">
        <f>Balance_Sheet_Qtr!AO52</f>
        <v>5061</v>
      </c>
      <c r="Y52" s="38">
        <f>Balance_Sheet_Qtr!AT52</f>
        <v>5061</v>
      </c>
      <c r="Z52" s="38">
        <f>Balance_Sheet_Qtr!AY52</f>
        <v>5061</v>
      </c>
      <c r="AA52" s="38">
        <f>Balance_Sheet_Qtr!BD52</f>
        <v>5061</v>
      </c>
      <c r="AB52" s="38">
        <f>Balance_Sheet_Qtr!BI52</f>
        <v>5061</v>
      </c>
      <c r="AC52" s="43">
        <f>AB52</f>
        <v>5061</v>
      </c>
      <c r="AD52" s="43">
        <f>AC52</f>
        <v>5061</v>
      </c>
      <c r="AE52" s="43">
        <f>AD52</f>
        <v>5061</v>
      </c>
      <c r="AF52" s="43">
        <f>AE52</f>
        <v>5061</v>
      </c>
      <c r="AG52" s="41"/>
    </row>
    <row r="53" spans="1:34">
      <c r="A53" s="1" t="str">
        <f>Balance_Sheet_Qtr!A53</f>
        <v>Additional Paid-in-Capital</v>
      </c>
      <c r="B53" s="43">
        <v>2693</v>
      </c>
      <c r="C53" s="43">
        <v>1975</v>
      </c>
      <c r="D53" s="43">
        <v>2141</v>
      </c>
      <c r="E53" s="43">
        <v>2880</v>
      </c>
      <c r="F53" s="43">
        <v>3420</v>
      </c>
      <c r="G53" s="43">
        <v>4371</v>
      </c>
      <c r="H53" s="43">
        <v>4655</v>
      </c>
      <c r="I53" s="43">
        <v>4757</v>
      </c>
      <c r="J53" s="43">
        <v>3456</v>
      </c>
      <c r="K53" s="43">
        <v>3724</v>
      </c>
      <c r="L53" s="43">
        <v>3866</v>
      </c>
      <c r="M53" s="43">
        <v>4033</v>
      </c>
      <c r="N53" s="43">
        <v>4122</v>
      </c>
      <c r="O53" s="43">
        <v>4415</v>
      </c>
      <c r="P53" s="43">
        <v>4625</v>
      </c>
      <c r="Q53" s="38">
        <f>Balance_Sheet_Qtr!F53</f>
        <v>4834</v>
      </c>
      <c r="R53" s="38">
        <f>Balance_Sheet_Qtr!K53</f>
        <v>4762</v>
      </c>
      <c r="S53" s="38">
        <f>Balance_Sheet_Qtr!P53</f>
        <v>6804</v>
      </c>
      <c r="T53" s="38">
        <f>Balance_Sheet_Qtr!U53</f>
        <v>6768</v>
      </c>
      <c r="U53" s="37">
        <f>Balance_Sheet_Qtr!Z53</f>
        <v>6745</v>
      </c>
      <c r="V53" s="38">
        <f>Balance_Sheet_Qtr!AE53</f>
        <v>7787</v>
      </c>
      <c r="W53" s="38">
        <f>Balance_Sheet_Qtr!AJ53</f>
        <v>9052</v>
      </c>
      <c r="X53" s="38">
        <f>Balance_Sheet_Qtr!AO53</f>
        <v>9947</v>
      </c>
      <c r="Y53" s="38">
        <f>Balance_Sheet_Qtr!AT53</f>
        <v>10309</v>
      </c>
      <c r="Z53" s="38">
        <f>Balance_Sheet_Qtr!AY53</f>
        <v>18964</v>
      </c>
      <c r="AA53" s="38">
        <f>Balance_Sheet_Qtr!BD53</f>
        <v>21441</v>
      </c>
      <c r="AB53" s="38">
        <f>Balance_Sheet_Qtr!BI53</f>
        <v>21866</v>
      </c>
      <c r="AC53" s="23">
        <f>AB53+Cash_Flow_Annual!AC48+Cash_Flow_Annual!AC6</f>
        <v>22292</v>
      </c>
      <c r="AD53" s="23">
        <f>AC53+Cash_Flow_Annual!AD48+Cash_Flow_Annual!AD6</f>
        <v>22718</v>
      </c>
      <c r="AE53" s="23">
        <f>AD53+Cash_Flow_Annual!AE48+Cash_Flow_Annual!AE6</f>
        <v>23144</v>
      </c>
      <c r="AF53" s="23">
        <f>AE53+Cash_Flow_Annual!AF48+Cash_Flow_Annual!AF6</f>
        <v>23570</v>
      </c>
      <c r="AG53" s="22"/>
    </row>
    <row r="54" spans="1:34">
      <c r="A54" s="1" t="str">
        <f>Balance_Sheet_Qtr!A54</f>
        <v>Treasury Stock</v>
      </c>
      <c r="B54" s="43">
        <v>-6221</v>
      </c>
      <c r="C54" s="43">
        <v>-8509</v>
      </c>
      <c r="D54" s="43">
        <v>-8397</v>
      </c>
      <c r="E54" s="43">
        <v>-8322</v>
      </c>
      <c r="F54" s="43">
        <v>-8810</v>
      </c>
      <c r="G54" s="43">
        <v>-11075</v>
      </c>
      <c r="H54" s="43">
        <v>-12459</v>
      </c>
      <c r="I54" s="43">
        <v>-14842</v>
      </c>
      <c r="J54" s="43">
        <v>-17758</v>
      </c>
      <c r="K54" s="43">
        <v>-15911</v>
      </c>
      <c r="L54" s="43">
        <v>-17187</v>
      </c>
      <c r="M54" s="43">
        <v>-16603</v>
      </c>
      <c r="N54" s="43">
        <v>-15937</v>
      </c>
      <c r="O54" s="43">
        <v>-17671</v>
      </c>
      <c r="P54" s="43">
        <v>-23298</v>
      </c>
      <c r="Q54" s="38">
        <f>Balance_Sheet_Qtr!F54</f>
        <v>-29568</v>
      </c>
      <c r="R54" s="38">
        <f>Balance_Sheet_Qtr!K54</f>
        <v>-36097</v>
      </c>
      <c r="S54" s="38">
        <f>Balance_Sheet_Qtr!P54</f>
        <v>-43454</v>
      </c>
      <c r="T54" s="38">
        <f>Balance_Sheet_Qtr!U54</f>
        <v>-52348</v>
      </c>
      <c r="U54" s="37">
        <f>Balance_Sheet_Qtr!Z54</f>
        <v>-54914</v>
      </c>
      <c r="V54" s="38">
        <f>Balance_Sheet_Qtr!AE54</f>
        <v>-52641</v>
      </c>
      <c r="W54" s="38">
        <f>Balance_Sheet_Qtr!AJ54</f>
        <v>-51861</v>
      </c>
      <c r="X54" s="38">
        <f>Balance_Sheet_Qtr!AO54</f>
        <v>-50814</v>
      </c>
      <c r="Y54" s="38">
        <f>Balance_Sheet_Qtr!AT54</f>
        <v>-49549</v>
      </c>
      <c r="Z54" s="38">
        <f>Balance_Sheet_Qtr!AY54</f>
        <v>-32386</v>
      </c>
      <c r="AA54" s="38">
        <f>Balance_Sheet_Qtr!BD54</f>
        <v>-28029</v>
      </c>
      <c r="AB54" s="38">
        <f>Balance_Sheet_Qtr!BI54</f>
        <v>-28029</v>
      </c>
      <c r="AC54" s="23">
        <f>AB54+Cash_Flow_Annual!AC51</f>
        <v>-28029</v>
      </c>
      <c r="AD54" s="23">
        <f>AC54+Cash_Flow_Annual!AD51</f>
        <v>-28029</v>
      </c>
      <c r="AE54" s="23">
        <f>AD54+Cash_Flow_Annual!AE51</f>
        <v>-28029</v>
      </c>
      <c r="AF54" s="23">
        <f>AE54+Cash_Flow_Annual!AF51</f>
        <v>-28029</v>
      </c>
      <c r="AG54" s="22"/>
      <c r="AH54" s="109">
        <f>Y53-Z53</f>
        <v>-8655</v>
      </c>
    </row>
    <row r="55" spans="1:34">
      <c r="A55" s="1" t="str">
        <f>Balance_Sheet_Qtr!A55</f>
        <v>Retained Earnings</v>
      </c>
      <c r="B55" s="43">
        <v>12090</v>
      </c>
      <c r="C55" s="43">
        <v>14340</v>
      </c>
      <c r="D55" s="43">
        <v>14262</v>
      </c>
      <c r="E55" s="43">
        <v>14407</v>
      </c>
      <c r="F55" s="43">
        <v>15565</v>
      </c>
      <c r="G55" s="43">
        <v>17276</v>
      </c>
      <c r="H55" s="43">
        <v>18453</v>
      </c>
      <c r="I55" s="43">
        <v>21376</v>
      </c>
      <c r="J55" s="43">
        <v>22675</v>
      </c>
      <c r="K55" s="43">
        <v>22746</v>
      </c>
      <c r="L55" s="43">
        <v>24784</v>
      </c>
      <c r="M55" s="43">
        <v>27524</v>
      </c>
      <c r="N55" s="43">
        <v>30037</v>
      </c>
      <c r="O55" s="43">
        <v>32964</v>
      </c>
      <c r="P55" s="43">
        <v>36180</v>
      </c>
      <c r="Q55" s="38">
        <f>Balance_Sheet_Qtr!F55</f>
        <v>38756</v>
      </c>
      <c r="R55" s="38">
        <f>Balance_Sheet_Qtr!K55</f>
        <v>40714</v>
      </c>
      <c r="S55" s="38">
        <f>Balance_Sheet_Qtr!P55</f>
        <v>45320</v>
      </c>
      <c r="T55" s="38">
        <f>Balance_Sheet_Qtr!U55</f>
        <v>55941</v>
      </c>
      <c r="U55" s="37">
        <f>Balance_Sheet_Qtr!Z55</f>
        <v>50644</v>
      </c>
      <c r="V55" s="38">
        <f>Balance_Sheet_Qtr!AE55</f>
        <v>38610</v>
      </c>
      <c r="W55" s="38">
        <f>Balance_Sheet_Qtr!AJ55</f>
        <v>34408</v>
      </c>
      <c r="X55" s="38">
        <f>Balance_Sheet_Qtr!AO55</f>
        <v>29473</v>
      </c>
      <c r="Y55" s="38">
        <f>Balance_Sheet_Qtr!AT55</f>
        <v>27251</v>
      </c>
      <c r="Z55" s="38">
        <f>Balance_Sheet_Qtr!AY55</f>
        <v>15362</v>
      </c>
      <c r="AA55" s="38">
        <f>Balance_Sheet_Qtr!BD55</f>
        <v>17252</v>
      </c>
      <c r="AB55" s="38">
        <f>Balance_Sheet_Qtr!BI55</f>
        <v>17727.060954729153</v>
      </c>
      <c r="AC55" s="23">
        <f>AB55+Cash_Flow_Annual!AC4+Cash_Flow_Annual!AC52</f>
        <v>23603.65030939932</v>
      </c>
      <c r="AD55" s="23">
        <f>AC55+Cash_Flow_Annual!AD4+Cash_Flow_Annual!AD52</f>
        <v>31131.718949206326</v>
      </c>
      <c r="AE55" s="23">
        <f>AD55+Cash_Flow_Annual!AE4+Cash_Flow_Annual!AE52</f>
        <v>39152.346940966672</v>
      </c>
      <c r="AF55" s="23">
        <f>AE55+Cash_Flow_Annual!AF4+Cash_Flow_Annual!AF52</f>
        <v>47536.822307474657</v>
      </c>
      <c r="AG55" s="22"/>
    </row>
    <row r="56" spans="1:34">
      <c r="A56" s="1" t="str">
        <f>Balance_Sheet_Qtr!A56</f>
        <v>Accumulated Other Comprehensive Loss</v>
      </c>
      <c r="B56" s="43">
        <v>-2</v>
      </c>
      <c r="C56" s="43">
        <v>-485</v>
      </c>
      <c r="D56" s="43">
        <v>-4045</v>
      </c>
      <c r="E56" s="43">
        <v>-4145</v>
      </c>
      <c r="F56" s="43">
        <v>-1925</v>
      </c>
      <c r="G56" s="43">
        <v>-1778</v>
      </c>
      <c r="H56" s="43">
        <v>-8217</v>
      </c>
      <c r="I56" s="43">
        <v>-4596</v>
      </c>
      <c r="J56" s="43">
        <v>-13525</v>
      </c>
      <c r="K56" s="43">
        <v>-11877</v>
      </c>
      <c r="L56" s="43">
        <v>-13758</v>
      </c>
      <c r="M56" s="43">
        <v>-16500</v>
      </c>
      <c r="N56" s="43">
        <v>-17416</v>
      </c>
      <c r="O56" s="43">
        <v>-9894</v>
      </c>
      <c r="P56" s="43">
        <v>-13903</v>
      </c>
      <c r="Q56" s="38">
        <f>Balance_Sheet_Qtr!F56</f>
        <v>-12748</v>
      </c>
      <c r="R56" s="38">
        <f>Balance_Sheet_Qtr!K56</f>
        <v>-13623</v>
      </c>
      <c r="S56" s="38">
        <f>Balance_Sheet_Qtr!P56</f>
        <v>-13376</v>
      </c>
      <c r="T56" s="38">
        <f>Balance_Sheet_Qtr!U56</f>
        <v>-15083</v>
      </c>
      <c r="U56" s="37">
        <f>Balance_Sheet_Qtr!Z56</f>
        <v>-16153</v>
      </c>
      <c r="V56" s="38">
        <f>Balance_Sheet_Qtr!AE56</f>
        <v>-17133</v>
      </c>
      <c r="W56" s="38">
        <f>Balance_Sheet_Qtr!AJ56</f>
        <v>-11659</v>
      </c>
      <c r="X56" s="38">
        <f>Balance_Sheet_Qtr!AO56</f>
        <v>-9550</v>
      </c>
      <c r="Y56" s="38">
        <f>Balance_Sheet_Qtr!AT56</f>
        <v>-10305</v>
      </c>
      <c r="Z56" s="38">
        <f>Balance_Sheet_Qtr!AY56</f>
        <v>-10915</v>
      </c>
      <c r="AA56" s="38">
        <f>Balance_Sheet_Qtr!BD56</f>
        <v>-10277</v>
      </c>
      <c r="AB56" s="38">
        <f>Balance_Sheet_Qtr!BI56</f>
        <v>-10277</v>
      </c>
      <c r="AC56" s="23">
        <f>AB56+Cash_Flow_Annual!AC57</f>
        <v>-10277</v>
      </c>
      <c r="AD56" s="23">
        <f>AC56+Cash_Flow_Annual!AD57</f>
        <v>-10277</v>
      </c>
      <c r="AE56" s="23">
        <f>AD56+Cash_Flow_Annual!AE57</f>
        <v>-10277</v>
      </c>
      <c r="AF56" s="23">
        <f>AE56+Cash_Flow_Annual!AF57</f>
        <v>-10277</v>
      </c>
      <c r="AG56" s="22"/>
      <c r="AH56" s="109">
        <f>Y55-Z55</f>
        <v>11889</v>
      </c>
    </row>
    <row r="57" spans="1:34">
      <c r="A57" s="1" t="str">
        <f>Balance_Sheet_Qtr!A57</f>
        <v>Preferred Stock</v>
      </c>
      <c r="B57" s="43">
        <f>-2592-7</f>
        <v>-2599</v>
      </c>
      <c r="C57" s="43">
        <f>-1552-3</f>
        <v>-1555</v>
      </c>
      <c r="D57" s="43">
        <v>-1324</v>
      </c>
      <c r="E57" s="43">
        <v>-1740</v>
      </c>
      <c r="F57" s="43">
        <v>-2023</v>
      </c>
      <c r="G57" s="43">
        <v>-2796</v>
      </c>
      <c r="H57" s="43">
        <v>-2754</v>
      </c>
      <c r="I57" s="43">
        <v>-2752</v>
      </c>
      <c r="J57" s="43">
        <v>-1203</v>
      </c>
      <c r="K57" s="43">
        <v>-1615</v>
      </c>
      <c r="L57" s="43">
        <v>0</v>
      </c>
      <c r="M57" s="43">
        <v>0</v>
      </c>
      <c r="N57" s="43">
        <v>0</v>
      </c>
      <c r="O57" s="43">
        <v>0</v>
      </c>
      <c r="P57" s="43">
        <v>0</v>
      </c>
      <c r="Q57" s="38">
        <f>Balance_Sheet_Qtr!F57</f>
        <v>0</v>
      </c>
      <c r="R57" s="38">
        <f>Balance_Sheet_Qtr!K57</f>
        <v>0</v>
      </c>
      <c r="S57" s="38">
        <f>Balance_Sheet_Qtr!P57</f>
        <v>0</v>
      </c>
      <c r="T57" s="38">
        <f>Balance_Sheet_Qtr!U57</f>
        <v>0</v>
      </c>
      <c r="U57" s="37">
        <f>Balance_Sheet_Qtr!Z57</f>
        <v>0</v>
      </c>
      <c r="V57" s="38">
        <f>Balance_Sheet_Qtr!AE57</f>
        <v>0</v>
      </c>
      <c r="W57" s="38">
        <f>Balance_Sheet_Qtr!AJ57</f>
        <v>0</v>
      </c>
      <c r="X57" s="38">
        <f>Balance_Sheet_Qtr!AO57</f>
        <v>0</v>
      </c>
      <c r="Y57" s="38">
        <f>Balance_Sheet_Qtr!AT57</f>
        <v>0</v>
      </c>
      <c r="Z57" s="38">
        <f>Balance_Sheet_Qtr!AY57</f>
        <v>6</v>
      </c>
      <c r="AA57" s="38">
        <f>Balance_Sheet_Qtr!BD57</f>
        <v>6</v>
      </c>
      <c r="AB57" s="38">
        <f>Balance_Sheet_Qtr!BI57</f>
        <v>6</v>
      </c>
      <c r="AC57" s="72">
        <f>AB57+Cash_Flow_Annual!AC53</f>
        <v>6</v>
      </c>
      <c r="AD57" s="72">
        <f>AC57+Cash_Flow_Annual!AD53</f>
        <v>6</v>
      </c>
      <c r="AE57" s="72">
        <f>AD57+Cash_Flow_Annual!AE53</f>
        <v>6</v>
      </c>
      <c r="AF57" s="72">
        <f>AE57+Cash_Flow_Annual!AF53</f>
        <v>6</v>
      </c>
      <c r="AG57" s="41"/>
    </row>
    <row r="58" spans="1:34">
      <c r="A58" s="9" t="str">
        <f>Balance_Sheet_Qtr!A58</f>
        <v>Total Stockholder's Equity</v>
      </c>
      <c r="B58" s="25">
        <f t="shared" ref="B58:P58" si="9">SUM(B51:B57)</f>
        <v>11020</v>
      </c>
      <c r="C58" s="25">
        <f t="shared" si="9"/>
        <v>10825</v>
      </c>
      <c r="D58" s="25">
        <f t="shared" si="9"/>
        <v>7696</v>
      </c>
      <c r="E58" s="25">
        <f t="shared" si="9"/>
        <v>8139</v>
      </c>
      <c r="F58" s="25">
        <f t="shared" si="9"/>
        <v>11286</v>
      </c>
      <c r="G58" s="25">
        <f t="shared" si="9"/>
        <v>11059</v>
      </c>
      <c r="H58" s="25">
        <f t="shared" si="9"/>
        <v>4739</v>
      </c>
      <c r="I58" s="25">
        <f t="shared" si="9"/>
        <v>9004</v>
      </c>
      <c r="J58" s="25">
        <f t="shared" si="9"/>
        <v>-1294</v>
      </c>
      <c r="K58" s="25">
        <f t="shared" si="9"/>
        <v>2128</v>
      </c>
      <c r="L58" s="25">
        <f t="shared" si="9"/>
        <v>2766</v>
      </c>
      <c r="M58" s="25">
        <f t="shared" si="9"/>
        <v>3515</v>
      </c>
      <c r="N58" s="25">
        <f t="shared" si="9"/>
        <v>5867</v>
      </c>
      <c r="O58" s="25">
        <f t="shared" si="9"/>
        <v>14875</v>
      </c>
      <c r="P58" s="25">
        <f t="shared" si="9"/>
        <v>8665</v>
      </c>
      <c r="Q58" s="178">
        <f>Balance_Sheet_Qtr!F58</f>
        <v>6335</v>
      </c>
      <c r="R58" s="178">
        <f>Balance_Sheet_Qtr!K58</f>
        <v>817</v>
      </c>
      <c r="S58" s="178">
        <f>Balance_Sheet_Qtr!P58</f>
        <v>355</v>
      </c>
      <c r="T58" s="178">
        <f>Balance_Sheet_Qtr!U58</f>
        <v>339</v>
      </c>
      <c r="U58" s="71">
        <f>Balance_Sheet_Qtr!Z58</f>
        <v>-8617</v>
      </c>
      <c r="V58" s="178">
        <f>Balance_Sheet_Qtr!AE58</f>
        <v>-18316</v>
      </c>
      <c r="W58" s="178">
        <f>Balance_Sheet_Qtr!AJ58</f>
        <v>-14999</v>
      </c>
      <c r="X58" s="178">
        <f>Balance_Sheet_Qtr!AO58</f>
        <v>-15883</v>
      </c>
      <c r="Y58" s="178">
        <f>Balance_Sheet_Qtr!AT58</f>
        <v>-17233</v>
      </c>
      <c r="Z58" s="178">
        <f>Balance_Sheet_Qtr!AY58</f>
        <v>-3908</v>
      </c>
      <c r="AA58" s="178">
        <f>Balance_Sheet_Qtr!BD58</f>
        <v>5454</v>
      </c>
      <c r="AB58" s="178">
        <f>Balance_Sheet_Qtr!BI58</f>
        <v>6354.0609547291533</v>
      </c>
      <c r="AC58" s="25">
        <f>SUM(AC51:AC57)</f>
        <v>12656.65030939932</v>
      </c>
      <c r="AD58" s="25">
        <f>SUM(AD51:AD57)</f>
        <v>20610.718949206326</v>
      </c>
      <c r="AE58" s="25">
        <f>SUM(AE51:AE57)</f>
        <v>29057.346940966672</v>
      </c>
      <c r="AF58" s="25">
        <f>SUM(AF51:AF57)</f>
        <v>37867.822307474657</v>
      </c>
      <c r="AG58" s="77"/>
    </row>
    <row r="59" spans="1:34">
      <c r="B59" s="23"/>
      <c r="C59" s="23"/>
      <c r="D59" s="23"/>
      <c r="E59" s="23"/>
      <c r="F59" s="23"/>
      <c r="G59" s="23"/>
      <c r="H59" s="23"/>
      <c r="I59" s="23"/>
      <c r="J59" s="23"/>
      <c r="K59" s="23"/>
      <c r="L59" s="23"/>
      <c r="M59" s="23"/>
      <c r="N59" s="23"/>
      <c r="O59" s="23"/>
      <c r="P59" s="23"/>
      <c r="Q59" s="23"/>
      <c r="R59" s="23"/>
      <c r="S59" s="23"/>
      <c r="T59" s="23"/>
      <c r="U59" s="22"/>
      <c r="V59" s="23"/>
      <c r="W59" s="23"/>
      <c r="X59" s="23"/>
      <c r="Y59" s="23"/>
      <c r="Z59" s="23"/>
      <c r="AA59" s="23"/>
      <c r="AB59" s="23"/>
      <c r="AC59" s="201"/>
      <c r="AD59" s="201"/>
      <c r="AE59" s="201"/>
      <c r="AF59" s="201"/>
    </row>
    <row r="60" spans="1:34">
      <c r="A60" s="5" t="str">
        <f>Balance_Sheet_Qtr!A60</f>
        <v>Noncontrolling Interests in Subsidiary</v>
      </c>
      <c r="B60" s="43">
        <v>0</v>
      </c>
      <c r="C60" s="43">
        <v>0</v>
      </c>
      <c r="D60" s="43">
        <v>0</v>
      </c>
      <c r="E60" s="43">
        <v>0</v>
      </c>
      <c r="F60" s="43">
        <v>0</v>
      </c>
      <c r="G60" s="43">
        <v>0</v>
      </c>
      <c r="H60" s="43">
        <v>0</v>
      </c>
      <c r="I60" s="43">
        <v>0</v>
      </c>
      <c r="J60" s="43">
        <v>0</v>
      </c>
      <c r="K60" s="43">
        <v>97</v>
      </c>
      <c r="L60" s="43">
        <v>96</v>
      </c>
      <c r="M60" s="43">
        <v>93</v>
      </c>
      <c r="N60" s="43">
        <v>100</v>
      </c>
      <c r="O60" s="43">
        <v>122</v>
      </c>
      <c r="P60" s="43">
        <v>125</v>
      </c>
      <c r="Q60" s="179">
        <f>Balance_Sheet_Qtr!F60</f>
        <v>62</v>
      </c>
      <c r="R60" s="179">
        <f>Balance_Sheet_Qtr!K60</f>
        <v>60</v>
      </c>
      <c r="S60" s="179">
        <f>Balance_Sheet_Qtr!P60</f>
        <v>57</v>
      </c>
      <c r="T60" s="179">
        <f>Balance_Sheet_Qtr!U60</f>
        <v>71</v>
      </c>
      <c r="U60" s="69">
        <f>Balance_Sheet_Qtr!Z60</f>
        <v>317</v>
      </c>
      <c r="V60" s="179">
        <f>Balance_Sheet_Qtr!AE60</f>
        <v>241</v>
      </c>
      <c r="W60" s="179">
        <f>Balance_Sheet_Qtr!AJ60</f>
        <v>153</v>
      </c>
      <c r="X60" s="179">
        <f>Balance_Sheet_Qtr!AO60</f>
        <v>35</v>
      </c>
      <c r="Y60" s="179">
        <f>Balance_Sheet_Qtr!AT60</f>
        <v>5</v>
      </c>
      <c r="Z60" s="179">
        <f>Balance_Sheet_Qtr!AY60</f>
        <v>-6</v>
      </c>
      <c r="AA60" s="179">
        <f>Balance_Sheet_Qtr!BD60</f>
        <v>3</v>
      </c>
      <c r="AB60" s="179">
        <f>Balance_Sheet_Qtr!BI60</f>
        <v>3</v>
      </c>
      <c r="AC60" s="40">
        <f>AB60+Cash_Flow_Annual!AC47</f>
        <v>3</v>
      </c>
      <c r="AD60" s="40">
        <f>AC60+Cash_Flow_Annual!AD47</f>
        <v>3</v>
      </c>
      <c r="AE60" s="40">
        <f>AD60+Cash_Flow_Annual!AE47</f>
        <v>3</v>
      </c>
      <c r="AF60" s="40">
        <f>AE60+Cash_Flow_Annual!AF47</f>
        <v>3</v>
      </c>
      <c r="AG60" s="39"/>
    </row>
    <row r="61" spans="1:34">
      <c r="B61" s="23"/>
      <c r="C61" s="23"/>
      <c r="D61" s="23"/>
      <c r="E61" s="23"/>
      <c r="F61" s="23"/>
      <c r="G61" s="23"/>
      <c r="H61" s="23"/>
      <c r="I61" s="23"/>
      <c r="J61" s="23"/>
      <c r="K61" s="23"/>
      <c r="L61" s="23"/>
      <c r="M61" s="23"/>
      <c r="N61" s="23"/>
      <c r="O61" s="23"/>
      <c r="P61" s="23"/>
      <c r="Q61" s="23"/>
      <c r="R61" s="23"/>
      <c r="S61" s="23"/>
      <c r="T61" s="23"/>
      <c r="U61" s="22"/>
      <c r="V61" s="23"/>
      <c r="W61" s="23"/>
      <c r="X61" s="23"/>
      <c r="Y61" s="23"/>
      <c r="Z61" s="23"/>
      <c r="AA61" s="23"/>
      <c r="AB61" s="23"/>
      <c r="AC61" s="201"/>
      <c r="AD61" s="201"/>
      <c r="AE61" s="201"/>
      <c r="AF61" s="201"/>
    </row>
    <row r="62" spans="1:34">
      <c r="A62" s="9" t="str">
        <f>Balance_Sheet_Qtr!A62</f>
        <v>Total Equity</v>
      </c>
      <c r="B62" s="25">
        <f t="shared" ref="B62:P62" si="10">+B58+B60</f>
        <v>11020</v>
      </c>
      <c r="C62" s="25">
        <f t="shared" si="10"/>
        <v>10825</v>
      </c>
      <c r="D62" s="25">
        <f t="shared" si="10"/>
        <v>7696</v>
      </c>
      <c r="E62" s="25">
        <f t="shared" si="10"/>
        <v>8139</v>
      </c>
      <c r="F62" s="25">
        <f t="shared" si="10"/>
        <v>11286</v>
      </c>
      <c r="G62" s="25">
        <f t="shared" si="10"/>
        <v>11059</v>
      </c>
      <c r="H62" s="25">
        <f t="shared" si="10"/>
        <v>4739</v>
      </c>
      <c r="I62" s="25">
        <f t="shared" si="10"/>
        <v>9004</v>
      </c>
      <c r="J62" s="25">
        <f t="shared" si="10"/>
        <v>-1294</v>
      </c>
      <c r="K62" s="25">
        <f t="shared" si="10"/>
        <v>2225</v>
      </c>
      <c r="L62" s="25">
        <f t="shared" si="10"/>
        <v>2862</v>
      </c>
      <c r="M62" s="25">
        <f t="shared" si="10"/>
        <v>3608</v>
      </c>
      <c r="N62" s="25">
        <f t="shared" si="10"/>
        <v>5967</v>
      </c>
      <c r="O62" s="25">
        <f t="shared" si="10"/>
        <v>14997</v>
      </c>
      <c r="P62" s="25">
        <f t="shared" si="10"/>
        <v>8790</v>
      </c>
      <c r="Q62" s="178">
        <f>Balance_Sheet_Qtr!F62</f>
        <v>6397</v>
      </c>
      <c r="R62" s="178">
        <f>Balance_Sheet_Qtr!K62</f>
        <v>877</v>
      </c>
      <c r="S62" s="178">
        <f>Balance_Sheet_Qtr!P62</f>
        <v>412</v>
      </c>
      <c r="T62" s="178">
        <f>Balance_Sheet_Qtr!U62</f>
        <v>410</v>
      </c>
      <c r="U62" s="71">
        <f>Balance_Sheet_Qtr!Z62</f>
        <v>-8300</v>
      </c>
      <c r="V62" s="178">
        <f>Balance_Sheet_Qtr!AE62</f>
        <v>-18075</v>
      </c>
      <c r="W62" s="178">
        <f>Balance_Sheet_Qtr!AJ62</f>
        <v>-14846</v>
      </c>
      <c r="X62" s="178">
        <f>Balance_Sheet_Qtr!AO62</f>
        <v>-15848</v>
      </c>
      <c r="Y62" s="178">
        <f>Balance_Sheet_Qtr!AT62</f>
        <v>-17228</v>
      </c>
      <c r="Z62" s="178">
        <f>Balance_Sheet_Qtr!AY62</f>
        <v>-3914</v>
      </c>
      <c r="AA62" s="178">
        <f>Balance_Sheet_Qtr!BD62</f>
        <v>5457</v>
      </c>
      <c r="AB62" s="178">
        <f>Balance_Sheet_Qtr!BI62</f>
        <v>6357.0609547291533</v>
      </c>
      <c r="AC62" s="25">
        <f>+AC58+AC60</f>
        <v>12659.65030939932</v>
      </c>
      <c r="AD62" s="25">
        <f>+AD58+AD60</f>
        <v>20613.718949206326</v>
      </c>
      <c r="AE62" s="25">
        <f>+AE58+AE60</f>
        <v>29060.346940966672</v>
      </c>
      <c r="AF62" s="25">
        <f>+AF58+AF60</f>
        <v>37870.822307474657</v>
      </c>
      <c r="AG62" s="77"/>
    </row>
    <row r="63" spans="1:34">
      <c r="B63" s="23"/>
      <c r="C63" s="23"/>
      <c r="D63" s="23"/>
      <c r="E63" s="23"/>
      <c r="F63" s="23"/>
      <c r="G63" s="23"/>
      <c r="H63" s="23"/>
      <c r="I63" s="23"/>
      <c r="J63" s="23"/>
      <c r="K63" s="23"/>
      <c r="L63" s="23"/>
      <c r="M63" s="23"/>
      <c r="N63" s="23"/>
      <c r="O63" s="23"/>
      <c r="P63" s="23"/>
      <c r="Q63" s="23"/>
      <c r="R63" s="23"/>
      <c r="S63" s="23"/>
      <c r="T63" s="23"/>
      <c r="U63" s="22"/>
      <c r="V63" s="23"/>
      <c r="W63" s="23"/>
      <c r="X63" s="23"/>
      <c r="Y63" s="23"/>
      <c r="Z63" s="23"/>
      <c r="AA63" s="23"/>
      <c r="AB63" s="23"/>
      <c r="AC63" s="23"/>
      <c r="AD63" s="23"/>
      <c r="AE63" s="23"/>
      <c r="AF63" s="23"/>
      <c r="AG63" s="22"/>
    </row>
    <row r="64" spans="1:34">
      <c r="A64" s="9" t="str">
        <f>Balance_Sheet_Qtr!A64</f>
        <v>Total Liabilities and Equity</v>
      </c>
      <c r="B64" s="25">
        <f t="shared" ref="B64:P64" si="11">+B62+B48</f>
        <v>42028</v>
      </c>
      <c r="C64" s="25">
        <f t="shared" si="11"/>
        <v>48343</v>
      </c>
      <c r="D64" s="25">
        <f t="shared" si="11"/>
        <v>52342</v>
      </c>
      <c r="E64" s="25">
        <f t="shared" si="11"/>
        <v>53035</v>
      </c>
      <c r="F64" s="25">
        <f t="shared" si="11"/>
        <v>53963</v>
      </c>
      <c r="G64" s="25">
        <f t="shared" si="11"/>
        <v>60058</v>
      </c>
      <c r="H64" s="25">
        <f t="shared" si="11"/>
        <v>51794</v>
      </c>
      <c r="I64" s="25">
        <f t="shared" si="11"/>
        <v>58986</v>
      </c>
      <c r="J64" s="25">
        <f t="shared" si="11"/>
        <v>53779</v>
      </c>
      <c r="K64" s="25">
        <f t="shared" si="11"/>
        <v>62053</v>
      </c>
      <c r="L64" s="25">
        <f t="shared" si="11"/>
        <v>68565</v>
      </c>
      <c r="M64" s="25">
        <f t="shared" si="11"/>
        <v>79986</v>
      </c>
      <c r="N64" s="25">
        <f t="shared" si="11"/>
        <v>88896</v>
      </c>
      <c r="O64" s="25">
        <f t="shared" si="11"/>
        <v>92663</v>
      </c>
      <c r="P64" s="25">
        <f t="shared" si="11"/>
        <v>99198</v>
      </c>
      <c r="Q64" s="178">
        <f>Balance_Sheet_Qtr!F64</f>
        <v>94408</v>
      </c>
      <c r="R64" s="178">
        <f>Balance_Sheet_Qtr!K64</f>
        <v>89997</v>
      </c>
      <c r="S64" s="178">
        <f>Balance_Sheet_Qtr!P64</f>
        <v>92333</v>
      </c>
      <c r="T64" s="178">
        <f>Balance_Sheet_Qtr!U64</f>
        <v>117359</v>
      </c>
      <c r="U64" s="71">
        <f>Balance_Sheet_Qtr!Z64</f>
        <v>133625</v>
      </c>
      <c r="V64" s="178">
        <f>Balance_Sheet_Qtr!AE64</f>
        <v>152136</v>
      </c>
      <c r="W64" s="178">
        <f>Balance_Sheet_Qtr!AJ64</f>
        <v>138552</v>
      </c>
      <c r="X64" s="178">
        <f>Balance_Sheet_Qtr!AO64</f>
        <v>137100</v>
      </c>
      <c r="Y64" s="178">
        <f>Balance_Sheet_Qtr!AT64</f>
        <v>137012</v>
      </c>
      <c r="Z64" s="178">
        <f>Balance_Sheet_Qtr!AY64</f>
        <v>156363</v>
      </c>
      <c r="AA64" s="178">
        <f>Balance_Sheet_Qtr!BD64</f>
        <v>168235</v>
      </c>
      <c r="AB64" s="178">
        <f>Balance_Sheet_Qtr!BI64</f>
        <v>165220.98789985001</v>
      </c>
      <c r="AC64" s="25">
        <f>+AC62+AC48</f>
        <v>163874.61427785686</v>
      </c>
      <c r="AD64" s="25">
        <f>+AD62+AD48</f>
        <v>171215.96124594595</v>
      </c>
      <c r="AE64" s="25">
        <f>+AE62+AE48</f>
        <v>180762.10390628071</v>
      </c>
      <c r="AF64" s="25">
        <f>+AF62+AF48</f>
        <v>191180.12164003079</v>
      </c>
      <c r="AG64" s="77"/>
    </row>
    <row r="65" spans="1:39">
      <c r="A65" s="18" t="str">
        <f>Balance_Sheet_Qtr!A65</f>
        <v>Check</v>
      </c>
      <c r="B65" s="84" t="b">
        <f t="shared" ref="B65:W65" si="12">+B64=B27</f>
        <v>1</v>
      </c>
      <c r="C65" s="84" t="b">
        <f t="shared" si="12"/>
        <v>1</v>
      </c>
      <c r="D65" s="84" t="b">
        <f t="shared" si="12"/>
        <v>1</v>
      </c>
      <c r="E65" s="84" t="b">
        <f t="shared" si="12"/>
        <v>1</v>
      </c>
      <c r="F65" s="84" t="b">
        <f t="shared" si="12"/>
        <v>1</v>
      </c>
      <c r="G65" s="84" t="b">
        <f t="shared" si="12"/>
        <v>1</v>
      </c>
      <c r="H65" s="84" t="b">
        <f t="shared" si="12"/>
        <v>1</v>
      </c>
      <c r="I65" s="84" t="b">
        <f t="shared" si="12"/>
        <v>1</v>
      </c>
      <c r="J65" s="84" t="b">
        <f t="shared" si="12"/>
        <v>1</v>
      </c>
      <c r="K65" s="84" t="b">
        <f t="shared" si="12"/>
        <v>1</v>
      </c>
      <c r="L65" s="84" t="b">
        <f t="shared" si="12"/>
        <v>1</v>
      </c>
      <c r="M65" s="84" t="b">
        <f t="shared" si="12"/>
        <v>1</v>
      </c>
      <c r="N65" s="84" t="b">
        <f t="shared" si="12"/>
        <v>1</v>
      </c>
      <c r="O65" s="84" t="b">
        <f t="shared" si="12"/>
        <v>1</v>
      </c>
      <c r="P65" s="84" t="b">
        <f t="shared" si="12"/>
        <v>1</v>
      </c>
      <c r="Q65" s="180" t="b">
        <f t="shared" si="12"/>
        <v>1</v>
      </c>
      <c r="R65" s="180" t="b">
        <f t="shared" si="12"/>
        <v>1</v>
      </c>
      <c r="S65" s="180" t="b">
        <f t="shared" si="12"/>
        <v>1</v>
      </c>
      <c r="T65" s="180" t="b">
        <f t="shared" si="12"/>
        <v>1</v>
      </c>
      <c r="U65" s="84" t="b">
        <f t="shared" si="12"/>
        <v>1</v>
      </c>
      <c r="V65" s="84" t="b">
        <f t="shared" si="12"/>
        <v>1</v>
      </c>
      <c r="W65" s="84" t="b">
        <f t="shared" si="12"/>
        <v>1</v>
      </c>
      <c r="X65" s="84" t="b">
        <f t="shared" ref="X65:AE65" si="13">+X64=X27</f>
        <v>1</v>
      </c>
      <c r="Y65" s="84" t="b">
        <f t="shared" si="13"/>
        <v>1</v>
      </c>
      <c r="Z65" s="84" t="b">
        <f t="shared" si="13"/>
        <v>1</v>
      </c>
      <c r="AA65" s="84" t="b">
        <f t="shared" si="13"/>
        <v>1</v>
      </c>
      <c r="AB65" s="84" t="b">
        <f t="shared" ref="AB65" ca="1" si="14">+AB64=AB27</f>
        <v>1</v>
      </c>
      <c r="AC65" s="84" t="b">
        <f t="shared" ca="1" si="13"/>
        <v>1</v>
      </c>
      <c r="AD65" s="84" t="b">
        <f t="shared" ca="1" si="13"/>
        <v>1</v>
      </c>
      <c r="AE65" s="84" t="b">
        <f t="shared" ca="1" si="13"/>
        <v>1</v>
      </c>
      <c r="AF65" s="84" t="b">
        <f t="shared" ref="AF65" ca="1" si="15">+AF64=AF27</f>
        <v>1</v>
      </c>
      <c r="AG65" s="83"/>
    </row>
    <row r="66" spans="1:39">
      <c r="B66" s="23"/>
      <c r="C66" s="23"/>
      <c r="D66" s="23"/>
      <c r="E66" s="23"/>
      <c r="F66" s="23"/>
      <c r="G66" s="23"/>
      <c r="H66" s="23"/>
      <c r="I66" s="23"/>
      <c r="J66" s="23"/>
      <c r="K66" s="23"/>
      <c r="L66" s="23"/>
      <c r="M66" s="23"/>
      <c r="N66" s="23"/>
      <c r="O66" s="23"/>
      <c r="P66" s="23"/>
      <c r="Q66" s="23"/>
      <c r="R66" s="23"/>
      <c r="S66" s="23"/>
      <c r="T66" s="23"/>
      <c r="U66" s="22"/>
      <c r="V66" s="23"/>
      <c r="W66" s="23"/>
      <c r="X66" s="23"/>
      <c r="Y66" s="23"/>
      <c r="Z66" s="23">
        <f t="shared" ref="Z66" si="16">+Z64-Z27</f>
        <v>0</v>
      </c>
      <c r="AA66" s="23">
        <f t="shared" ref="AA66:AB66" si="17">+AA64-AA27</f>
        <v>0</v>
      </c>
      <c r="AB66" s="23">
        <f t="shared" ca="1" si="17"/>
        <v>0</v>
      </c>
      <c r="AC66" s="23">
        <f ca="1">+AC64-AC27</f>
        <v>0</v>
      </c>
      <c r="AD66" s="23">
        <f ca="1">+AD64-AD27</f>
        <v>0</v>
      </c>
      <c r="AE66" s="23">
        <f ca="1">+AE64-AE27</f>
        <v>0</v>
      </c>
      <c r="AF66" s="23">
        <f ca="1">+AF64-AF27</f>
        <v>0</v>
      </c>
      <c r="AG66" s="22"/>
    </row>
    <row r="67" spans="1:39">
      <c r="A67" s="113" t="str">
        <f>Balance_Sheet_Qtr!A67</f>
        <v>Financial Metrics</v>
      </c>
      <c r="B67" s="181"/>
      <c r="C67" s="181"/>
      <c r="D67" s="181"/>
      <c r="E67" s="181"/>
      <c r="F67" s="181"/>
      <c r="G67" s="181"/>
      <c r="H67" s="181"/>
      <c r="I67" s="181"/>
      <c r="J67" s="181"/>
      <c r="K67" s="181"/>
      <c r="L67" s="181"/>
      <c r="M67" s="181"/>
      <c r="N67" s="181"/>
      <c r="O67" s="181"/>
      <c r="P67" s="181"/>
      <c r="Q67" s="181"/>
      <c r="R67" s="181"/>
      <c r="S67" s="181"/>
      <c r="T67" s="181"/>
      <c r="U67" s="90"/>
      <c r="V67" s="181"/>
      <c r="W67" s="181"/>
      <c r="X67" s="181"/>
      <c r="Y67" s="181"/>
      <c r="Z67" s="181"/>
      <c r="AA67" s="181"/>
      <c r="AB67" s="181"/>
      <c r="AC67" s="181"/>
      <c r="AD67" s="181"/>
      <c r="AE67" s="181"/>
      <c r="AF67" s="181"/>
      <c r="AG67" s="22"/>
      <c r="AI67" s="26" t="str">
        <f>+Cash_Flow_Annual!AA2</f>
        <v>CY2025A</v>
      </c>
      <c r="AJ67" s="26" t="str">
        <f>+Cash_Flow_Annual!AB2</f>
        <v>CY2026E</v>
      </c>
      <c r="AK67" s="26" t="str">
        <f>+Cash_Flow_Annual!AC2</f>
        <v>CY2027E</v>
      </c>
      <c r="AL67" s="26" t="str">
        <f>+Cash_Flow_Annual!AD2</f>
        <v>CY2028E</v>
      </c>
      <c r="AM67" s="26" t="str">
        <f>+Cash_Flow_Annual!AE2</f>
        <v>CY2029E</v>
      </c>
    </row>
    <row r="68" spans="1:39">
      <c r="A68" s="1" t="str">
        <f>Balance_Sheet_Qtr!A68</f>
        <v>Days Sales Outstanding (Receivables)</v>
      </c>
      <c r="B68" s="23">
        <f>+(B8)/Income_Statement_Annual!B$10*365</f>
        <v>35.048420724459774</v>
      </c>
      <c r="C68" s="23">
        <f>+(C8)/Income_Statement_Annual!C$10*365</f>
        <v>32.336850063576065</v>
      </c>
      <c r="D68" s="23">
        <f>+(D8)/Income_Statement_Annual!D$10*365</f>
        <v>33.805423503079851</v>
      </c>
      <c r="E68" s="23">
        <f>+(E8)/Income_Statement_Annual!E$10*365</f>
        <v>32.791606972301814</v>
      </c>
      <c r="F68" s="23">
        <f>+(F8)/Income_Statement_Annual!F$10*365</f>
        <v>32.375946012924871</v>
      </c>
      <c r="G68" s="23">
        <f>+(G8)/Income_Statement_Annual!G$10*365</f>
        <v>35.709703287890939</v>
      </c>
      <c r="H68" s="23">
        <f>+(H8)/Income_Statement_Annual!H$10*365</f>
        <v>31.350967007963597</v>
      </c>
      <c r="I68" s="23">
        <f>+(I8)/Income_Statement_Annual!I$10*365</f>
        <v>31.558889541627128</v>
      </c>
      <c r="J68" s="23">
        <f>+(J8)/Income_Statement_Annual!J$10*365</f>
        <v>33.570244134692736</v>
      </c>
      <c r="K68" s="23">
        <f>+(K8)/Income_Statement_Annual!K$10*365</f>
        <v>30.924049149836705</v>
      </c>
      <c r="L68" s="23">
        <f>+(L8)/Income_Statement_Annual!L$10*365</f>
        <v>30.77519982583274</v>
      </c>
      <c r="M68" s="23">
        <f>+(M8)/Income_Statement_Annual!M$10*365</f>
        <v>30.762275405543029</v>
      </c>
      <c r="N68" s="23">
        <f>+(N8)/Income_Statement_Annual!N$10*365</f>
        <v>25.054713701681802</v>
      </c>
      <c r="O68" s="23">
        <f>+(O8)/Income_Statement_Annual!O$10*365</f>
        <v>27.582628170347366</v>
      </c>
      <c r="P68" s="23">
        <f>+(P8)/Income_Statement_Annual!P$10*365</f>
        <v>31.082226041735531</v>
      </c>
      <c r="Q68" s="38">
        <f>Balance_Sheet_Qtr!F68</f>
        <v>33.088259774850698</v>
      </c>
      <c r="R68" s="38">
        <f>Balance_Sheet_Qtr!K68</f>
        <v>34.087405229933061</v>
      </c>
      <c r="S68" s="38">
        <f>Balance_Sheet_Qtr!P68</f>
        <v>40.831232381256321</v>
      </c>
      <c r="T68" s="38">
        <f>Balance_Sheet_Qtr!U68</f>
        <v>14.000563647690528</v>
      </c>
      <c r="U68" s="37">
        <f>Balance_Sheet_Qtr!Z68</f>
        <v>15.570866913099701</v>
      </c>
      <c r="V68" s="38">
        <f>Balance_Sheet_Qtr!AE68</f>
        <v>12.26959317720692</v>
      </c>
      <c r="W68" s="38">
        <f>Balance_Sheet_Qtr!AJ68</f>
        <v>15.476431300773848</v>
      </c>
      <c r="X68" s="38">
        <f>Balance_Sheet_Qtr!AO68</f>
        <v>13.792712587076627</v>
      </c>
      <c r="Y68" s="38">
        <f>Balance_Sheet_Qtr!AT68</f>
        <v>12.428786281718386</v>
      </c>
      <c r="Z68" s="38">
        <f>Balance_Sheet_Qtr!AY68</f>
        <v>14.437136371153239</v>
      </c>
      <c r="AA68" s="38">
        <f>Balance_Sheet_Qtr!BD68</f>
        <v>11.917384840660384</v>
      </c>
      <c r="AB68" s="38">
        <f>Balance_Sheet_Qtr!BI68</f>
        <v>10.5</v>
      </c>
      <c r="AC68" s="43">
        <v>10</v>
      </c>
      <c r="AD68" s="43">
        <v>9.6999999999999993</v>
      </c>
      <c r="AE68" s="43">
        <v>9.24</v>
      </c>
      <c r="AF68" s="43">
        <v>8</v>
      </c>
      <c r="AH68" t="s">
        <v>247</v>
      </c>
      <c r="AI68" s="109">
        <f>Cash_Flow_Annual!AA15</f>
        <v>-95</v>
      </c>
      <c r="AJ68" s="109">
        <f>Cash_Flow_Annual!AB15</f>
        <v>52.486930548418968</v>
      </c>
      <c r="AK68" s="109">
        <f>Cash_Flow_Annual!AC15</f>
        <v>-100.75986732649835</v>
      </c>
      <c r="AL68" s="109">
        <f>Cash_Flow_Annual!AD15</f>
        <v>-36.724657985494559</v>
      </c>
      <c r="AM68" s="109">
        <f>Cash_Flow_Annual!AE15</f>
        <v>42.988212715012196</v>
      </c>
    </row>
    <row r="69" spans="1:39">
      <c r="A69" s="1" t="str">
        <f>Balance_Sheet_Qtr!A69</f>
        <v>Days Sales Outstanding (Unbilled Receivables)</v>
      </c>
      <c r="B69" s="23">
        <f>+(B9)/Income_Statement_Annual!B$10*365</f>
        <v>0</v>
      </c>
      <c r="C69" s="23">
        <f>+(C9)/Income_Statement_Annual!C$10*365</f>
        <v>0</v>
      </c>
      <c r="D69" s="23">
        <f>+(D9)/Income_Statement_Annual!D$10*365</f>
        <v>0</v>
      </c>
      <c r="E69" s="23">
        <f>+(E9)/Income_Statement_Annual!E$10*365</f>
        <v>0</v>
      </c>
      <c r="F69" s="23">
        <f>+(F9)/Income_Statement_Annual!F$10*365</f>
        <v>0</v>
      </c>
      <c r="G69" s="23">
        <f>+(G9)/Income_Statement_Annual!G$10*365</f>
        <v>0</v>
      </c>
      <c r="H69" s="23">
        <f>+(H9)/Income_Statement_Annual!H$10*365</f>
        <v>0</v>
      </c>
      <c r="I69" s="23">
        <f>+(I9)/Income_Statement_Annual!I$10*365</f>
        <v>0</v>
      </c>
      <c r="J69" s="23">
        <f>+(J9)/Income_Statement_Annual!J$10*365</f>
        <v>0</v>
      </c>
      <c r="K69" s="23">
        <f>+(K9)/Income_Statement_Annual!K$10*365</f>
        <v>0</v>
      </c>
      <c r="L69" s="23">
        <f>+(L9)/Income_Statement_Annual!L$10*365</f>
        <v>0</v>
      </c>
      <c r="M69" s="23">
        <f>+(M9)/Income_Statement_Annual!M$10*365</f>
        <v>0</v>
      </c>
      <c r="N69" s="23">
        <f>+(N9)/Income_Statement_Annual!N$10*365</f>
        <v>0</v>
      </c>
      <c r="O69" s="23">
        <f>+(O9)/Income_Statement_Annual!O$10*365</f>
        <v>0</v>
      </c>
      <c r="P69" s="23">
        <f>+(P9)/Income_Statement_Annual!P$10*365</f>
        <v>0</v>
      </c>
      <c r="Q69" s="38">
        <f>Balance_Sheet_Qtr!F69</f>
        <v>0</v>
      </c>
      <c r="R69" s="38">
        <f>Balance_Sheet_Qtr!K69</f>
        <v>0</v>
      </c>
      <c r="S69" s="38">
        <f>Balance_Sheet_Qtr!P69</f>
        <v>0</v>
      </c>
      <c r="T69" s="38">
        <f>Balance_Sheet_Qtr!U69</f>
        <v>36.183462378988793</v>
      </c>
      <c r="U69" s="37">
        <f>Balance_Sheet_Qtr!Z69</f>
        <v>43.113089251427006</v>
      </c>
      <c r="V69" s="38">
        <f>Balance_Sheet_Qtr!AE69</f>
        <v>50.176673888373053</v>
      </c>
      <c r="W69" s="38">
        <f>Balance_Sheet_Qtr!AJ69</f>
        <v>50.513759111196734</v>
      </c>
      <c r="X69" s="38">
        <f>Balance_Sheet_Qtr!AO69</f>
        <v>47.312785251020898</v>
      </c>
      <c r="Y69" s="38">
        <f>Balance_Sheet_Qtr!AT69</f>
        <v>39.022353909041826</v>
      </c>
      <c r="Z69" s="38">
        <f>Balance_Sheet_Qtr!AY69</f>
        <v>45.890449058135509</v>
      </c>
      <c r="AA69" s="38">
        <f>Balance_Sheet_Qtr!BD69</f>
        <v>37.36371460827381</v>
      </c>
      <c r="AB69" s="38">
        <f>Balance_Sheet_Qtr!BI69</f>
        <v>32.25</v>
      </c>
      <c r="AC69" s="43">
        <v>30.5</v>
      </c>
      <c r="AD69" s="43">
        <v>29.608000000000001</v>
      </c>
      <c r="AE69" s="43">
        <v>28.83</v>
      </c>
      <c r="AF69" s="43">
        <v>26</v>
      </c>
      <c r="AH69" t="s">
        <v>439</v>
      </c>
      <c r="AI69" s="109">
        <f>Cash_Flow_Annual!AA16</f>
        <v>-677</v>
      </c>
      <c r="AJ69" s="109">
        <f>Cash_Flow_Annual!AB16</f>
        <v>347.56700097014436</v>
      </c>
      <c r="AK69" s="109">
        <f>Cash_Flow_Annual!AC16</f>
        <v>-245.84945814328603</v>
      </c>
      <c r="AL69" s="109">
        <f>Cash_Flow_Annual!AD16</f>
        <v>-119.13783001860247</v>
      </c>
      <c r="AM69" s="109">
        <f>Cash_Flow_Annual!AE16</f>
        <v>-69.553791213020304</v>
      </c>
    </row>
    <row r="70" spans="1:39">
      <c r="A70" s="1" t="str">
        <f>Balance_Sheet_Qtr!A70</f>
        <v>Days Payable Outstanding (Accounts Payable)</v>
      </c>
      <c r="B70" s="23">
        <f>+B31/-Income_Statement_Annual!B100*365</f>
        <v>100.02596540995609</v>
      </c>
      <c r="C70" s="23">
        <f>+C31/-Income_Statement_Annual!C100*365</f>
        <v>103.80253392923039</v>
      </c>
      <c r="D70" s="23">
        <f>+D31/-Income_Statement_Annual!D100*365</f>
        <v>110.02534117337311</v>
      </c>
      <c r="E70" s="23">
        <f>+E31/-Income_Statement_Annual!E100*365</f>
        <v>113.04564760686883</v>
      </c>
      <c r="F70" s="23">
        <f>+F31/-Income_Statement_Annual!F100*365</f>
        <v>121.48147733631785</v>
      </c>
      <c r="G70" s="23">
        <f>+G31/-Income_Statement_Annual!G100*365</f>
        <v>135.06431372549019</v>
      </c>
      <c r="H70" s="23">
        <f>+H31/-Income_Statement_Annual!H100*365</f>
        <v>118.06894417378803</v>
      </c>
      <c r="I70" s="23">
        <f>+I31/-Income_Statement_Annual!I100*365</f>
        <v>114.61276291261039</v>
      </c>
      <c r="J70" s="23">
        <f>+J31/-Income_Statement_Annual!J100*365</f>
        <v>128.0547188254304</v>
      </c>
      <c r="K70" s="23">
        <f>+K31/-Income_Statement_Annual!K100*365</f>
        <v>45.951210857801833</v>
      </c>
      <c r="L70" s="23">
        <f>+L31/-Income_Statement_Annual!L100*365</f>
        <v>54.485517481570341</v>
      </c>
      <c r="M70" s="23">
        <f>+M31/-Income_Statement_Annual!M100*365</f>
        <v>55.045659233211936</v>
      </c>
      <c r="N70" s="23">
        <f>+N31/-Income_Statement_Annual!N100*365</f>
        <v>50.014732481475001</v>
      </c>
      <c r="O70" s="23">
        <f>+O31/-Income_Statement_Annual!O100*365</f>
        <v>47.364775320044266</v>
      </c>
      <c r="P70" s="23">
        <f>+P31/-Income_Statement_Annual!P100*365</f>
        <v>50.773378714969418</v>
      </c>
      <c r="Q70" s="38">
        <f>Balance_Sheet_Qtr!F70</f>
        <v>48.059104652296895</v>
      </c>
      <c r="R70" s="38">
        <f>Balance_Sheet_Qtr!K70</f>
        <v>50.592089779638549</v>
      </c>
      <c r="S70" s="38">
        <f>Balance_Sheet_Qtr!P70</f>
        <v>58.186747145358098</v>
      </c>
      <c r="T70" s="38">
        <f>Balance_Sheet_Qtr!U70</f>
        <v>57.900787266184395</v>
      </c>
      <c r="U70" s="37">
        <f>Balance_Sheet_Qtr!Z70</f>
        <v>78.811136871624711</v>
      </c>
      <c r="V70" s="38">
        <f>Balance_Sheet_Qtr!AE70</f>
        <v>84.393969202153343</v>
      </c>
      <c r="W70" s="38">
        <f>Balance_Sheet_Qtr!AJ70</f>
        <v>57.063406316997828</v>
      </c>
      <c r="X70" s="38">
        <f>Balance_Sheet_Qtr!AO70</f>
        <v>59.022163036240848</v>
      </c>
      <c r="Y70" s="38">
        <f>Balance_Sheet_Qtr!AT70</f>
        <v>60.656730515466776</v>
      </c>
      <c r="Z70" s="38">
        <f>Balance_Sheet_Qtr!AY70</f>
        <v>60.545629707479421</v>
      </c>
      <c r="AA70" s="38">
        <f>Balance_Sheet_Qtr!BD70</f>
        <v>56.176591448094491</v>
      </c>
      <c r="AB70" s="38">
        <f>Balance_Sheet_Qtr!BI70</f>
        <v>60</v>
      </c>
      <c r="AC70" s="43">
        <v>56.064</v>
      </c>
      <c r="AD70" s="43">
        <v>54.862000000000002</v>
      </c>
      <c r="AE70" s="43">
        <v>53</v>
      </c>
      <c r="AF70" s="43">
        <v>54.61</v>
      </c>
      <c r="AH70" t="s">
        <v>248</v>
      </c>
      <c r="AI70" s="109">
        <f>Cash_Flow_Annual!AA17</f>
        <v>-723</v>
      </c>
      <c r="AJ70" s="109">
        <f>Cash_Flow_Annual!AB17</f>
        <v>-189.06323943661118</v>
      </c>
      <c r="AK70" s="109">
        <f>Cash_Flow_Annual!AC17</f>
        <v>29.308478873237618</v>
      </c>
      <c r="AL70" s="109">
        <f>Cash_Flow_Annual!AD17</f>
        <v>314.71787830987159</v>
      </c>
      <c r="AM70" s="109">
        <f>Cash_Flow_Annual!AE17</f>
        <v>524.41016465915891</v>
      </c>
    </row>
    <row r="71" spans="1:39">
      <c r="A71" s="1" t="str">
        <f>Balance_Sheet_Qtr!A71</f>
        <v>Days COGS Inventory</v>
      </c>
      <c r="B71" s="23">
        <f>+B12/-Income_Statement_Annual!B100*365</f>
        <v>56.730646046852122</v>
      </c>
      <c r="C71" s="23">
        <f>+C12/-Income_Statement_Annual!C100*365</f>
        <v>51.781540858583796</v>
      </c>
      <c r="D71" s="23">
        <f>+D12/-Income_Statement_Annual!D100*365</f>
        <v>49.52301548992935</v>
      </c>
      <c r="E71" s="23">
        <f>+E12/-Income_Statement_Annual!E100*365</f>
        <v>44.491459627329192</v>
      </c>
      <c r="F71" s="23">
        <f>+F12/-Income_Statement_Annual!F100*365</f>
        <v>34.698489087856743</v>
      </c>
      <c r="G71" s="23">
        <f>+G12/-Income_Statement_Annual!G100*365</f>
        <v>64.943417366946775</v>
      </c>
      <c r="H71" s="23">
        <f>+H12/-Income_Statement_Annual!H100*365</f>
        <v>59.067266991454353</v>
      </c>
      <c r="I71" s="23">
        <f>+I12/-Income_Statement_Annual!I100*365</f>
        <v>65.725704709360357</v>
      </c>
      <c r="J71" s="23">
        <f>+J12/-Income_Statement_Annual!J100*365</f>
        <v>113.67432025374534</v>
      </c>
      <c r="K71" s="23">
        <f>+K12/-Income_Statement_Annual!K100*365</f>
        <v>109.65217776989266</v>
      </c>
      <c r="L71" s="23">
        <f>+L12/-Income_Statement_Annual!L100*365</f>
        <v>171.73354874910513</v>
      </c>
      <c r="M71" s="23">
        <f>+M12/-Income_Statement_Annual!M100*365</f>
        <v>211.11968280737005</v>
      </c>
      <c r="N71" s="23">
        <f>+N12/-Income_Statement_Annual!N100*365</f>
        <v>200.99064997957873</v>
      </c>
      <c r="O71" s="23">
        <f>+O12/-Income_Statement_Annual!O100*365</f>
        <v>213.99423442132445</v>
      </c>
      <c r="P71" s="23">
        <f>+P12/-Income_Statement_Annual!P100*365</f>
        <v>222.55180418084845</v>
      </c>
      <c r="Q71" s="38">
        <f>Balance_Sheet_Qtr!F71</f>
        <v>210.28973227348092</v>
      </c>
      <c r="R71" s="38">
        <f>Balance_Sheet_Qtr!K71</f>
        <v>195.31078520023286</v>
      </c>
      <c r="S71" s="38">
        <f>Balance_Sheet_Qtr!P71</f>
        <v>211.45985210733977</v>
      </c>
      <c r="T71" s="38">
        <f>Balance_Sheet_Qtr!U71</f>
        <v>280.47991304454627</v>
      </c>
      <c r="U71" s="37">
        <f>Balance_Sheet_Qtr!Z71</f>
        <v>388.26380308478292</v>
      </c>
      <c r="V71" s="38">
        <f>Balance_Sheet_Qtr!AE71</f>
        <v>533.43542646611695</v>
      </c>
      <c r="W71" s="38">
        <f>Balance_Sheet_Qtr!AJ71</f>
        <v>485.68285024562351</v>
      </c>
      <c r="X71" s="38">
        <f>Balance_Sheet_Qtr!AO71</f>
        <v>452.21971210247631</v>
      </c>
      <c r="Y71" s="38">
        <f>Balance_Sheet_Qtr!AT71</f>
        <v>404.28187462669979</v>
      </c>
      <c r="Z71" s="38">
        <f>Balance_Sheet_Qtr!AY71</f>
        <v>466.45282302796755</v>
      </c>
      <c r="AA71" s="38">
        <f>Balance_Sheet_Qtr!BD71</f>
        <v>362.87875407988355</v>
      </c>
      <c r="AB71" s="38">
        <f ca="1">Balance_Sheet_Qtr!BI71</f>
        <v>367.23349882121641</v>
      </c>
      <c r="AC71" s="23">
        <f ca="1">+AC12/-Income_Statement_Annual!AC100*365</f>
        <v>334.16302012231273</v>
      </c>
      <c r="AD71" s="23">
        <f ca="1">+AD12/-Income_Statement_Annual!AD100*365</f>
        <v>313.68521440023409</v>
      </c>
      <c r="AE71" s="23">
        <f ca="1">+AE12/-Income_Statement_Annual!AE100*365</f>
        <v>296.869934104577</v>
      </c>
      <c r="AF71" s="23">
        <f ca="1">+AF12/-Income_Statement_Annual!AF100*365</f>
        <v>282.62699876186628</v>
      </c>
      <c r="AH71" t="s">
        <v>21</v>
      </c>
      <c r="AI71" s="109">
        <f>Cash_Flow_Annual!AA18</f>
        <v>-1501</v>
      </c>
      <c r="AJ71" s="109">
        <f ca="1">Cash_Flow_Annual!AB18</f>
        <v>1910.75</v>
      </c>
      <c r="AK71" s="109">
        <f ca="1">Cash_Flow_Annual!AC18</f>
        <v>910</v>
      </c>
      <c r="AL71" s="109">
        <f ca="1">Cash_Flow_Annual!AD18</f>
        <v>1660</v>
      </c>
      <c r="AM71" s="109">
        <f ca="1">Cash_Flow_Annual!AE18</f>
        <v>1660</v>
      </c>
    </row>
    <row r="72" spans="1:39">
      <c r="B72" s="23"/>
      <c r="C72" s="23"/>
      <c r="D72" s="23"/>
      <c r="E72" s="23"/>
      <c r="F72" s="23"/>
      <c r="G72" s="23"/>
      <c r="H72" s="23"/>
      <c r="I72" s="23"/>
      <c r="J72" s="23"/>
      <c r="K72" s="23"/>
      <c r="L72" s="23"/>
      <c r="M72" s="23"/>
      <c r="N72" s="23"/>
      <c r="O72" s="23"/>
      <c r="P72" s="23"/>
      <c r="Q72" s="23"/>
      <c r="R72" s="23"/>
      <c r="S72" s="23"/>
      <c r="T72" s="23"/>
      <c r="U72" s="22"/>
      <c r="V72" s="23"/>
      <c r="W72" s="23"/>
      <c r="X72" s="23"/>
      <c r="Y72" s="23"/>
      <c r="Z72" s="23"/>
      <c r="AA72" s="23"/>
      <c r="AB72" s="23"/>
      <c r="AC72" s="201"/>
      <c r="AD72" s="201"/>
      <c r="AE72" s="201"/>
      <c r="AF72" s="201"/>
      <c r="AH72" t="s">
        <v>83</v>
      </c>
      <c r="AI72" s="109">
        <f>Cash_Flow_Annual!AA19</f>
        <v>155</v>
      </c>
      <c r="AJ72" s="109">
        <f>Cash_Flow_Annual!AB19</f>
        <v>63.275328071675631</v>
      </c>
      <c r="AK72" s="109">
        <f>Cash_Flow_Annual!AC19</f>
        <v>-129.95226095767407</v>
      </c>
      <c r="AL72" s="109">
        <f>Cash_Flow_Annual!AD19</f>
        <v>-71.007276529524233</v>
      </c>
      <c r="AM72" s="109">
        <f>Cash_Flow_Annual!AE19</f>
        <v>-58.995051051563451</v>
      </c>
    </row>
    <row r="73" spans="1:39">
      <c r="A73" s="14" t="str">
        <f>Balance_Sheet_Qtr!A73</f>
        <v>As a % of Total Revenue</v>
      </c>
      <c r="B73" s="23"/>
      <c r="C73" s="23"/>
      <c r="D73" s="23"/>
      <c r="E73" s="23"/>
      <c r="F73" s="23"/>
      <c r="G73" s="23"/>
      <c r="H73" s="23"/>
      <c r="I73" s="23"/>
      <c r="J73" s="23"/>
      <c r="K73" s="23"/>
      <c r="L73" s="23"/>
      <c r="M73" s="23"/>
      <c r="N73" s="23"/>
      <c r="O73" s="23"/>
      <c r="P73" s="23"/>
      <c r="Q73" s="23"/>
      <c r="R73" s="23"/>
      <c r="S73" s="23"/>
      <c r="T73" s="23"/>
      <c r="U73" s="22"/>
      <c r="V73" s="23"/>
      <c r="W73" s="23"/>
      <c r="X73" s="23"/>
      <c r="Y73" s="23"/>
      <c r="Z73" s="23"/>
      <c r="AA73" s="23"/>
      <c r="AB73" s="23"/>
      <c r="AC73" s="201"/>
      <c r="AD73" s="201"/>
      <c r="AE73" s="201"/>
      <c r="AF73" s="201"/>
      <c r="AH73" t="s">
        <v>69</v>
      </c>
      <c r="AI73" s="109">
        <f>Cash_Flow_Annual!AA20</f>
        <v>724</v>
      </c>
      <c r="AJ73" s="109">
        <f>Cash_Flow_Annual!AB20</f>
        <v>413.99018455745318</v>
      </c>
      <c r="AK73" s="109">
        <f>Cash_Flow_Annual!AC20</f>
        <v>210.72854446346355</v>
      </c>
      <c r="AL73" s="109">
        <f>Cash_Flow_Annual!AD20</f>
        <v>292.56044997221579</v>
      </c>
      <c r="AM73" s="109">
        <f>Cash_Flow_Annual!AE20</f>
        <v>-4.8954960847568145</v>
      </c>
    </row>
    <row r="74" spans="1:39">
      <c r="A74" s="1" t="str">
        <f>Balance_Sheet_Qtr!A74</f>
        <v>Inventories</v>
      </c>
      <c r="B74" s="36">
        <f>+B12/Income_Statement_Annual!B$10</f>
        <v>0.13238245552502875</v>
      </c>
      <c r="C74" s="36">
        <f>+C12/Income_Statement_Annual!C$10</f>
        <v>0.11890442970548816</v>
      </c>
      <c r="D74" s="36">
        <f>+D12/Income_Statement_Annual!D$10</f>
        <v>0.11438930097482473</v>
      </c>
      <c r="E74" s="36">
        <f>+E12/Income_Statement_Annual!E$10</f>
        <v>0.10621617319325055</v>
      </c>
      <c r="F74" s="36">
        <f>+F12/Income_Statement_Annual!F$10</f>
        <v>8.0961549459557358E-2</v>
      </c>
      <c r="G74" s="36">
        <f>+G12/Income_Statement_Annual!G$10</f>
        <v>0.14807631338468139</v>
      </c>
      <c r="H74" s="36">
        <f>+H12/Income_Statement_Annual!H$10</f>
        <v>0.13172436209978872</v>
      </c>
      <c r="I74" s="36">
        <f>+I12/Income_Statement_Annual!I$10</f>
        <v>0.14404928675794959</v>
      </c>
      <c r="J74" s="36">
        <f>+J12/Income_Statement_Annual!J$10</f>
        <v>0.2563168004728365</v>
      </c>
      <c r="K74" s="36">
        <f>+K12/Income_Statement_Annual!K$10</f>
        <v>0.24798992399056838</v>
      </c>
      <c r="L74" s="36">
        <f>+L12/Income_Statement_Annual!L$10</f>
        <v>0.37814511865144779</v>
      </c>
      <c r="M74" s="36">
        <f>+M12/Income_Statement_Annual!M$10</f>
        <v>0.46904779224558085</v>
      </c>
      <c r="N74" s="36">
        <f>+N12/Income_Statement_Annual!N$10</f>
        <v>0.46207985507601163</v>
      </c>
      <c r="O74" s="36">
        <f>+O12/Income_Statement_Annual!O$10</f>
        <v>0.49538806090761112</v>
      </c>
      <c r="P74" s="36">
        <f>+P12/Income_Statement_Annual!P$10</f>
        <v>0.51514951191027081</v>
      </c>
      <c r="Q74" s="182">
        <f>Balance_Sheet_Qtr!F74</f>
        <v>0.49167655076263606</v>
      </c>
      <c r="R74" s="182">
        <f>Balance_Sheet_Qtr!K74</f>
        <v>0.4567890791045881</v>
      </c>
      <c r="S74" s="182">
        <f>Balance_Sheet_Qtr!P74</f>
        <v>0.47171958938354341</v>
      </c>
      <c r="T74" s="182">
        <f>Balance_Sheet_Qtr!U74</f>
        <v>0.61869728163596271</v>
      </c>
      <c r="U74" s="70">
        <f>Balance_Sheet_Qtr!Z74</f>
        <v>1.0008228947609032</v>
      </c>
      <c r="V74" s="182">
        <f>Balance_Sheet_Qtr!AE74</f>
        <v>1.4050517555624333</v>
      </c>
      <c r="W74" s="182">
        <f>Balance_Sheet_Qtr!AJ74</f>
        <v>1.2655010756831391</v>
      </c>
      <c r="X74" s="182">
        <f>Balance_Sheet_Qtr!AO74</f>
        <v>1.1732975018015854</v>
      </c>
      <c r="Y74" s="182">
        <f>Balance_Sheet_Qtr!AT74</f>
        <v>1.0250276370928348</v>
      </c>
      <c r="Z74" s="182">
        <f>Balance_Sheet_Qtr!AY74</f>
        <v>1.3162048799555002</v>
      </c>
      <c r="AA74" s="182">
        <f>Balance_Sheet_Qtr!BD74</f>
        <v>0.94652537920704649</v>
      </c>
      <c r="AB74" s="182">
        <f ca="1">Balance_Sheet_Qtr!BI74</f>
        <v>0.83004831925343425</v>
      </c>
      <c r="AC74" s="36">
        <f ca="1">+AC12/Income_Statement_Annual!AC$10</f>
        <v>0.75529997698878915</v>
      </c>
      <c r="AD74" s="36">
        <f ca="1">+AD12/Income_Statement_Annual!AD$10</f>
        <v>0.70901452569915935</v>
      </c>
      <c r="AE74" s="36">
        <f ca="1">+AE12/Income_Statement_Annual!AE$10</f>
        <v>0.67100738530486581</v>
      </c>
      <c r="AF74" s="36">
        <f ca="1">+AF12/Income_Statement_Annual!AF$10</f>
        <v>0.63881444925627306</v>
      </c>
      <c r="AH74" t="s">
        <v>249</v>
      </c>
      <c r="AI74" s="109">
        <f>Cash_Flow_Annual!AA21</f>
        <v>1341</v>
      </c>
      <c r="AJ74" s="109">
        <f>Cash_Flow_Annual!AB21</f>
        <v>-1669</v>
      </c>
      <c r="AK74" s="109">
        <f>Cash_Flow_Annual!AC21</f>
        <v>-1569</v>
      </c>
      <c r="AL74" s="109">
        <f>Cash_Flow_Annual!AD21</f>
        <v>-400</v>
      </c>
      <c r="AM74" s="109">
        <f>Cash_Flow_Annual!AE21</f>
        <v>-400</v>
      </c>
    </row>
    <row r="75" spans="1:39">
      <c r="A75" s="1" t="str">
        <f>Balance_Sheet_Qtr!A75</f>
        <v>Other Current Assets</v>
      </c>
      <c r="B75" s="36">
        <f>+B14/Income_Statement_Annual!B$10</f>
        <v>0</v>
      </c>
      <c r="C75" s="36">
        <f>+C14/Income_Statement_Annual!C$10</f>
        <v>0</v>
      </c>
      <c r="D75" s="36">
        <f>+D14/Income_Statement_Annual!D$10</f>
        <v>0</v>
      </c>
      <c r="E75" s="36">
        <f>+E14/Income_Statement_Annual!E$10</f>
        <v>3.9597262018465458E-3</v>
      </c>
      <c r="F75" s="36">
        <f>+F14/Income_Statement_Annual!F$10</f>
        <v>0</v>
      </c>
      <c r="G75" s="36">
        <f>+G14/Income_Statement_Annual!G$10</f>
        <v>0</v>
      </c>
      <c r="H75" s="36">
        <f>+H14/Income_Statement_Annual!H$10</f>
        <v>0</v>
      </c>
      <c r="I75" s="36">
        <f>+I14/Income_Statement_Annual!I$10</f>
        <v>0</v>
      </c>
      <c r="J75" s="36">
        <f>+J14/Income_Statement_Annual!J$10</f>
        <v>0</v>
      </c>
      <c r="K75" s="36">
        <f>+K14/Income_Statement_Annual!K$10</f>
        <v>0</v>
      </c>
      <c r="L75" s="36">
        <f>+L14/Income_Statement_Annual!L$10</f>
        <v>0</v>
      </c>
      <c r="M75" s="36">
        <f>+M14/Income_Statement_Annual!M$10</f>
        <v>0</v>
      </c>
      <c r="N75" s="36">
        <f>+N14/Income_Statement_Annual!N$10</f>
        <v>0</v>
      </c>
      <c r="O75" s="36">
        <f>+O14/Income_Statement_Annual!O$10</f>
        <v>0</v>
      </c>
      <c r="P75" s="36">
        <f>+P14/Income_Statement_Annual!P$10</f>
        <v>0</v>
      </c>
      <c r="Q75" s="182">
        <f>Balance_Sheet_Qtr!F75</f>
        <v>0</v>
      </c>
      <c r="R75" s="182">
        <f>Balance_Sheet_Qtr!K75</f>
        <v>0</v>
      </c>
      <c r="S75" s="182">
        <f>Balance_Sheet_Qtr!P75</f>
        <v>0</v>
      </c>
      <c r="T75" s="182">
        <f>Balance_Sheet_Qtr!U75</f>
        <v>2.3089778199689499E-2</v>
      </c>
      <c r="U75" s="70">
        <f>Balance_Sheet_Qtr!Z75</f>
        <v>4.0570017894695595E-2</v>
      </c>
      <c r="V75" s="182">
        <f>Balance_Sheet_Qtr!AE75</f>
        <v>7.3695794215757074E-2</v>
      </c>
      <c r="W75" s="182">
        <f>Balance_Sheet_Qtr!AJ75</f>
        <v>3.5658093311498572E-2</v>
      </c>
      <c r="X75" s="182">
        <f>Balance_Sheet_Qtr!AO75</f>
        <v>4.224717751621427E-2</v>
      </c>
      <c r="Y75" s="182">
        <f>Balance_Sheet_Qtr!AT75</f>
        <v>3.1904774147106463E-2</v>
      </c>
      <c r="Z75" s="182">
        <f>Balance_Sheet_Qtr!AY75</f>
        <v>4.4259362268292315E-2</v>
      </c>
      <c r="AA75" s="182">
        <f>Balance_Sheet_Qtr!BD75</f>
        <v>1.7426198540178621E-2</v>
      </c>
      <c r="AB75" s="182">
        <f>Balance_Sheet_Qtr!BI75</f>
        <v>1.4999999999999999E-2</v>
      </c>
      <c r="AC75" s="226">
        <v>1.4999999999999999E-2</v>
      </c>
      <c r="AD75" s="226">
        <v>1.4999999999999999E-2</v>
      </c>
      <c r="AE75" s="226">
        <v>1.4999999999999999E-2</v>
      </c>
      <c r="AF75" s="226">
        <v>1.4999999999999999E-2</v>
      </c>
      <c r="AH75" t="s">
        <v>250</v>
      </c>
      <c r="AI75" s="109">
        <f>Cash_Flow_Annual!AA22</f>
        <v>0</v>
      </c>
      <c r="AJ75" s="109">
        <f>Cash_Flow_Annual!AB22</f>
        <v>0</v>
      </c>
      <c r="AK75" s="109">
        <f>Cash_Flow_Annual!AC22</f>
        <v>0</v>
      </c>
      <c r="AL75" s="109">
        <f>Cash_Flow_Annual!AD22</f>
        <v>0</v>
      </c>
      <c r="AM75" s="109">
        <f>Cash_Flow_Annual!AE22</f>
        <v>0</v>
      </c>
    </row>
    <row r="76" spans="1:39">
      <c r="A76" s="1" t="str">
        <f>Balance_Sheet_Qtr!A76</f>
        <v>Accrued Liabilities</v>
      </c>
      <c r="B76" s="36">
        <f>+B32/Income_Statement_Annual!B$10</f>
        <v>0</v>
      </c>
      <c r="C76" s="36">
        <f>+C32/Income_Statement_Annual!C$10</f>
        <v>0</v>
      </c>
      <c r="D76" s="36">
        <f>+D32/Income_Statement_Annual!D$10</f>
        <v>0</v>
      </c>
      <c r="E76" s="36">
        <f>+E32/Income_Statement_Annual!E$10</f>
        <v>0</v>
      </c>
      <c r="F76" s="36">
        <f>+F32/Income_Statement_Annual!F$10</f>
        <v>0</v>
      </c>
      <c r="G76" s="36">
        <f>+G32/Income_Statement_Annual!G$10</f>
        <v>0</v>
      </c>
      <c r="H76" s="36">
        <f>+H32/Income_Statement_Annual!H$10</f>
        <v>0</v>
      </c>
      <c r="I76" s="36">
        <f>+I32/Income_Statement_Annual!I$10</f>
        <v>0</v>
      </c>
      <c r="J76" s="36">
        <f>+J32/Income_Statement_Annual!J$10</f>
        <v>0</v>
      </c>
      <c r="K76" s="36">
        <f>+K32/Income_Statement_Annual!K$10</f>
        <v>0.18778283856416866</v>
      </c>
      <c r="L76" s="36">
        <f>+L32/Income_Statement_Annual!L$10</f>
        <v>0.21463005007308805</v>
      </c>
      <c r="M76" s="36">
        <f>+M32/Income_Statement_Annual!M$10</f>
        <v>0.17806066778206153</v>
      </c>
      <c r="N76" s="36">
        <f>+N32/Income_Statement_Annual!N$10</f>
        <v>0.15906142133222356</v>
      </c>
      <c r="O76" s="36">
        <f>+O32/Income_Statement_Annual!O$10</f>
        <v>0.16313219352827771</v>
      </c>
      <c r="P76" s="36">
        <f>+P32/Income_Statement_Annual!P$10</f>
        <v>0.14701086357726803</v>
      </c>
      <c r="Q76" s="182">
        <f>Balance_Sheet_Qtr!F76</f>
        <v>0.14580602201552323</v>
      </c>
      <c r="R76" s="182">
        <f>Balance_Sheet_Qtr!K76</f>
        <v>0.15534360427615232</v>
      </c>
      <c r="S76" s="182">
        <f>Balance_Sheet_Qtr!P76</f>
        <v>0.16267219828732515</v>
      </c>
      <c r="T76" s="182">
        <f>Balance_Sheet_Qtr!U76</f>
        <v>0.14642973686552552</v>
      </c>
      <c r="U76" s="70">
        <f>Balance_Sheet_Qtr!Z76</f>
        <v>0.29869773638631641</v>
      </c>
      <c r="V76" s="182">
        <f>Balance_Sheet_Qtr!AE76</f>
        <v>0.38122012448846249</v>
      </c>
      <c r="W76" s="182">
        <f>Balance_Sheet_Qtr!AJ76</f>
        <v>0.29629451241049354</v>
      </c>
      <c r="X76" s="182">
        <f>Balance_Sheet_Qtr!AO76</f>
        <v>0.32400012010569301</v>
      </c>
      <c r="Y76" s="182">
        <f>Balance_Sheet_Qtr!AT76</f>
        <v>0.28705298609147234</v>
      </c>
      <c r="Z76" s="182">
        <f>Balance_Sheet_Qtr!AY76</f>
        <v>0.36235849482087285</v>
      </c>
      <c r="AA76" s="182">
        <f>Balance_Sheet_Qtr!BD76</f>
        <v>0.30337681499614366</v>
      </c>
      <c r="AB76" s="182">
        <f>Balance_Sheet_Qtr!BI76</f>
        <v>0.25544808290647053</v>
      </c>
      <c r="AC76" s="36">
        <f>+AC32/Income_Statement_Annual!AC$10</f>
        <v>0.2205512010086097</v>
      </c>
      <c r="AD76" s="36">
        <f>+AD32/Income_Statement_Annual!AD$10</f>
        <v>0.20778468853755963</v>
      </c>
      <c r="AE76" s="36">
        <f>+AE32/Income_Statement_Annual!AE$10</f>
        <v>0.1973851419238182</v>
      </c>
      <c r="AF76" s="36">
        <f>+AF32/Income_Statement_Annual!AF$10</f>
        <v>0.18864899293968279</v>
      </c>
      <c r="AH76" t="s">
        <v>251</v>
      </c>
      <c r="AI76" s="109">
        <f>Cash_Flow_Annual!AA23</f>
        <v>115</v>
      </c>
      <c r="AJ76" s="109">
        <f>Cash_Flow_Annual!AB23</f>
        <v>0</v>
      </c>
      <c r="AK76" s="109">
        <f>Cash_Flow_Annual!AC23</f>
        <v>0</v>
      </c>
      <c r="AL76" s="109">
        <f>Cash_Flow_Annual!AD23</f>
        <v>0</v>
      </c>
      <c r="AM76" s="109">
        <f>Cash_Flow_Annual!AE23</f>
        <v>0</v>
      </c>
    </row>
    <row r="77" spans="1:39">
      <c r="A77" s="1" t="str">
        <f>Balance_Sheet_Qtr!A77</f>
        <v>Advances and Progress Billings</v>
      </c>
      <c r="B77" s="36">
        <f>+B33/Income_Statement_Annual!B$10</f>
        <v>6.8529451881296152E-2</v>
      </c>
      <c r="C77" s="36">
        <f>+C33/Income_Statement_Annual!C$10</f>
        <v>7.3988796865871675E-2</v>
      </c>
      <c r="D77" s="36">
        <f>+D33/Income_Statement_Annual!D$10</f>
        <v>5.7768076802130926E-2</v>
      </c>
      <c r="E77" s="36">
        <f>+E33/Income_Statement_Annual!E$10</f>
        <v>6.8927093282394145E-2</v>
      </c>
      <c r="F77" s="36">
        <f>+F33/Income_Statement_Annual!F$10</f>
        <v>7.859770859942429E-2</v>
      </c>
      <c r="G77" s="36">
        <f>+G33/Income_Statement_Annual!G$10</f>
        <v>0.18518863877958264</v>
      </c>
      <c r="H77" s="36">
        <f>+H33/Income_Statement_Annual!H$10</f>
        <v>0.18607183487729562</v>
      </c>
      <c r="I77" s="36">
        <f>+I33/Income_Statement_Annual!I$10</f>
        <v>0.20857999307093256</v>
      </c>
      <c r="J77" s="36">
        <f>+J33/Income_Statement_Annual!J$10</f>
        <v>0.2091152374854291</v>
      </c>
      <c r="K77" s="36">
        <f>+K33/Income_Statement_Annual!K$10</f>
        <v>0.1768573981048901</v>
      </c>
      <c r="L77" s="36">
        <f>+L33/Income_Statement_Annual!L$10</f>
        <v>0.19163064099772961</v>
      </c>
      <c r="M77" s="36">
        <f>+M33/Income_Statement_Annual!M$10</f>
        <v>0.22544555175674694</v>
      </c>
      <c r="N77" s="36">
        <f>+N33/Income_Statement_Annual!N$10</f>
        <v>0.20406864305123748</v>
      </c>
      <c r="O77" s="36">
        <f>+O33/Income_Statement_Annual!O$10</f>
        <v>0.23119725707952854</v>
      </c>
      <c r="P77" s="36">
        <f>+P33/Income_Statement_Annual!P$10</f>
        <v>0.25533813710583725</v>
      </c>
      <c r="Q77" s="182">
        <f>Balance_Sheet_Qtr!F77</f>
        <v>0.25349064652391951</v>
      </c>
      <c r="R77" s="182">
        <f>Balance_Sheet_Qtr!K77</f>
        <v>0.25239238244282075</v>
      </c>
      <c r="S77" s="182">
        <f>Balance_Sheet_Qtr!P77</f>
        <v>0.2918993670549439</v>
      </c>
      <c r="T77" s="182">
        <f>Balance_Sheet_Qtr!U77</f>
        <v>0.5011124625470943</v>
      </c>
      <c r="U77" s="70">
        <f>Balance_Sheet_Qtr!Z77</f>
        <v>0.67334996538617276</v>
      </c>
      <c r="V77" s="182">
        <f>Balance_Sheet_Qtr!AE77</f>
        <v>0.86811788575948279</v>
      </c>
      <c r="W77" s="182">
        <f>Balance_Sheet_Qtr!AJ77</f>
        <v>0.85059242847509875</v>
      </c>
      <c r="X77" s="182">
        <f>Balance_Sheet_Qtr!AO77</f>
        <v>0.79691628633197209</v>
      </c>
      <c r="Y77" s="182">
        <f>Balance_Sheet_Qtr!AT77</f>
        <v>0.72406612335141529</v>
      </c>
      <c r="Z77" s="182">
        <f>Balance_Sheet_Qtr!AY77</f>
        <v>0.90703128523535337</v>
      </c>
      <c r="AA77" s="182">
        <f>Balance_Sheet_Qtr!BD77</f>
        <v>0.66400634899343858</v>
      </c>
      <c r="AB77" s="182">
        <f>Balance_Sheet_Qtr!BI77</f>
        <v>0.59384194703650306</v>
      </c>
      <c r="AC77" s="36">
        <f>+AC33/Income_Statement_Annual!AC$10</f>
        <v>0.5466422390664919</v>
      </c>
      <c r="AD77" s="36">
        <f>+AD33/Income_Statement_Annual!AD$10</f>
        <v>0.52654727486027131</v>
      </c>
      <c r="AE77" s="36">
        <f>+AE33/Income_Statement_Annual!AE$10</f>
        <v>0.51333442248233507</v>
      </c>
      <c r="AF77" s="36">
        <f>+AF33/Income_Statement_Annual!AF$10</f>
        <v>0.50087303247718451</v>
      </c>
      <c r="AH77" t="s">
        <v>252</v>
      </c>
      <c r="AI77" s="109">
        <f>Cash_Flow_Annual!AA24</f>
        <v>-346</v>
      </c>
      <c r="AJ77" s="109">
        <f>Cash_Flow_Annual!AB24</f>
        <v>0</v>
      </c>
      <c r="AK77" s="109">
        <f>Cash_Flow_Annual!AC24</f>
        <v>0</v>
      </c>
      <c r="AL77" s="109">
        <f>Cash_Flow_Annual!AD24</f>
        <v>0</v>
      </c>
      <c r="AM77" s="109">
        <f>Cash_Flow_Annual!AE24</f>
        <v>0</v>
      </c>
    </row>
    <row r="78" spans="1:39">
      <c r="A78" s="1" t="str">
        <f>Balance_Sheet_Qtr!A78</f>
        <v>Accrued Pension Liabilities</v>
      </c>
      <c r="B78" s="36">
        <f>+B42/Income_Statement_Annual!B$10</f>
        <v>0</v>
      </c>
      <c r="C78" s="36">
        <f>+C42/Income_Statement_Annual!C$10</f>
        <v>0</v>
      </c>
      <c r="D78" s="36">
        <f>+D42/Income_Statement_Annual!D$10</f>
        <v>0.11599859418064778</v>
      </c>
      <c r="E78" s="36">
        <f>+E42/Income_Statement_Annual!E$10</f>
        <v>0.13190464820120981</v>
      </c>
      <c r="F78" s="36">
        <f>+F42/Income_Statement_Annual!F$10</f>
        <v>6.0411384562594123E-2</v>
      </c>
      <c r="G78" s="36">
        <f>+G42/Income_Statement_Annual!G$10</f>
        <v>5.4978459931743162E-2</v>
      </c>
      <c r="H78" s="36">
        <f>+H42/Income_Statement_Annual!H$10</f>
        <v>1.8446286364375102E-2</v>
      </c>
      <c r="I78" s="36">
        <f>+I42/Income_Statement_Annual!I$10</f>
        <v>1.7397984545166976E-2</v>
      </c>
      <c r="J78" s="36">
        <f>+J42/Income_Statement_Annual!J$10</f>
        <v>0.13763154870380404</v>
      </c>
      <c r="K78" s="36">
        <f>+K42/Income_Statement_Annual!K$10</f>
        <v>9.248546447767314E-2</v>
      </c>
      <c r="L78" s="36">
        <f>+L42/Income_Statement_Annual!L$10</f>
        <v>0.15239635492800049</v>
      </c>
      <c r="M78" s="36">
        <f>+M42/Income_Statement_Annual!M$10</f>
        <v>0.24059067432894449</v>
      </c>
      <c r="N78" s="36">
        <f>+N42/Income_Statement_Annual!N$10</f>
        <v>0.24053220397072145</v>
      </c>
      <c r="O78" s="36">
        <f>+O42/Income_Statement_Annual!O$10</f>
        <v>0.12091476859494592</v>
      </c>
      <c r="P78" s="36">
        <f>+P42/Income_Statement_Annual!P$10</f>
        <v>0.18930830083074415</v>
      </c>
      <c r="Q78" s="182">
        <f>Balance_Sheet_Qtr!F78</f>
        <v>0.1850198722350542</v>
      </c>
      <c r="R78" s="182">
        <f>Balance_Sheet_Qtr!K78</f>
        <v>0.21087859914773027</v>
      </c>
      <c r="S78" s="182">
        <f>Balance_Sheet_Qtr!P78</f>
        <v>0.17521408435721506</v>
      </c>
      <c r="T78" s="182">
        <f>Balance_Sheet_Qtr!U78</f>
        <v>0.15152234319222363</v>
      </c>
      <c r="U78" s="70">
        <f>Balance_Sheet_Qtr!Z78</f>
        <v>0.21259420838830184</v>
      </c>
      <c r="V78" s="182">
        <f>Balance_Sheet_Qtr!AE78</f>
        <v>0.24773891811960522</v>
      </c>
      <c r="W78" s="182">
        <f>Balance_Sheet_Qtr!AJ78</f>
        <v>0.14616446713547185</v>
      </c>
      <c r="X78" s="182">
        <f>Balance_Sheet_Qtr!AO78</f>
        <v>9.2196132596685076E-2</v>
      </c>
      <c r="Y78" s="182">
        <f>Balance_Sheet_Qtr!AT78</f>
        <v>8.375967298249222E-2</v>
      </c>
      <c r="Z78" s="182">
        <f>Balance_Sheet_Qtr!AY78</f>
        <v>9.0157403370566921E-2</v>
      </c>
      <c r="AA78" s="182">
        <f>Balance_Sheet_Qtr!BD78</f>
        <v>4.7919251534153787E-2</v>
      </c>
      <c r="AB78" s="182">
        <f>Balance_Sheet_Qtr!BI78</f>
        <v>3.7978246308370128E-2</v>
      </c>
      <c r="AC78" s="36">
        <f>+AC42/Income_Statement_Annual!AC$10</f>
        <v>3.0328904226051129E-2</v>
      </c>
      <c r="AD78" s="36">
        <f>+AD42/Income_Statement_Annual!AD$10</f>
        <v>2.4639234436207236E-2</v>
      </c>
      <c r="AE78" s="36">
        <f>+AE42/Income_Statement_Annual!AE$10</f>
        <v>1.9539445941209897E-2</v>
      </c>
      <c r="AF78" s="36">
        <f>+AF42/Income_Statement_Annual!AF$10</f>
        <v>1.4848951697274067E-2</v>
      </c>
      <c r="AH78" t="s">
        <v>253</v>
      </c>
      <c r="AI78" s="109">
        <f>Cash_Flow_Annual!AA25</f>
        <v>-593</v>
      </c>
      <c r="AJ78" s="109">
        <f>Cash_Flow_Annual!AB25</f>
        <v>-520</v>
      </c>
      <c r="AK78" s="109">
        <f>Cash_Flow_Annual!AC25</f>
        <v>-520</v>
      </c>
      <c r="AL78" s="109">
        <f>Cash_Flow_Annual!AD25</f>
        <v>-520</v>
      </c>
      <c r="AM78" s="109">
        <f>Cash_Flow_Annual!AE25</f>
        <v>-520</v>
      </c>
    </row>
    <row r="79" spans="1:39">
      <c r="A79" s="1" t="str">
        <f>Balance_Sheet_Qtr!A79</f>
        <v>Accrued Retiree Health Care</v>
      </c>
      <c r="B79" s="36">
        <f>+B41/Income_Statement_Annual!B$10</f>
        <v>0.10038775549969797</v>
      </c>
      <c r="C79" s="36">
        <f>+C41/Income_Statement_Annual!C$10</f>
        <v>9.2219663905976149E-2</v>
      </c>
      <c r="D79" s="36">
        <f>+D41/Income_Statement_Annual!D$10</f>
        <v>0.1005160836832467</v>
      </c>
      <c r="E79" s="36">
        <f>+E41/Income_Statement_Annual!E$10</f>
        <v>0.11431470869149953</v>
      </c>
      <c r="F79" s="36">
        <f>+F41/Income_Statement_Annual!F$10</f>
        <v>0.11359780391558801</v>
      </c>
      <c r="G79" s="36">
        <f>+G41/Income_Statement_Annual!G$10</f>
        <v>0.1116913149698812</v>
      </c>
      <c r="H79" s="36">
        <f>+H41/Income_Statement_Annual!H$10</f>
        <v>0.12467089224768406</v>
      </c>
      <c r="I79" s="36">
        <f>+I41/Income_Statement_Annual!I$10</f>
        <v>0.10554777290734632</v>
      </c>
      <c r="J79" s="36">
        <f>+J41/Income_Statement_Annual!J$10</f>
        <v>0.12021211971958166</v>
      </c>
      <c r="K79" s="36">
        <f>+K41/Income_Statement_Annual!K$10</f>
        <v>0.10323516058640031</v>
      </c>
      <c r="L79" s="36">
        <f>+L41/Income_Statement_Annual!L$10</f>
        <v>0.12479395390787795</v>
      </c>
      <c r="M79" s="36">
        <f>+M41/Income_Statement_Annual!M$10</f>
        <v>0.10940568851385757</v>
      </c>
      <c r="N79" s="36">
        <f>+N41/Income_Statement_Annual!N$10</f>
        <v>9.2144238537051087E-2</v>
      </c>
      <c r="O79" s="36">
        <f>+O41/Income_Statement_Annual!O$10</f>
        <v>7.5361047296907291E-2</v>
      </c>
      <c r="P79" s="36">
        <f>+P41/Income_Statement_Annual!P$10</f>
        <v>7.4943258191754264E-2</v>
      </c>
      <c r="Q79" s="182">
        <f>Balance_Sheet_Qtr!F79</f>
        <v>6.8834925192999982E-2</v>
      </c>
      <c r="R79" s="182">
        <f>Balance_Sheet_Qtr!K79</f>
        <v>6.2556174725867345E-2</v>
      </c>
      <c r="S79" s="182">
        <f>Balance_Sheet_Qtr!P79</f>
        <v>5.8986224137013987E-2</v>
      </c>
      <c r="T79" s="182">
        <f>Balance_Sheet_Qtr!U79</f>
        <v>4.5329140585600287E-2</v>
      </c>
      <c r="U79" s="70">
        <f>Balance_Sheet_Qtr!Z79</f>
        <v>5.9300670071448167E-2</v>
      </c>
      <c r="V79" s="182">
        <f>Balance_Sheet_Qtr!AE79</f>
        <v>7.1133807902610133E-2</v>
      </c>
      <c r="W79" s="182">
        <f>Balance_Sheet_Qtr!AJ79</f>
        <v>5.6641942009440324E-2</v>
      </c>
      <c r="X79" s="182">
        <f>Balance_Sheet_Qtr!AO79</f>
        <v>3.75780687004564E-2</v>
      </c>
      <c r="Y79" s="182">
        <f>Balance_Sheet_Qtr!AT79</f>
        <v>2.8704013162968868E-2</v>
      </c>
      <c r="Z79" s="182">
        <f>Balance_Sheet_Qtr!AY79</f>
        <v>3.2713441676563884E-2</v>
      </c>
      <c r="AA79" s="182">
        <f>Balance_Sheet_Qtr!BD79</f>
        <v>2.3372790986217765E-2</v>
      </c>
      <c r="AB79" s="182">
        <f>Balance_Sheet_Qtr!BI79</f>
        <v>2.0769196753270276E-2</v>
      </c>
      <c r="AC79" s="36">
        <f>+AC41/Income_Statement_Annual!AC$10</f>
        <v>1.8924424267609024E-2</v>
      </c>
      <c r="AD79" s="36">
        <f>+AD41/Income_Statement_Annual!AD$10</f>
        <v>1.7955610025093972E-2</v>
      </c>
      <c r="AE79" s="36">
        <f>+AE41/Income_Statement_Annual!AE$10</f>
        <v>1.7181384253508136E-2</v>
      </c>
      <c r="AF79" s="36">
        <f>+AF41/Income_Statement_Annual!AF$10</f>
        <v>1.6544075450068644E-2</v>
      </c>
      <c r="AH79" t="s">
        <v>254</v>
      </c>
      <c r="AI79" s="109">
        <f>Cash_Flow_Annual!AA26</f>
        <v>274</v>
      </c>
      <c r="AJ79" s="109">
        <f>Cash_Flow_Annual!AB26</f>
        <v>0</v>
      </c>
      <c r="AK79" s="109">
        <f>Cash_Flow_Annual!AC26</f>
        <v>0</v>
      </c>
      <c r="AL79" s="109">
        <f>Cash_Flow_Annual!AD26</f>
        <v>0</v>
      </c>
      <c r="AM79" s="109">
        <f>Cash_Flow_Annual!AE26</f>
        <v>0</v>
      </c>
    </row>
    <row r="80" spans="1:39">
      <c r="B80" s="23"/>
      <c r="C80" s="23"/>
      <c r="D80" s="23"/>
      <c r="E80" s="23"/>
      <c r="F80" s="23"/>
      <c r="G80" s="23"/>
      <c r="H80" s="23"/>
      <c r="I80" s="23"/>
      <c r="J80" s="23"/>
      <c r="K80" s="23"/>
      <c r="L80" s="23"/>
      <c r="M80" s="23"/>
      <c r="N80" s="23"/>
      <c r="O80" s="23"/>
      <c r="P80" s="23"/>
      <c r="Q80" s="23"/>
      <c r="R80" s="23"/>
      <c r="S80" s="23"/>
      <c r="T80" s="23"/>
      <c r="U80" s="22"/>
      <c r="V80" s="23"/>
      <c r="W80" s="23"/>
      <c r="X80" s="23"/>
      <c r="Y80" s="23"/>
      <c r="Z80" s="23"/>
      <c r="AA80" s="23"/>
      <c r="AB80" s="23"/>
      <c r="AC80" s="201"/>
      <c r="AD80" s="201"/>
      <c r="AE80" s="201"/>
      <c r="AF80" s="201"/>
      <c r="AH80" t="s">
        <v>1</v>
      </c>
      <c r="AI80" s="109">
        <f>Cash_Flow_Annual!AA27</f>
        <v>324</v>
      </c>
      <c r="AJ80" s="109">
        <f>Cash_Flow_Annual!AB27</f>
        <v>0</v>
      </c>
      <c r="AK80" s="109">
        <f>Cash_Flow_Annual!AC27</f>
        <v>0</v>
      </c>
      <c r="AL80" s="109">
        <f>Cash_Flow_Annual!AD27</f>
        <v>0</v>
      </c>
      <c r="AM80" s="109">
        <f>Cash_Flow_Annual!AE27</f>
        <v>0</v>
      </c>
    </row>
    <row r="81" spans="1:53">
      <c r="A81" s="14" t="str">
        <f>Balance_Sheet_Qtr!A81</f>
        <v>Leverage Metrics</v>
      </c>
      <c r="B81" s="23"/>
      <c r="C81" s="23"/>
      <c r="D81" s="23"/>
      <c r="E81" s="23"/>
      <c r="F81" s="23"/>
      <c r="G81" s="23"/>
      <c r="H81" s="23"/>
      <c r="I81" s="23"/>
      <c r="J81" s="23"/>
      <c r="K81" s="23"/>
      <c r="L81" s="23"/>
      <c r="M81" s="23"/>
      <c r="N81" s="23"/>
      <c r="O81" s="23"/>
      <c r="P81" s="23"/>
      <c r="Q81" s="23"/>
      <c r="R81" s="23"/>
      <c r="S81" s="23"/>
      <c r="T81" s="23"/>
      <c r="U81" s="22"/>
      <c r="V81" s="23"/>
      <c r="W81" s="23"/>
      <c r="X81" s="23"/>
      <c r="Y81" s="23"/>
      <c r="Z81" s="23"/>
      <c r="AA81" s="23"/>
      <c r="AB81" s="23"/>
      <c r="AC81" s="201"/>
      <c r="AD81" s="201"/>
      <c r="AE81" s="201"/>
      <c r="AF81" s="201"/>
      <c r="AH81" t="s">
        <v>29</v>
      </c>
      <c r="AI81" s="109">
        <f>Cash_Flow_Annual!AA28</f>
        <v>-1002</v>
      </c>
      <c r="AJ81" s="109">
        <f ca="1">Cash_Flow_Annual!AB28</f>
        <v>410.00620471108095</v>
      </c>
      <c r="AK81" s="109">
        <f ca="1">Cash_Flow_Annual!AC28</f>
        <v>-1415.5245630907573</v>
      </c>
      <c r="AL81" s="109">
        <f ca="1">Cash_Flow_Annual!AD28</f>
        <v>1120.4085637484661</v>
      </c>
      <c r="AM81" s="109">
        <f ca="1">Cash_Flow_Annual!AE28</f>
        <v>1173.9540390248303</v>
      </c>
    </row>
    <row r="82" spans="1:53">
      <c r="A82" s="1" t="str">
        <f>Balance_Sheet_Qtr!A82</f>
        <v>Total Debt</v>
      </c>
      <c r="B82" s="76">
        <f t="shared" ref="B82:P82" si="18">B34+B44</f>
        <v>8799</v>
      </c>
      <c r="C82" s="76">
        <f t="shared" si="18"/>
        <v>12265</v>
      </c>
      <c r="D82" s="76">
        <f t="shared" si="18"/>
        <v>14403</v>
      </c>
      <c r="E82" s="76">
        <f t="shared" si="18"/>
        <v>14443</v>
      </c>
      <c r="F82" s="76">
        <f t="shared" si="18"/>
        <v>12200</v>
      </c>
      <c r="G82" s="76">
        <f t="shared" si="18"/>
        <v>10727</v>
      </c>
      <c r="H82" s="76">
        <f t="shared" si="18"/>
        <v>9538</v>
      </c>
      <c r="I82" s="76">
        <f t="shared" si="18"/>
        <v>8217</v>
      </c>
      <c r="J82" s="76">
        <f t="shared" si="18"/>
        <v>7512</v>
      </c>
      <c r="K82" s="76">
        <f t="shared" si="18"/>
        <v>12924</v>
      </c>
      <c r="L82" s="76">
        <f t="shared" si="18"/>
        <v>12421</v>
      </c>
      <c r="M82" s="76">
        <f t="shared" si="18"/>
        <v>12371</v>
      </c>
      <c r="N82" s="76">
        <f t="shared" si="18"/>
        <v>10409</v>
      </c>
      <c r="O82" s="76">
        <f t="shared" si="18"/>
        <v>9635</v>
      </c>
      <c r="P82" s="76">
        <f t="shared" si="18"/>
        <v>9070</v>
      </c>
      <c r="Q82" s="166">
        <f>Balance_Sheet_Qtr!F82</f>
        <v>9964</v>
      </c>
      <c r="R82" s="166">
        <f>Balance_Sheet_Qtr!K82</f>
        <v>9952</v>
      </c>
      <c r="S82" s="127">
        <f>Balance_Sheet_Qtr!P82</f>
        <v>11117</v>
      </c>
      <c r="T82" s="166">
        <f>Balance_Sheet_Qtr!U82</f>
        <v>13847</v>
      </c>
      <c r="U82" s="164">
        <f>Balance_Sheet_Qtr!Z82</f>
        <v>27302</v>
      </c>
      <c r="V82" s="166">
        <f>Balance_Sheet_Qtr!AE82</f>
        <v>63583</v>
      </c>
      <c r="W82" s="166">
        <f>Balance_Sheet_Qtr!AJ82</f>
        <v>58102</v>
      </c>
      <c r="X82" s="166">
        <f>Balance_Sheet_Qtr!AO82</f>
        <v>57001</v>
      </c>
      <c r="Y82" s="166">
        <f>Balance_Sheet_Qtr!AT82</f>
        <v>52307</v>
      </c>
      <c r="Z82" s="166">
        <f>Balance_Sheet_Qtr!AY82</f>
        <v>53864</v>
      </c>
      <c r="AA82" s="166">
        <f>Balance_Sheet_Qtr!BD82</f>
        <v>54098</v>
      </c>
      <c r="AB82" s="166">
        <f>Balance_Sheet_Qtr!BI82</f>
        <v>49648</v>
      </c>
      <c r="AC82" s="76">
        <f>AC34+AC44</f>
        <v>41848</v>
      </c>
      <c r="AD82" s="76">
        <f>AD34+AD44</f>
        <v>40048</v>
      </c>
      <c r="AE82" s="76">
        <f>AE34+AE44</f>
        <v>40048</v>
      </c>
      <c r="AF82" s="76">
        <f>AF34+AF44</f>
        <v>40048</v>
      </c>
      <c r="AH82" t="s">
        <v>600</v>
      </c>
      <c r="AI82" s="280">
        <f>Cash_Flow_Annual!AA29</f>
        <v>1065</v>
      </c>
      <c r="AJ82" s="280">
        <f ca="1">Cash_Flow_Annual!AB29</f>
        <v>6229.8021594402344</v>
      </c>
      <c r="AK82" s="280">
        <f ca="1">Cash_Flow_Annual!AC29</f>
        <v>10060.408122982055</v>
      </c>
      <c r="AL82" s="280">
        <f ca="1">Cash_Flow_Annual!AD29</f>
        <v>13680.262002060323</v>
      </c>
      <c r="AM82" s="280">
        <f ca="1">Cash_Flow_Annual!AE29</f>
        <v>14307.363382653195</v>
      </c>
      <c r="AT82" s="5"/>
    </row>
    <row r="83" spans="1:53">
      <c r="A83" s="1" t="str">
        <f>Balance_Sheet_Qtr!A83</f>
        <v>Net Debt</v>
      </c>
      <c r="B83" s="76">
        <f t="shared" ref="B83:P83" si="19">-B5+B82</f>
        <v>7789</v>
      </c>
      <c r="C83" s="76">
        <f t="shared" si="19"/>
        <v>11632</v>
      </c>
      <c r="D83" s="76">
        <f t="shared" si="19"/>
        <v>12070</v>
      </c>
      <c r="E83" s="76">
        <f t="shared" si="19"/>
        <v>9810</v>
      </c>
      <c r="F83" s="76">
        <f t="shared" si="19"/>
        <v>8996</v>
      </c>
      <c r="G83" s="76">
        <f t="shared" si="19"/>
        <v>5315</v>
      </c>
      <c r="H83" s="76">
        <f t="shared" si="19"/>
        <v>3420</v>
      </c>
      <c r="I83" s="76">
        <f t="shared" si="19"/>
        <v>1175</v>
      </c>
      <c r="J83" s="76">
        <f t="shared" si="19"/>
        <v>4244</v>
      </c>
      <c r="K83" s="76">
        <f t="shared" si="19"/>
        <v>3709</v>
      </c>
      <c r="L83" s="76">
        <f t="shared" si="19"/>
        <v>7062</v>
      </c>
      <c r="M83" s="76">
        <f t="shared" si="19"/>
        <v>2322</v>
      </c>
      <c r="N83" s="76">
        <f t="shared" si="19"/>
        <v>68</v>
      </c>
      <c r="O83" s="76">
        <f t="shared" si="19"/>
        <v>547</v>
      </c>
      <c r="P83" s="76">
        <f t="shared" si="19"/>
        <v>-2663</v>
      </c>
      <c r="Q83" s="127">
        <f>Balance_Sheet_Qtr!F83</f>
        <v>-2088</v>
      </c>
      <c r="R83" s="127">
        <f>Balance_Sheet_Qtr!K83</f>
        <v>-77</v>
      </c>
      <c r="S83" s="166">
        <f>Balance_Sheet_Qtr!P83</f>
        <v>1199</v>
      </c>
      <c r="T83" s="166">
        <f>Balance_Sheet_Qtr!U83</f>
        <v>5459</v>
      </c>
      <c r="U83" s="164">
        <f>Balance_Sheet_Qtr!Z83</f>
        <v>17358</v>
      </c>
      <c r="V83" s="166">
        <f>Balance_Sheet_Qtr!AE83</f>
        <v>38076</v>
      </c>
      <c r="W83" s="166">
        <f>Balance_Sheet_Qtr!AJ83</f>
        <v>41910</v>
      </c>
      <c r="X83" s="166">
        <f>Balance_Sheet_Qtr!AO83</f>
        <v>39781</v>
      </c>
      <c r="Y83" s="166">
        <f>Balance_Sheet_Qtr!AT83</f>
        <v>36342</v>
      </c>
      <c r="Z83" s="166">
        <f>Balance_Sheet_Qtr!AY83</f>
        <v>27582</v>
      </c>
      <c r="AA83" s="166">
        <f>Balance_Sheet_Qtr!BD83</f>
        <v>24698</v>
      </c>
      <c r="AB83" s="166">
        <f ca="1">Balance_Sheet_Qtr!BI83</f>
        <v>22839.597450391957</v>
      </c>
      <c r="AC83" s="76">
        <f ca="1">-AC5-AC7+AC82</f>
        <v>16376.543193181897</v>
      </c>
      <c r="AD83" s="76">
        <f ca="1">-AD5-AD7+AD82</f>
        <v>6298.9773599526161</v>
      </c>
      <c r="AE83" s="76">
        <f ca="1">-AE5-AE7+AE82</f>
        <v>-4287.6997517664058</v>
      </c>
      <c r="AF83" s="76">
        <f ca="1">-AF5-AF7+AF82</f>
        <v>-16768.089076852972</v>
      </c>
      <c r="AI83" s="109">
        <f>Cash_Flow_Annual!AA33</f>
        <v>-2942</v>
      </c>
      <c r="AJ83" s="109">
        <f>Cash_Flow_Annual!AB33</f>
        <v>-4058.3996098321868</v>
      </c>
      <c r="AK83" s="109">
        <f>Cash_Flow_Annual!AC33</f>
        <v>-3251.3538657719969</v>
      </c>
      <c r="AL83" s="109">
        <f>Cash_Flow_Annual!AD33</f>
        <v>-3393.3684188310453</v>
      </c>
      <c r="AM83" s="109">
        <f>Cash_Flow_Annual!AE33</f>
        <v>-3511.3585209341722</v>
      </c>
      <c r="AV83" s="406"/>
      <c r="AW83" s="406"/>
      <c r="AX83" s="406"/>
      <c r="AY83" s="406"/>
      <c r="AZ83" s="406"/>
      <c r="BA83" s="406"/>
    </row>
    <row r="84" spans="1:53">
      <c r="A84" s="1" t="s">
        <v>569</v>
      </c>
      <c r="B84" s="76">
        <f>B83+B33</f>
        <v>11306</v>
      </c>
      <c r="C84" s="76">
        <f t="shared" ref="C84:W84" si="20">C83+C33</f>
        <v>15938</v>
      </c>
      <c r="D84" s="76">
        <f t="shared" si="20"/>
        <v>15193</v>
      </c>
      <c r="E84" s="76">
        <f t="shared" si="20"/>
        <v>13274</v>
      </c>
      <c r="F84" s="76">
        <f t="shared" si="20"/>
        <v>13119</v>
      </c>
      <c r="G84" s="76">
        <f t="shared" si="20"/>
        <v>15245</v>
      </c>
      <c r="H84" s="76">
        <f t="shared" si="20"/>
        <v>14869</v>
      </c>
      <c r="I84" s="76">
        <f t="shared" si="20"/>
        <v>15022</v>
      </c>
      <c r="J84" s="76">
        <f t="shared" si="20"/>
        <v>16981</v>
      </c>
      <c r="K84" s="76">
        <f t="shared" si="20"/>
        <v>15785</v>
      </c>
      <c r="L84" s="76">
        <f t="shared" si="20"/>
        <v>19385</v>
      </c>
      <c r="M84" s="76">
        <f t="shared" si="20"/>
        <v>17818</v>
      </c>
      <c r="N84" s="76">
        <f t="shared" si="20"/>
        <v>16740</v>
      </c>
      <c r="O84" s="76">
        <f t="shared" si="20"/>
        <v>20574</v>
      </c>
      <c r="P84" s="76">
        <f t="shared" si="20"/>
        <v>20512</v>
      </c>
      <c r="Q84" s="76">
        <f t="shared" si="20"/>
        <v>22276</v>
      </c>
      <c r="R84" s="76">
        <f t="shared" si="20"/>
        <v>23792</v>
      </c>
      <c r="S84" s="76">
        <f t="shared" si="20"/>
        <v>28639</v>
      </c>
      <c r="T84" s="76">
        <f t="shared" si="20"/>
        <v>56135</v>
      </c>
      <c r="U84" s="76">
        <f t="shared" si="20"/>
        <v>68909</v>
      </c>
      <c r="V84" s="76">
        <f t="shared" si="20"/>
        <v>88564</v>
      </c>
      <c r="W84" s="76">
        <f t="shared" si="20"/>
        <v>94890</v>
      </c>
      <c r="X84" s="76">
        <f t="shared" ref="X84:AE84" si="21">X83+X33</f>
        <v>92862</v>
      </c>
      <c r="Y84" s="76">
        <f t="shared" si="21"/>
        <v>92670</v>
      </c>
      <c r="Z84" s="76">
        <f t="shared" si="21"/>
        <v>87915</v>
      </c>
      <c r="AA84" s="76">
        <f t="shared" si="21"/>
        <v>84102</v>
      </c>
      <c r="AB84" s="76">
        <f t="shared" ref="AB84" ca="1" si="22">AB83+AB33</f>
        <v>82054.534210955346</v>
      </c>
      <c r="AC84" s="76">
        <f t="shared" ca="1" si="21"/>
        <v>75620.788432618516</v>
      </c>
      <c r="AD84" s="76">
        <f t="shared" ca="1" si="21"/>
        <v>65857.940477699114</v>
      </c>
      <c r="AE84" s="76">
        <f t="shared" ca="1" si="21"/>
        <v>55795.673530639251</v>
      </c>
      <c r="AF84" s="76">
        <f t="shared" ref="AF84" ca="1" si="23">AF83+AF33</f>
        <v>43509.574106672742</v>
      </c>
      <c r="AH84" t="s">
        <v>582</v>
      </c>
      <c r="AI84" s="39">
        <f>Cash_Flow_Annual!AA77</f>
        <v>-1877</v>
      </c>
      <c r="AJ84" s="39">
        <f ca="1">Cash_Flow_Annual!AB77</f>
        <v>2171.4025496080476</v>
      </c>
      <c r="AK84" s="39">
        <f ca="1">Cash_Flow_Annual!AC77</f>
        <v>6809.0542572100585</v>
      </c>
      <c r="AL84" s="39">
        <f ca="1">Cash_Flow_Annual!AD77</f>
        <v>10286.893583229277</v>
      </c>
      <c r="AM84" s="39">
        <f ca="1">Cash_Flow_Annual!AE77</f>
        <v>10796.004861719022</v>
      </c>
      <c r="AT84" s="420"/>
    </row>
    <row r="85" spans="1:53">
      <c r="A85" s="1" t="str">
        <f>Balance_Sheet_Qtr!A84</f>
        <v>Net Debt to EBITDA</v>
      </c>
      <c r="B85" s="135">
        <f>B83/Income_Statement_Annual!B97</f>
        <v>1.7167731981485563</v>
      </c>
      <c r="C85" s="135">
        <f>C83/Income_Statement_Annual!C97</f>
        <v>2.0627770881361944</v>
      </c>
      <c r="D85" s="135">
        <f>D83/Income_Statement_Annual!D97</f>
        <v>2.4398625429553267</v>
      </c>
      <c r="E85" s="135">
        <f>E83/Income_Statement_Annual!E97</f>
        <v>3.618590925857617</v>
      </c>
      <c r="F85" s="135">
        <f>F83/Income_Statement_Annual!F97</f>
        <v>2.209776467698354</v>
      </c>
      <c r="G85" s="135">
        <f>G83/Income_Statement_Annual!G97</f>
        <v>1.2317497103128621</v>
      </c>
      <c r="H85" s="135">
        <f>H83/Income_Statement_Annual!H97</f>
        <v>0.62580054894784998</v>
      </c>
      <c r="I85" s="135">
        <f>I83/Income_Statement_Annual!I97</f>
        <v>0.16060688901038819</v>
      </c>
      <c r="J85" s="135">
        <f>J83/Income_Statement_Annual!J97</f>
        <v>0.51057859775046321</v>
      </c>
      <c r="K85" s="135">
        <f>K83/Income_Statement_Annual!K97</f>
        <v>0.47508646086845141</v>
      </c>
      <c r="L85" s="135">
        <f>L83/Income_Statement_Annual!L97</f>
        <v>1.0543445804717826</v>
      </c>
      <c r="M85" s="135">
        <f>M83/Income_Statement_Annual!M97</f>
        <v>0.3088176619231281</v>
      </c>
      <c r="N85" s="135">
        <f>N83/Income_Statement_Annual!N97</f>
        <v>8.3940254289593882E-3</v>
      </c>
      <c r="O85" s="135">
        <f>O83/Income_Statement_Annual!O97</f>
        <v>6.2074443940081707E-2</v>
      </c>
      <c r="P85" s="135">
        <f>P83/Income_Statement_Annual!P97</f>
        <v>-0.28393218893272204</v>
      </c>
      <c r="Q85" s="143">
        <f>Balance_Sheet_Qtr!F84</f>
        <v>-0.22509702457956016</v>
      </c>
      <c r="R85" s="143">
        <f>Balance_Sheet_Qtr!K84</f>
        <v>-9.943181818181818E-3</v>
      </c>
      <c r="S85" s="143">
        <f>Balance_Sheet_Qtr!P84</f>
        <v>9.6763780163021548E-2</v>
      </c>
      <c r="T85" s="143">
        <f>Balance_Sheet_Qtr!U84</f>
        <v>0.38713566413729522</v>
      </c>
      <c r="U85" s="143">
        <f>Balance_Sheet_Qtr!Z84</f>
        <v>58.641891891891895</v>
      </c>
      <c r="V85" s="215">
        <f>Balance_Sheet_Qtr!AE84</f>
        <v>-3.6190476190476191</v>
      </c>
      <c r="W85" s="215">
        <f>Balance_Sheet_Qtr!AJ84</f>
        <v>-55.290237467018471</v>
      </c>
      <c r="X85" s="215">
        <f>Balance_Sheet_Qtr!AO84</f>
        <v>-25.370535714285715</v>
      </c>
      <c r="Y85" s="215">
        <f>Balance_Sheet_Qtr!AT84</f>
        <v>33.402573529411768</v>
      </c>
      <c r="Z85" s="215">
        <f>Balance_Sheet_Qtr!AY84</f>
        <v>-3.1092323300642541</v>
      </c>
      <c r="AA85" s="215">
        <f>Balance_Sheet_Qtr!BD84</f>
        <v>3.9618222649983958</v>
      </c>
      <c r="AB85" s="215">
        <f ca="1">Balance_Sheet_Qtr!BI84</f>
        <v>5.4565402551992745</v>
      </c>
      <c r="AC85" s="135">
        <f ca="1">AC83/(Income_Statement_Annual!AC97)</f>
        <v>1.4229268056156268</v>
      </c>
      <c r="AD85" s="135">
        <f ca="1">AD83/(Income_Statement_Annual!AD97)</f>
        <v>0.45772850822863953</v>
      </c>
      <c r="AE85" s="135">
        <f ca="1">AE83/(Income_Statement_Annual!AE97)</f>
        <v>-0.29906767563596354</v>
      </c>
      <c r="AF85" s="135">
        <f ca="1">AF83/(Income_Statement_Annual!AF97)</f>
        <v>-1.1267842217512156</v>
      </c>
    </row>
    <row r="86" spans="1:53">
      <c r="A86" s="1" t="s">
        <v>568</v>
      </c>
      <c r="B86" s="135">
        <f>B84/Income_Statement_Annual!B97</f>
        <v>2.4919550363676439</v>
      </c>
      <c r="C86" s="135">
        <f>C84/Income_Statement_Annual!C97</f>
        <v>2.8263876573860616</v>
      </c>
      <c r="D86" s="135">
        <f>D84/Income_Statement_Annual!D97</f>
        <v>3.0711542348898324</v>
      </c>
      <c r="E86" s="135">
        <f>E84/Income_Statement_Annual!E97</f>
        <v>4.8963482109922536</v>
      </c>
      <c r="F86" s="135">
        <f>F84/Income_Statement_Annual!F97</f>
        <v>3.2225497420781135</v>
      </c>
      <c r="G86" s="135">
        <f>G84/Income_Statement_Annual!G97</f>
        <v>3.5330243337195828</v>
      </c>
      <c r="H86" s="135">
        <f>H84/Income_Statement_Annual!H97</f>
        <v>2.7207685269899358</v>
      </c>
      <c r="I86" s="135">
        <f>I84/Income_Statement_Annual!I97</f>
        <v>2.053307818480044</v>
      </c>
      <c r="J86" s="135">
        <f>J84/Income_Statement_Annual!J97</f>
        <v>2.0429159209238019</v>
      </c>
      <c r="K86" s="135">
        <f>K84/Income_Statement_Annual!K97</f>
        <v>2.0219034200076855</v>
      </c>
      <c r="L86" s="135">
        <f>L84/Income_Statement_Annual!L97</f>
        <v>2.8941475067184235</v>
      </c>
      <c r="M86" s="135">
        <f>M84/Income_Statement_Annual!M97</f>
        <v>2.369730017289533</v>
      </c>
      <c r="N86" s="135">
        <f>N84/Income_Statement_Annual!N97</f>
        <v>2.0664115541291199</v>
      </c>
      <c r="O86" s="135">
        <f>O84/Income_Statement_Annual!O97</f>
        <v>2.3347707671357241</v>
      </c>
      <c r="P86" s="135">
        <f>P84/Income_Statement_Annual!P97</f>
        <v>2.1870135408892204</v>
      </c>
      <c r="Q86" s="135">
        <f>Q84/Income_Statement_Annual!Q97</f>
        <v>2.4014661492022422</v>
      </c>
      <c r="R86" s="135">
        <f>R84/Income_Statement_Annual!R97</f>
        <v>3.0723140495867769</v>
      </c>
      <c r="S86" s="135">
        <f>S84/Income_Statement_Annual!S97</f>
        <v>2.3112743120006458</v>
      </c>
      <c r="T86" s="135">
        <f>T84/Income_Statement_Annual!T97</f>
        <v>3.9809233387703</v>
      </c>
      <c r="U86" s="135">
        <f>U84/Income_Statement_Annual!U97</f>
        <v>232.80067567567568</v>
      </c>
      <c r="V86" s="135">
        <f>V84/Income_Statement_Annual!V97</f>
        <v>-8.4178310046573515</v>
      </c>
      <c r="W86" s="135">
        <f>W84/Income_Statement_Annual!W97</f>
        <v>-125.18469656992085</v>
      </c>
      <c r="X86" s="135">
        <f>X84/Income_Statement_Annual!X97</f>
        <v>-59.223214285714285</v>
      </c>
      <c r="Y86" s="135">
        <f>Y84/Income_Statement_Annual!Y97</f>
        <v>85.174632352941174</v>
      </c>
      <c r="Z86" s="135">
        <f>Z84/Income_Statement_Annual!Z97</f>
        <v>-9.9103821440649309</v>
      </c>
      <c r="AA86" s="135">
        <f>AA84/Income_Statement_Annual!AA97</f>
        <v>13.490856592877767</v>
      </c>
      <c r="AB86" s="135">
        <f ca="1">AB84/Income_Statement_Annual!AB97</f>
        <v>19.603404570338441</v>
      </c>
      <c r="AC86" s="135">
        <f ca="1">AC84/Income_Statement_Annual!AC97</f>
        <v>6.5705470106389523</v>
      </c>
      <c r="AD86" s="135">
        <f ca="1">AD84/Income_Statement_Annual!AD97</f>
        <v>4.7857064928543442</v>
      </c>
      <c r="AE86" s="135">
        <f ca="1">AE84/Income_Statement_Annual!AE97</f>
        <v>3.8917562701252377</v>
      </c>
      <c r="AF86" s="135">
        <f ca="1">AF84/Income_Statement_Annual!AF97</f>
        <v>2.9237619966004647</v>
      </c>
      <c r="AH86" s="433"/>
      <c r="AI86" s="433">
        <v>-2505.7354437538811</v>
      </c>
      <c r="AJ86" s="519">
        <v>2599.929448820234</v>
      </c>
      <c r="AK86" s="519">
        <v>7015.0765099536475</v>
      </c>
      <c r="AL86" s="297">
        <v>10286.512852393185</v>
      </c>
      <c r="AM86" s="297">
        <v>10795.360537040373</v>
      </c>
      <c r="AU86" s="109"/>
    </row>
    <row r="87" spans="1:53">
      <c r="A87" s="1"/>
      <c r="B87" s="143"/>
      <c r="C87" s="143"/>
      <c r="D87" s="143"/>
      <c r="E87" s="143"/>
      <c r="F87" s="143"/>
      <c r="G87" s="143"/>
      <c r="H87" s="143"/>
      <c r="I87" s="143"/>
      <c r="J87" s="143"/>
      <c r="K87" s="143"/>
      <c r="L87" s="143"/>
      <c r="M87" s="143"/>
      <c r="N87" s="143"/>
      <c r="O87" s="143"/>
      <c r="P87" s="143"/>
      <c r="Q87" s="143"/>
      <c r="R87" s="143"/>
      <c r="S87" s="143"/>
      <c r="T87" s="143"/>
      <c r="U87" s="143"/>
      <c r="V87" s="215"/>
      <c r="W87" s="215"/>
      <c r="X87" s="215"/>
      <c r="Y87" s="215"/>
      <c r="Z87" s="215"/>
      <c r="AA87" s="215"/>
      <c r="AB87" s="215"/>
      <c r="AC87" s="201"/>
      <c r="AD87" s="201"/>
      <c r="AE87" s="201"/>
      <c r="AF87" s="201"/>
      <c r="AH87" s="109"/>
      <c r="AI87" s="109"/>
      <c r="AJ87" s="109"/>
      <c r="AK87" s="109"/>
      <c r="AU87" s="109"/>
    </row>
    <row r="88" spans="1:53">
      <c r="A88" s="113" t="str">
        <f>Balance_Sheet_Qtr!A88</f>
        <v>Dry Powder Calculation for M&amp;A</v>
      </c>
      <c r="B88" s="144"/>
      <c r="C88" s="144"/>
      <c r="D88" s="144"/>
      <c r="E88" s="144"/>
      <c r="F88" s="144"/>
      <c r="G88" s="144"/>
      <c r="H88" s="144"/>
      <c r="I88" s="144"/>
      <c r="J88" s="144"/>
      <c r="K88" s="144"/>
      <c r="L88" s="144"/>
      <c r="M88" s="144"/>
      <c r="N88" s="144"/>
      <c r="O88" s="144"/>
      <c r="P88" s="144"/>
      <c r="Q88" s="144"/>
      <c r="R88" s="144"/>
      <c r="S88" s="144"/>
      <c r="T88" s="144"/>
      <c r="U88" s="144"/>
      <c r="V88" s="216"/>
      <c r="W88" s="216"/>
      <c r="X88" s="216"/>
      <c r="Y88" s="216"/>
      <c r="Z88" s="216"/>
      <c r="AA88" s="216"/>
      <c r="AB88" s="216"/>
      <c r="AC88" s="238"/>
      <c r="AD88" s="238"/>
      <c r="AE88" s="238"/>
      <c r="AF88" s="238"/>
      <c r="AU88" s="109"/>
    </row>
    <row r="89" spans="1:53">
      <c r="A89" s="1" t="str">
        <f>Balance_Sheet_Qtr!A89</f>
        <v>Cash</v>
      </c>
      <c r="B89" s="76"/>
      <c r="C89" s="76"/>
      <c r="D89" s="76"/>
      <c r="E89" s="76"/>
      <c r="F89" s="76"/>
      <c r="G89" s="76"/>
      <c r="H89" s="76"/>
      <c r="I89" s="76"/>
      <c r="J89" s="76"/>
      <c r="K89" s="76"/>
      <c r="L89" s="76"/>
      <c r="M89" s="76"/>
      <c r="N89" s="76"/>
      <c r="O89" s="76"/>
      <c r="P89" s="76"/>
      <c r="Q89" s="127"/>
      <c r="R89" s="127"/>
      <c r="S89" s="127"/>
      <c r="T89" s="127"/>
      <c r="U89" s="127"/>
      <c r="V89" s="166"/>
      <c r="W89" s="166">
        <f>Balance_Sheet_Qtr!AJ89</f>
        <v>8052</v>
      </c>
      <c r="X89" s="166">
        <f>Balance_Sheet_Qtr!AO89</f>
        <v>0</v>
      </c>
      <c r="Y89" s="166">
        <f>Balance_Sheet_Qtr!AT89</f>
        <v>0</v>
      </c>
      <c r="Z89" s="166">
        <f>Balance_Sheet_Qtr!AY89</f>
        <v>13801</v>
      </c>
      <c r="AA89" s="166">
        <f>Balance_Sheet_Qtr!BD89</f>
        <v>10921</v>
      </c>
      <c r="AB89" s="166">
        <f ca="1">Balance_Sheet_Qtr!BI89</f>
        <v>8329.4025496080467</v>
      </c>
      <c r="AC89" s="76">
        <f ca="1">AC5</f>
        <v>6992.4568068181052</v>
      </c>
      <c r="AD89" s="76">
        <f ca="1">AD5</f>
        <v>15270.022640047382</v>
      </c>
      <c r="AE89" s="76">
        <f ca="1">AE5</f>
        <v>25856.699751766406</v>
      </c>
      <c r="AF89" s="76">
        <f ca="1">AF5</f>
        <v>38337.089076852972</v>
      </c>
      <c r="AJ89" s="297"/>
    </row>
    <row r="90" spans="1:53">
      <c r="A90" s="1" t="str">
        <f>Balance_Sheet_Qtr!A90</f>
        <v>Incremental Debt</v>
      </c>
      <c r="B90" s="76"/>
      <c r="C90" s="76"/>
      <c r="D90" s="76"/>
      <c r="E90" s="76"/>
      <c r="F90" s="76"/>
      <c r="G90" s="76"/>
      <c r="H90" s="76"/>
      <c r="I90" s="76"/>
      <c r="J90" s="76"/>
      <c r="K90" s="76"/>
      <c r="L90" s="76"/>
      <c r="M90" s="76"/>
      <c r="N90" s="76"/>
      <c r="O90" s="76"/>
      <c r="P90" s="76"/>
      <c r="Q90" s="127"/>
      <c r="R90" s="127"/>
      <c r="S90" s="127"/>
      <c r="T90" s="127"/>
      <c r="U90" s="127"/>
      <c r="V90" s="166"/>
      <c r="W90" s="166">
        <f ca="1">Balance_Sheet_Qtr!AJ90</f>
        <v>-74708.830958582403</v>
      </c>
      <c r="X90" s="166">
        <f>Balance_Sheet_Qtr!AO90</f>
        <v>0</v>
      </c>
      <c r="Y90" s="166">
        <f ca="1">Balance_Sheet_Qtr!AT90</f>
        <v>-68671.314982506301</v>
      </c>
      <c r="Z90" s="166">
        <f ca="1">Balance_Sheet_Qtr!AY90</f>
        <v>-88901.333333333343</v>
      </c>
      <c r="AA90" s="166">
        <f ca="1">Balance_Sheet_Qtr!BD90</f>
        <v>-32633.333333333336</v>
      </c>
      <c r="AB90" s="166">
        <f ca="1">Balance_Sheet_Qtr!BI90</f>
        <v>-38348.548246170816</v>
      </c>
      <c r="AC90" s="76">
        <f ca="1">(Income_Statement_Annual!AC97+Balance_Sheet_Annual!AC94)*AC92+(Balance_Sheet_Annual!AC89-AC82)</f>
        <v>-437.83667342745321</v>
      </c>
      <c r="AD90" s="76">
        <f ca="1">(Income_Statement_Annual!AD97+Balance_Sheet_Annual!AD94)*AD92+(Balance_Sheet_Annual!AD89-AD82)</f>
        <v>22008.229274603887</v>
      </c>
      <c r="AE90" s="76">
        <f ca="1">(Income_Statement_Annual!AE97+Balance_Sheet_Annual!AE94)*AE92+(Balance_Sheet_Annual!AE89-AE82)</f>
        <v>38425.818091640336</v>
      </c>
      <c r="AF90" s="76">
        <f ca="1">(Income_Statement_Annual!AF97+Balance_Sheet_Annual!AF94)*AF92+(Balance_Sheet_Annual!AF89-AF82)</f>
        <v>57244.251814069321</v>
      </c>
    </row>
    <row r="91" spans="1:53">
      <c r="A91" s="141" t="str">
        <f>Balance_Sheet_Qtr!A91</f>
        <v>Dry Powder for M&amp;A</v>
      </c>
      <c r="B91" s="25"/>
      <c r="C91" s="25"/>
      <c r="D91" s="25"/>
      <c r="E91" s="25"/>
      <c r="F91" s="25"/>
      <c r="G91" s="25"/>
      <c r="H91" s="25"/>
      <c r="I91" s="25"/>
      <c r="J91" s="25"/>
      <c r="K91" s="25"/>
      <c r="L91" s="25"/>
      <c r="M91" s="25"/>
      <c r="N91" s="25"/>
      <c r="O91" s="25"/>
      <c r="P91" s="25"/>
      <c r="Q91" s="128"/>
      <c r="R91" s="128"/>
      <c r="S91" s="128"/>
      <c r="T91" s="128"/>
      <c r="U91" s="128"/>
      <c r="V91" s="178"/>
      <c r="W91" s="178">
        <f ca="1">Balance_Sheet_Qtr!AJ91</f>
        <v>-74708.830958582403</v>
      </c>
      <c r="X91" s="178">
        <f>Balance_Sheet_Qtr!AO91</f>
        <v>0</v>
      </c>
      <c r="Y91" s="178">
        <f ca="1">Balance_Sheet_Qtr!AT91</f>
        <v>-68671.314982506301</v>
      </c>
      <c r="Z91" s="178">
        <f ca="1">Balance_Sheet_Qtr!AY91</f>
        <v>-88901.333333333343</v>
      </c>
      <c r="AA91" s="178">
        <f ca="1">Balance_Sheet_Qtr!BD91</f>
        <v>-32633.333333333336</v>
      </c>
      <c r="AB91" s="178">
        <f ca="1">Balance_Sheet_Qtr!BI91</f>
        <v>-38348.548246170816</v>
      </c>
      <c r="AC91" s="25">
        <f ca="1">AC90</f>
        <v>-437.83667342745321</v>
      </c>
      <c r="AD91" s="25">
        <f ca="1">AD90</f>
        <v>22008.229274603887</v>
      </c>
      <c r="AE91" s="25">
        <f ca="1">AE90</f>
        <v>38425.818091640336</v>
      </c>
      <c r="AF91" s="25">
        <f ca="1">AF90</f>
        <v>57244.251814069321</v>
      </c>
      <c r="AH91" s="109"/>
      <c r="AM91" s="297"/>
    </row>
    <row r="92" spans="1:53">
      <c r="A92" s="1" t="str">
        <f>Balance_Sheet_Qtr!A92</f>
        <v>Target Post-Deal Net Debt to EBITDA</v>
      </c>
      <c r="B92" s="137"/>
      <c r="C92" s="137"/>
      <c r="D92" s="137"/>
      <c r="E92" s="137"/>
      <c r="F92" s="137"/>
      <c r="G92" s="137"/>
      <c r="H92" s="137"/>
      <c r="I92" s="137"/>
      <c r="J92" s="137"/>
      <c r="K92" s="137"/>
      <c r="L92" s="137"/>
      <c r="M92" s="137"/>
      <c r="N92" s="137"/>
      <c r="O92" s="137"/>
      <c r="P92" s="137"/>
      <c r="Q92" s="143"/>
      <c r="R92" s="143"/>
      <c r="S92" s="143"/>
      <c r="T92" s="143"/>
      <c r="U92" s="143"/>
      <c r="V92" s="215"/>
      <c r="W92" s="215">
        <f>Balance_Sheet_Qtr!AJ92</f>
        <v>3.5308939606265666</v>
      </c>
      <c r="X92" s="215">
        <f>Balance_Sheet_Qtr!AO92</f>
        <v>0</v>
      </c>
      <c r="Y92" s="215">
        <f>Balance_Sheet_Qtr!AT92</f>
        <v>3.5308939606265666</v>
      </c>
      <c r="Z92" s="215">
        <f>Balance_Sheet_Qtr!AY92</f>
        <v>3</v>
      </c>
      <c r="AA92" s="215">
        <f>Balance_Sheet_Qtr!BD92</f>
        <v>3</v>
      </c>
      <c r="AB92" s="215">
        <f>Balance_Sheet_Qtr!BI92</f>
        <v>3</v>
      </c>
      <c r="AC92" s="137">
        <v>3</v>
      </c>
      <c r="AD92" s="137">
        <v>3</v>
      </c>
      <c r="AE92" s="137">
        <v>3</v>
      </c>
      <c r="AF92" s="137">
        <v>3</v>
      </c>
    </row>
    <row r="93" spans="1:53">
      <c r="A93" s="1" t="str">
        <f>Balance_Sheet_Qtr!A93</f>
        <v>Post-Deal Net Debt to EBITDA</v>
      </c>
      <c r="B93" s="135"/>
      <c r="C93" s="135"/>
      <c r="D93" s="135"/>
      <c r="E93" s="135"/>
      <c r="F93" s="135"/>
      <c r="G93" s="135"/>
      <c r="H93" s="135"/>
      <c r="I93" s="135"/>
      <c r="J93" s="135"/>
      <c r="K93" s="135"/>
      <c r="L93" s="135"/>
      <c r="M93" s="135"/>
      <c r="N93" s="135"/>
      <c r="O93" s="135"/>
      <c r="P93" s="135"/>
      <c r="Q93" s="143"/>
      <c r="R93" s="143"/>
      <c r="S93" s="143"/>
      <c r="T93" s="143"/>
      <c r="U93" s="143"/>
      <c r="V93" s="215"/>
      <c r="W93" s="215">
        <f ca="1">Balance_Sheet_Qtr!AJ93</f>
        <v>3.5308939606265652</v>
      </c>
      <c r="X93" s="215">
        <f>Balance_Sheet_Qtr!AO93</f>
        <v>0</v>
      </c>
      <c r="Y93" s="215">
        <f ca="1">Balance_Sheet_Qtr!AT93</f>
        <v>3.5308939606265652</v>
      </c>
      <c r="Z93" s="215">
        <f ca="1">Balance_Sheet_Qtr!AY93</f>
        <v>3.0000000000000004</v>
      </c>
      <c r="AA93" s="215">
        <f ca="1">Balance_Sheet_Qtr!BD93</f>
        <v>2.9999999999999996</v>
      </c>
      <c r="AB93" s="215">
        <f ca="1">Balance_Sheet_Qtr!BI93</f>
        <v>2.9999999999999964</v>
      </c>
      <c r="AC93" s="135">
        <f ca="1">IF((AC82+AC90-AC89)/(Income_Statement_Annual!AC97+Balance_Sheet_Annual!AC94)=AC92,(AC82+AC90-AC89)/(Income_Statement_Annual!AC97+Balance_Sheet_Annual!AC94),"Error")</f>
        <v>3</v>
      </c>
      <c r="AD93" s="135">
        <f ca="1">IF((AD82+AD90-AD89)/(Income_Statement_Annual!AD97+Balance_Sheet_Annual!AD94)=AD92,(AD82+AD90-AD89)/(Income_Statement_Annual!AD97+Balance_Sheet_Annual!AD94),"Error")</f>
        <v>3</v>
      </c>
      <c r="AE93" s="135">
        <f ca="1">IF((AE82+AE90-AE89)/(Income_Statement_Annual!AE97+Balance_Sheet_Annual!AE94)=AE92,(AE82+AE90-AE89)/(Income_Statement_Annual!AE97+Balance_Sheet_Annual!AE94),"Error")</f>
        <v>3</v>
      </c>
      <c r="AF93" s="135">
        <f ca="1">IF((AF82+AF90-AF89)/(Income_Statement_Annual!AF97+Balance_Sheet_Annual!AF94)=AF92,(AF82+AF90-AF89)/(Income_Statement_Annual!AF97+Balance_Sheet_Annual!AF94),"Error")</f>
        <v>2.9999999999999996</v>
      </c>
      <c r="AJ93" s="109"/>
    </row>
    <row r="94" spans="1:53">
      <c r="A94" s="1" t="str">
        <f>Balance_Sheet_Qtr!A94</f>
        <v>Acquired EBITDA</v>
      </c>
      <c r="B94" s="76"/>
      <c r="C94" s="76"/>
      <c r="D94" s="76"/>
      <c r="E94" s="76"/>
      <c r="F94" s="76"/>
      <c r="G94" s="76"/>
      <c r="H94" s="76"/>
      <c r="I94" s="76"/>
      <c r="J94" s="76"/>
      <c r="K94" s="76"/>
      <c r="L94" s="76"/>
      <c r="M94" s="76"/>
      <c r="N94" s="76"/>
      <c r="O94" s="76"/>
      <c r="P94" s="76"/>
      <c r="Q94" s="127"/>
      <c r="R94" s="127"/>
      <c r="S94" s="127"/>
      <c r="T94" s="127"/>
      <c r="U94" s="127"/>
      <c r="V94" s="166"/>
      <c r="W94" s="166">
        <f ca="1">Balance_Sheet_Qtr!AJ94</f>
        <v>-6225.7359132152005</v>
      </c>
      <c r="X94" s="166">
        <f>Balance_Sheet_Qtr!AO94</f>
        <v>0</v>
      </c>
      <c r="Y94" s="166">
        <f ca="1">Balance_Sheet_Qtr!AT94</f>
        <v>-5722.6095818755248</v>
      </c>
      <c r="Z94" s="166">
        <f ca="1">Balance_Sheet_Qtr!AY94</f>
        <v>-7408.4444444444453</v>
      </c>
      <c r="AA94" s="166">
        <f ca="1">Balance_Sheet_Qtr!BD94</f>
        <v>-2719.4444444444448</v>
      </c>
      <c r="AB94" s="166">
        <f ca="1">Balance_Sheet_Qtr!BI94</f>
        <v>-3195.712353847568</v>
      </c>
      <c r="AC94" s="76">
        <f ca="1">AC91/AC95</f>
        <v>-36.486389452287767</v>
      </c>
      <c r="AD94" s="76">
        <f ca="1">AD91/AD95</f>
        <v>1834.0191062169906</v>
      </c>
      <c r="AE94" s="76">
        <f ca="1">AE91/AE95</f>
        <v>3202.1515076366945</v>
      </c>
      <c r="AF94" s="76">
        <f ca="1">AF91/AF95</f>
        <v>4770.3543178391101</v>
      </c>
      <c r="AG94" s="413" t="s">
        <v>572</v>
      </c>
    </row>
    <row r="95" spans="1:53">
      <c r="A95" s="1" t="str">
        <f>Balance_Sheet_Qtr!A95</f>
        <v>Implied Deal Valuation (EV/EBITDA)</v>
      </c>
      <c r="B95" s="137"/>
      <c r="C95" s="137"/>
      <c r="D95" s="137"/>
      <c r="E95" s="137"/>
      <c r="F95" s="137"/>
      <c r="G95" s="137"/>
      <c r="H95" s="137"/>
      <c r="I95" s="137"/>
      <c r="J95" s="137"/>
      <c r="K95" s="137"/>
      <c r="L95" s="137"/>
      <c r="M95" s="137"/>
      <c r="N95" s="137"/>
      <c r="O95" s="137"/>
      <c r="P95" s="137"/>
      <c r="Q95" s="143"/>
      <c r="R95" s="143"/>
      <c r="S95" s="143"/>
      <c r="T95" s="143"/>
      <c r="U95" s="143"/>
      <c r="V95" s="215"/>
      <c r="W95" s="215">
        <f>Balance_Sheet_Qtr!AJ95</f>
        <v>12</v>
      </c>
      <c r="X95" s="215">
        <f>Balance_Sheet_Qtr!AO95</f>
        <v>0</v>
      </c>
      <c r="Y95" s="215">
        <f>Balance_Sheet_Qtr!AT95</f>
        <v>12</v>
      </c>
      <c r="Z95" s="215">
        <f>Balance_Sheet_Qtr!AY95</f>
        <v>12</v>
      </c>
      <c r="AA95" s="215">
        <f>Balance_Sheet_Qtr!BD95</f>
        <v>12</v>
      </c>
      <c r="AB95" s="215">
        <f>Balance_Sheet_Qtr!BI95</f>
        <v>12</v>
      </c>
      <c r="AC95" s="137">
        <v>12</v>
      </c>
      <c r="AD95" s="137">
        <v>12</v>
      </c>
      <c r="AE95" s="137">
        <v>12</v>
      </c>
      <c r="AF95" s="137">
        <v>12</v>
      </c>
    </row>
    <row r="96" spans="1:53">
      <c r="A96" s="1"/>
      <c r="B96" s="76"/>
      <c r="C96" s="76"/>
      <c r="D96" s="76"/>
      <c r="E96" s="76"/>
      <c r="F96" s="76"/>
      <c r="G96" s="76"/>
      <c r="H96" s="76"/>
      <c r="I96" s="76"/>
      <c r="J96" s="76"/>
      <c r="K96" s="76"/>
      <c r="L96" s="76"/>
      <c r="M96" s="76"/>
      <c r="N96" s="76"/>
      <c r="O96" s="76"/>
      <c r="P96" s="76"/>
      <c r="Q96" s="127"/>
      <c r="R96" s="127"/>
      <c r="S96" s="127"/>
      <c r="T96" s="127"/>
      <c r="U96" s="127"/>
      <c r="V96" s="166"/>
      <c r="W96" s="166"/>
      <c r="X96" s="166"/>
      <c r="Y96" s="166"/>
      <c r="Z96" s="166"/>
      <c r="AA96" s="166"/>
      <c r="AB96" s="166"/>
      <c r="AC96" s="76"/>
      <c r="AD96" s="76"/>
      <c r="AE96" s="76"/>
      <c r="AF96" s="76"/>
    </row>
    <row r="97" spans="1:32">
      <c r="A97" s="1" t="str">
        <f>Balance_Sheet_Qtr!A97</f>
        <v>D&amp;A as a % of EBITDA</v>
      </c>
      <c r="B97" s="142"/>
      <c r="C97" s="142"/>
      <c r="D97" s="142"/>
      <c r="E97" s="142"/>
      <c r="F97" s="142"/>
      <c r="G97" s="142"/>
      <c r="H97" s="142"/>
      <c r="I97" s="142"/>
      <c r="J97" s="142"/>
      <c r="K97" s="142"/>
      <c r="L97" s="142"/>
      <c r="M97" s="142"/>
      <c r="N97" s="142"/>
      <c r="O97" s="142"/>
      <c r="P97" s="142"/>
      <c r="Q97" s="145"/>
      <c r="R97" s="145"/>
      <c r="S97" s="145"/>
      <c r="T97" s="145"/>
      <c r="U97" s="145"/>
      <c r="V97" s="217"/>
      <c r="W97" s="217">
        <f>Balance_Sheet_Qtr!AJ97</f>
        <v>0.3</v>
      </c>
      <c r="X97" s="217">
        <f>Balance_Sheet_Qtr!AO97</f>
        <v>0</v>
      </c>
      <c r="Y97" s="217">
        <f>Balance_Sheet_Qtr!AT97</f>
        <v>0.3</v>
      </c>
      <c r="Z97" s="217">
        <f>Balance_Sheet_Qtr!AY97</f>
        <v>0.3</v>
      </c>
      <c r="AA97" s="217">
        <f>Balance_Sheet_Qtr!BD97</f>
        <v>0.3</v>
      </c>
      <c r="AB97" s="217">
        <f>Balance_Sheet_Qtr!BI97</f>
        <v>0.3</v>
      </c>
      <c r="AC97" s="142">
        <v>0.3</v>
      </c>
      <c r="AD97" s="142">
        <v>0.3</v>
      </c>
      <c r="AE97" s="142">
        <v>0.3</v>
      </c>
      <c r="AF97" s="142">
        <v>0.3</v>
      </c>
    </row>
    <row r="98" spans="1:32">
      <c r="A98" s="1" t="str">
        <f>Balance_Sheet_Qtr!A98</f>
        <v>D&amp;A Expense</v>
      </c>
      <c r="B98" s="76"/>
      <c r="C98" s="76"/>
      <c r="D98" s="76"/>
      <c r="E98" s="76"/>
      <c r="F98" s="76"/>
      <c r="G98" s="76"/>
      <c r="H98" s="76"/>
      <c r="I98" s="76"/>
      <c r="J98" s="76"/>
      <c r="K98" s="76"/>
      <c r="L98" s="76"/>
      <c r="M98" s="76"/>
      <c r="N98" s="76"/>
      <c r="O98" s="76"/>
      <c r="P98" s="76"/>
      <c r="Q98" s="127"/>
      <c r="R98" s="127"/>
      <c r="S98" s="127"/>
      <c r="T98" s="127"/>
      <c r="U98" s="127"/>
      <c r="V98" s="166"/>
      <c r="W98" s="166">
        <f ca="1">Balance_Sheet_Qtr!AJ98</f>
        <v>1867.7207739645601</v>
      </c>
      <c r="X98" s="166">
        <f>Balance_Sheet_Qtr!AO98</f>
        <v>0</v>
      </c>
      <c r="Y98" s="166">
        <f ca="1">Balance_Sheet_Qtr!AT98</f>
        <v>1716.7828745626573</v>
      </c>
      <c r="Z98" s="166">
        <f ca="1">Balance_Sheet_Qtr!AY98</f>
        <v>2222.5333333333333</v>
      </c>
      <c r="AA98" s="166">
        <f ca="1">Balance_Sheet_Qtr!BD98</f>
        <v>815.83333333333337</v>
      </c>
      <c r="AB98" s="166">
        <f ca="1">Balance_Sheet_Qtr!BI98</f>
        <v>958.71370615427031</v>
      </c>
      <c r="AC98" s="76">
        <f ca="1">-AC97*AC94</f>
        <v>10.945916835686329</v>
      </c>
      <c r="AD98" s="76">
        <f ca="1">-AD97*AD94</f>
        <v>-550.20573186509716</v>
      </c>
      <c r="AE98" s="76">
        <f ca="1">-AE97*AE94</f>
        <v>-960.64545229100827</v>
      </c>
      <c r="AF98" s="76">
        <f ca="1">-AF97*AF94</f>
        <v>-1431.106295351733</v>
      </c>
    </row>
    <row r="99" spans="1:32">
      <c r="A99" s="1" t="str">
        <f>Balance_Sheet_Qtr!A99</f>
        <v>Incremental EBIT</v>
      </c>
      <c r="B99" s="76"/>
      <c r="C99" s="76"/>
      <c r="D99" s="76"/>
      <c r="E99" s="76"/>
      <c r="F99" s="76"/>
      <c r="G99" s="76"/>
      <c r="H99" s="76"/>
      <c r="I99" s="76"/>
      <c r="J99" s="76"/>
      <c r="K99" s="76"/>
      <c r="L99" s="76"/>
      <c r="M99" s="76"/>
      <c r="N99" s="76"/>
      <c r="O99" s="76"/>
      <c r="P99" s="76"/>
      <c r="Q99" s="127"/>
      <c r="R99" s="127"/>
      <c r="S99" s="127"/>
      <c r="T99" s="127"/>
      <c r="U99" s="127"/>
      <c r="V99" s="166"/>
      <c r="W99" s="166">
        <f ca="1">Balance_Sheet_Qtr!AJ99</f>
        <v>-4358.0151392506405</v>
      </c>
      <c r="X99" s="166">
        <f>Balance_Sheet_Qtr!AO99</f>
        <v>0</v>
      </c>
      <c r="Y99" s="166">
        <f ca="1">Balance_Sheet_Qtr!AT99</f>
        <v>-4005.8267073128673</v>
      </c>
      <c r="Z99" s="166">
        <f ca="1">Balance_Sheet_Qtr!AY99</f>
        <v>-5185.9111111111124</v>
      </c>
      <c r="AA99" s="166">
        <f ca="1">Balance_Sheet_Qtr!BD99</f>
        <v>-1903.6111111111113</v>
      </c>
      <c r="AB99" s="166">
        <f ca="1">Balance_Sheet_Qtr!BI99</f>
        <v>-2236.9986476932977</v>
      </c>
      <c r="AC99" s="76">
        <f ca="1">AC94+AC98</f>
        <v>-25.540472616601438</v>
      </c>
      <c r="AD99" s="76">
        <f ca="1">AD94+AD98</f>
        <v>1283.8133743518933</v>
      </c>
      <c r="AE99" s="76">
        <f ca="1">AE94+AE98</f>
        <v>2241.506055345686</v>
      </c>
      <c r="AF99" s="76">
        <f ca="1">AF94+AF98</f>
        <v>3339.2480224873771</v>
      </c>
    </row>
    <row r="100" spans="1:32">
      <c r="A100" s="1" t="str">
        <f>Balance_Sheet_Qtr!A100</f>
        <v>Incremental Cost of Debt</v>
      </c>
      <c r="B100" s="142"/>
      <c r="C100" s="142"/>
      <c r="D100" s="142"/>
      <c r="E100" s="142"/>
      <c r="F100" s="142"/>
      <c r="G100" s="142"/>
      <c r="H100" s="142"/>
      <c r="I100" s="142"/>
      <c r="J100" s="142"/>
      <c r="K100" s="142"/>
      <c r="L100" s="142"/>
      <c r="M100" s="142"/>
      <c r="N100" s="142"/>
      <c r="O100" s="142"/>
      <c r="P100" s="142"/>
      <c r="Q100" s="145"/>
      <c r="R100" s="145"/>
      <c r="S100" s="145"/>
      <c r="T100" s="145"/>
      <c r="U100" s="145"/>
      <c r="V100" s="217"/>
      <c r="W100" s="217">
        <f>Balance_Sheet_Qtr!AJ100</f>
        <v>3.5000000000000003E-2</v>
      </c>
      <c r="X100" s="217">
        <f>Balance_Sheet_Qtr!AO100</f>
        <v>0</v>
      </c>
      <c r="Y100" s="217">
        <f>Balance_Sheet_Qtr!AT100</f>
        <v>3.5000000000000003E-2</v>
      </c>
      <c r="Z100" s="217">
        <f>Balance_Sheet_Qtr!AY100</f>
        <v>3.5000000000000003E-2</v>
      </c>
      <c r="AA100" s="217">
        <f>Balance_Sheet_Qtr!BD100</f>
        <v>3.5000000000000003E-2</v>
      </c>
      <c r="AB100" s="217">
        <f>Balance_Sheet_Qtr!BI100</f>
        <v>3.5000000000000003E-2</v>
      </c>
      <c r="AC100" s="142">
        <v>3.5000000000000003E-2</v>
      </c>
      <c r="AD100" s="142">
        <v>3.5000000000000003E-2</v>
      </c>
      <c r="AE100" s="142">
        <v>3.5000000000000003E-2</v>
      </c>
      <c r="AF100" s="142">
        <v>3.5000000000000003E-2</v>
      </c>
    </row>
    <row r="101" spans="1:32">
      <c r="A101" s="1" t="str">
        <f>Balance_Sheet_Qtr!A101</f>
        <v>Incremental Interest Expense</v>
      </c>
      <c r="B101" s="76"/>
      <c r="C101" s="76"/>
      <c r="D101" s="76"/>
      <c r="E101" s="76"/>
      <c r="F101" s="76"/>
      <c r="G101" s="76"/>
      <c r="H101" s="76"/>
      <c r="I101" s="76"/>
      <c r="J101" s="76"/>
      <c r="K101" s="76"/>
      <c r="L101" s="76"/>
      <c r="M101" s="76"/>
      <c r="N101" s="76"/>
      <c r="O101" s="76"/>
      <c r="P101" s="76"/>
      <c r="Q101" s="127"/>
      <c r="R101" s="127"/>
      <c r="S101" s="127"/>
      <c r="T101" s="127"/>
      <c r="U101" s="127"/>
      <c r="V101" s="166"/>
      <c r="W101" s="166">
        <f ca="1">Balance_Sheet_Qtr!AJ101</f>
        <v>2614.8090835503845</v>
      </c>
      <c r="X101" s="166">
        <f>Balance_Sheet_Qtr!AO101</f>
        <v>0</v>
      </c>
      <c r="Y101" s="166">
        <f ca="1">Balance_Sheet_Qtr!AT101</f>
        <v>2403.4960243877208</v>
      </c>
      <c r="Z101" s="166">
        <f ca="1">Balance_Sheet_Qtr!AY101</f>
        <v>3111.5466666666671</v>
      </c>
      <c r="AA101" s="166">
        <f ca="1">Balance_Sheet_Qtr!BD101</f>
        <v>1142.166666666667</v>
      </c>
      <c r="AB101" s="166">
        <f ca="1">Balance_Sheet_Qtr!BI101</f>
        <v>1342.1991886159788</v>
      </c>
      <c r="AC101" s="76">
        <f ca="1">-AC100*AC90</f>
        <v>15.324283569960864</v>
      </c>
      <c r="AD101" s="76">
        <f ca="1">-AD100*AD90</f>
        <v>-770.28802461113617</v>
      </c>
      <c r="AE101" s="76">
        <f ca="1">-AE100*AE90</f>
        <v>-1344.903633207412</v>
      </c>
      <c r="AF101" s="76">
        <f ca="1">-AF100*AF90</f>
        <v>-2003.5488134924265</v>
      </c>
    </row>
    <row r="102" spans="1:32">
      <c r="A102" s="1" t="str">
        <f>Balance_Sheet_Qtr!A102</f>
        <v>Pre-Tax Income</v>
      </c>
      <c r="B102" s="76"/>
      <c r="C102" s="76"/>
      <c r="D102" s="76"/>
      <c r="E102" s="76"/>
      <c r="F102" s="76"/>
      <c r="G102" s="76"/>
      <c r="H102" s="76"/>
      <c r="I102" s="76"/>
      <c r="J102" s="76"/>
      <c r="K102" s="76"/>
      <c r="L102" s="76"/>
      <c r="M102" s="76"/>
      <c r="N102" s="76"/>
      <c r="O102" s="76"/>
      <c r="P102" s="76"/>
      <c r="Q102" s="127"/>
      <c r="R102" s="127"/>
      <c r="S102" s="127"/>
      <c r="T102" s="127"/>
      <c r="U102" s="127"/>
      <c r="V102" s="166"/>
      <c r="W102" s="166">
        <f ca="1">Balance_Sheet_Qtr!AJ102</f>
        <v>-1743.206055700256</v>
      </c>
      <c r="X102" s="166">
        <f>Balance_Sheet_Qtr!AO102</f>
        <v>0</v>
      </c>
      <c r="Y102" s="166">
        <f ca="1">Balance_Sheet_Qtr!AT102</f>
        <v>-1602.3306829251464</v>
      </c>
      <c r="Z102" s="166">
        <f ca="1">Balance_Sheet_Qtr!AY102</f>
        <v>-2074.3644444444453</v>
      </c>
      <c r="AA102" s="166">
        <f ca="1">Balance_Sheet_Qtr!BD102</f>
        <v>-761.44444444444434</v>
      </c>
      <c r="AB102" s="166">
        <f ca="1">Balance_Sheet_Qtr!BI102</f>
        <v>-894.79945907731894</v>
      </c>
      <c r="AC102" s="76">
        <f ca="1">AC99+AC101</f>
        <v>-10.216189046640574</v>
      </c>
      <c r="AD102" s="76">
        <f ca="1">AD99+AD101</f>
        <v>513.52534974075718</v>
      </c>
      <c r="AE102" s="76">
        <f ca="1">AE99+AE101</f>
        <v>896.60242213827405</v>
      </c>
      <c r="AF102" s="76">
        <f ca="1">AF99+AF101</f>
        <v>1335.6992089949506</v>
      </c>
    </row>
    <row r="103" spans="1:32">
      <c r="A103" s="1" t="str">
        <f>Balance_Sheet_Qtr!A103</f>
        <v>Incremental Tax Expense</v>
      </c>
      <c r="B103" s="76"/>
      <c r="C103" s="76"/>
      <c r="D103" s="76"/>
      <c r="E103" s="76"/>
      <c r="F103" s="76"/>
      <c r="G103" s="76"/>
      <c r="H103" s="76"/>
      <c r="I103" s="76"/>
      <c r="J103" s="76"/>
      <c r="K103" s="76"/>
      <c r="L103" s="76"/>
      <c r="M103" s="76"/>
      <c r="N103" s="76"/>
      <c r="O103" s="76"/>
      <c r="P103" s="76"/>
      <c r="Q103" s="127"/>
      <c r="R103" s="127"/>
      <c r="S103" s="127"/>
      <c r="T103" s="127"/>
      <c r="U103" s="127"/>
      <c r="V103" s="166"/>
      <c r="W103" s="166">
        <f ca="1">Balance_Sheet_Qtr!AJ103</f>
        <v>366.07327169705377</v>
      </c>
      <c r="X103" s="166">
        <f>Balance_Sheet_Qtr!AO103</f>
        <v>0</v>
      </c>
      <c r="Y103" s="166">
        <f ca="1">Balance_Sheet_Qtr!AT103</f>
        <v>336.48944341428074</v>
      </c>
      <c r="Z103" s="166">
        <f ca="1">Balance_Sheet_Qtr!AY103</f>
        <v>435.61653333333351</v>
      </c>
      <c r="AA103" s="166">
        <f ca="1">Balance_Sheet_Qtr!BD103</f>
        <v>159.90333333333331</v>
      </c>
      <c r="AB103" s="166">
        <f ca="1">Balance_Sheet_Qtr!BI103</f>
        <v>187.90788640623697</v>
      </c>
      <c r="AC103" s="76">
        <f ca="1">-AC102*AC104</f>
        <v>2.1453996997945204</v>
      </c>
      <c r="AD103" s="76">
        <f ca="1">-AD102*AD104</f>
        <v>-107.84032344555901</v>
      </c>
      <c r="AE103" s="76">
        <f ca="1">-AE102*AE104</f>
        <v>-188.28650864903756</v>
      </c>
      <c r="AF103" s="76">
        <f ca="1">-AF102*AF104</f>
        <v>-280.49683388893959</v>
      </c>
    </row>
    <row r="104" spans="1:32">
      <c r="A104" s="1" t="str">
        <f>Balance_Sheet_Qtr!A104</f>
        <v>Incremental Tax Rate</v>
      </c>
      <c r="B104" s="142"/>
      <c r="C104" s="142"/>
      <c r="D104" s="142"/>
      <c r="E104" s="142"/>
      <c r="F104" s="142"/>
      <c r="G104" s="142"/>
      <c r="H104" s="142"/>
      <c r="I104" s="142"/>
      <c r="J104" s="142"/>
      <c r="K104" s="142"/>
      <c r="L104" s="142"/>
      <c r="M104" s="142"/>
      <c r="N104" s="142"/>
      <c r="O104" s="142"/>
      <c r="P104" s="142"/>
      <c r="Q104" s="145"/>
      <c r="R104" s="145"/>
      <c r="S104" s="145"/>
      <c r="T104" s="145"/>
      <c r="U104" s="145"/>
      <c r="V104" s="217"/>
      <c r="W104" s="217">
        <f>Balance_Sheet_Qtr!AJ104</f>
        <v>0.21</v>
      </c>
      <c r="X104" s="217">
        <f>Balance_Sheet_Qtr!AO104</f>
        <v>0</v>
      </c>
      <c r="Y104" s="217">
        <f>Balance_Sheet_Qtr!AT104</f>
        <v>0.21</v>
      </c>
      <c r="Z104" s="217">
        <f>Balance_Sheet_Qtr!AY104</f>
        <v>0.21</v>
      </c>
      <c r="AA104" s="217">
        <f>Balance_Sheet_Qtr!BD104</f>
        <v>0.21</v>
      </c>
      <c r="AB104" s="217">
        <f>Balance_Sheet_Qtr!BI104</f>
        <v>0.21</v>
      </c>
      <c r="AC104" s="142">
        <v>0.21</v>
      </c>
      <c r="AD104" s="142">
        <v>0.21</v>
      </c>
      <c r="AE104" s="142">
        <v>0.21</v>
      </c>
      <c r="AF104" s="142">
        <v>0.21</v>
      </c>
    </row>
    <row r="105" spans="1:32">
      <c r="A105" s="1" t="str">
        <f>Balance_Sheet_Qtr!A105</f>
        <v>Incremental Net Income</v>
      </c>
      <c r="B105" s="76"/>
      <c r="C105" s="76"/>
      <c r="D105" s="76"/>
      <c r="E105" s="76"/>
      <c r="F105" s="76"/>
      <c r="G105" s="76"/>
      <c r="H105" s="76"/>
      <c r="I105" s="76"/>
      <c r="J105" s="76"/>
      <c r="K105" s="76"/>
      <c r="L105" s="76"/>
      <c r="M105" s="76"/>
      <c r="N105" s="76"/>
      <c r="O105" s="76"/>
      <c r="P105" s="76"/>
      <c r="Q105" s="127"/>
      <c r="R105" s="127"/>
      <c r="S105" s="127"/>
      <c r="T105" s="127"/>
      <c r="U105" s="127"/>
      <c r="V105" s="166"/>
      <c r="W105" s="166">
        <f ca="1">Balance_Sheet_Qtr!AJ105</f>
        <v>-1377.1327840032022</v>
      </c>
      <c r="X105" s="166">
        <f>Balance_Sheet_Qtr!AO105</f>
        <v>0</v>
      </c>
      <c r="Y105" s="166">
        <f ca="1">Balance_Sheet_Qtr!AT105</f>
        <v>-1265.8412395108658</v>
      </c>
      <c r="Z105" s="166">
        <f ca="1">Balance_Sheet_Qtr!AY105</f>
        <v>-1638.7479111111118</v>
      </c>
      <c r="AA105" s="166">
        <f ca="1">Balance_Sheet_Qtr!BD105</f>
        <v>-601.54111111111104</v>
      </c>
      <c r="AB105" s="166">
        <f ca="1">Balance_Sheet_Qtr!BI105</f>
        <v>-706.89157267108203</v>
      </c>
      <c r="AC105" s="76">
        <f ca="1">AC102+AC103</f>
        <v>-8.0707893468460536</v>
      </c>
      <c r="AD105" s="76">
        <f ca="1">AD102+AD103</f>
        <v>405.68502629519816</v>
      </c>
      <c r="AE105" s="76">
        <f ca="1">AE102+AE103</f>
        <v>708.31591348923644</v>
      </c>
      <c r="AF105" s="76">
        <f ca="1">AF102+AF103</f>
        <v>1055.202375106011</v>
      </c>
    </row>
    <row r="106" spans="1:32">
      <c r="A106" s="141" t="str">
        <f>Balance_Sheet_Qtr!A106</f>
        <v>Incremental EPS</v>
      </c>
      <c r="B106" s="48"/>
      <c r="C106" s="48"/>
      <c r="D106" s="48"/>
      <c r="E106" s="48"/>
      <c r="F106" s="48"/>
      <c r="G106" s="48"/>
      <c r="H106" s="48"/>
      <c r="I106" s="48"/>
      <c r="J106" s="48"/>
      <c r="K106" s="48"/>
      <c r="L106" s="48"/>
      <c r="M106" s="48"/>
      <c r="N106" s="48"/>
      <c r="O106" s="48"/>
      <c r="P106" s="48"/>
      <c r="Q106" s="146"/>
      <c r="R106" s="146"/>
      <c r="S106" s="146"/>
      <c r="T106" s="146"/>
      <c r="U106" s="146"/>
      <c r="V106" s="218"/>
      <c r="W106" s="218">
        <f ca="1">Balance_Sheet_Qtr!AJ106</f>
        <v>-2.3399732959571855</v>
      </c>
      <c r="X106" s="218">
        <f>Balance_Sheet_Qtr!AO106</f>
        <v>0</v>
      </c>
      <c r="Y106" s="218">
        <f ca="1">Balance_Sheet_Qtr!AT106</f>
        <v>-2.08824388915885</v>
      </c>
      <c r="Z106" s="218">
        <f ca="1">Balance_Sheet_Qtr!AY106</f>
        <v>-2.5320579590715568</v>
      </c>
      <c r="AA106" s="218">
        <f ca="1">Balance_Sheet_Qtr!BD106</f>
        <v>-0.7891133557800224</v>
      </c>
      <c r="AB106" s="218">
        <f ca="1">Balance_Sheet_Qtr!BI106</f>
        <v>-0.87943713942657631</v>
      </c>
      <c r="AC106" s="48">
        <f ca="1">AC105/Income_Statement_Annual!AC79</f>
        <v>-9.6389386343259005E-3</v>
      </c>
      <c r="AD106" s="48">
        <f ca="1">AD105/Income_Statement_Annual!AD79</f>
        <v>0.48450937142256367</v>
      </c>
      <c r="AE106" s="48">
        <f ca="1">AE105/Income_Statement_Annual!AE79</f>
        <v>0.8459412494153743</v>
      </c>
      <c r="AF106" s="48">
        <f ca="1">AF105/Income_Statement_Annual!AF79</f>
        <v>1.2602275320711314</v>
      </c>
    </row>
    <row r="107" spans="1:32">
      <c r="A107" s="1" t="str">
        <f>Balance_Sheet_Qtr!A107</f>
        <v>Annualized EPS Accretion</v>
      </c>
      <c r="B107" s="36"/>
      <c r="C107" s="36"/>
      <c r="D107" s="36"/>
      <c r="E107" s="36"/>
      <c r="F107" s="36"/>
      <c r="G107" s="36"/>
      <c r="H107" s="36"/>
      <c r="I107" s="36"/>
      <c r="J107" s="36"/>
      <c r="K107" s="36"/>
      <c r="L107" s="36"/>
      <c r="M107" s="36"/>
      <c r="N107" s="36"/>
      <c r="O107" s="36"/>
      <c r="P107" s="36"/>
      <c r="Q107" s="126"/>
      <c r="R107" s="126"/>
      <c r="S107" s="126"/>
      <c r="T107" s="126"/>
      <c r="U107" s="126"/>
      <c r="V107" s="182"/>
      <c r="W107" s="182">
        <f ca="1">Balance_Sheet_Qtr!AJ107</f>
        <v>0.32773269490794915</v>
      </c>
      <c r="X107" s="182">
        <f>Balance_Sheet_Qtr!AO107</f>
        <v>0</v>
      </c>
      <c r="Y107" s="182">
        <f ca="1">Balance_Sheet_Qtr!AT107</f>
        <v>0.56963425412243085</v>
      </c>
      <c r="Z107" s="182">
        <f ca="1">Balance_Sheet_Qtr!AY107</f>
        <v>0.13799982409356729</v>
      </c>
      <c r="AA107" s="182">
        <f ca="1">Balance_Sheet_Qtr!BD107</f>
        <v>-0.31827572016460903</v>
      </c>
      <c r="AB107" s="182">
        <f ca="1">Balance_Sheet_Qtr!BI107</f>
        <v>-5.4771915654471925</v>
      </c>
      <c r="AC107" s="36">
        <f ca="1">AC106/Income_Statement_Annual!AC70</f>
        <v>-1.454041873959823E-3</v>
      </c>
      <c r="AD107" s="36">
        <f ca="1">AD106/Income_Statement_Annual!AD70</f>
        <v>5.2296544602033805E-2</v>
      </c>
      <c r="AE107" s="36">
        <f ca="1">AE106/Income_Statement_Annual!AE70</f>
        <v>8.5856934953459363E-2</v>
      </c>
      <c r="AF107" s="36">
        <f ca="1">AF106/Income_Statement_Annual!AF70</f>
        <v>0.12250133429260317</v>
      </c>
    </row>
    <row r="108" spans="1:32">
      <c r="A108" s="1"/>
      <c r="B108" s="135"/>
      <c r="C108" s="135"/>
      <c r="D108" s="135"/>
      <c r="E108" s="135"/>
      <c r="F108" s="135"/>
      <c r="G108" s="135"/>
      <c r="H108" s="135"/>
      <c r="I108" s="135"/>
      <c r="J108" s="135"/>
      <c r="K108" s="135"/>
      <c r="L108" s="135"/>
      <c r="M108" s="135"/>
      <c r="N108" s="135"/>
      <c r="O108" s="135"/>
      <c r="P108" s="135"/>
      <c r="Q108" s="143"/>
      <c r="R108" s="143"/>
      <c r="S108" s="143"/>
      <c r="T108" s="143"/>
      <c r="U108" s="143"/>
      <c r="V108" s="215"/>
      <c r="W108" s="215"/>
      <c r="X108" s="215"/>
      <c r="Y108" s="215"/>
      <c r="Z108" s="215"/>
      <c r="AA108" s="215"/>
      <c r="AB108" s="215"/>
      <c r="AC108" s="135"/>
      <c r="AD108" s="135"/>
      <c r="AE108" s="135"/>
      <c r="AF108" s="135"/>
    </row>
    <row r="109" spans="1:32">
      <c r="A109" s="113" t="str">
        <f>Balance_Sheet_Qtr!A109</f>
        <v>Dry Powder Calculation for Share Buybacks</v>
      </c>
      <c r="B109" s="140"/>
      <c r="C109" s="140"/>
      <c r="D109" s="140"/>
      <c r="E109" s="140"/>
      <c r="F109" s="140"/>
      <c r="G109" s="140"/>
      <c r="H109" s="140"/>
      <c r="I109" s="140"/>
      <c r="J109" s="140"/>
      <c r="K109" s="140"/>
      <c r="L109" s="140"/>
      <c r="M109" s="140"/>
      <c r="N109" s="140"/>
      <c r="O109" s="140"/>
      <c r="P109" s="140"/>
      <c r="Q109" s="144"/>
      <c r="R109" s="144"/>
      <c r="S109" s="144"/>
      <c r="T109" s="144"/>
      <c r="U109" s="144"/>
      <c r="V109" s="216"/>
      <c r="W109" s="216"/>
      <c r="X109" s="216"/>
      <c r="Y109" s="216"/>
      <c r="Z109" s="216"/>
      <c r="AA109" s="216"/>
      <c r="AB109" s="216"/>
      <c r="AC109" s="140"/>
      <c r="AD109" s="140"/>
      <c r="AE109" s="140"/>
      <c r="AF109" s="140"/>
    </row>
    <row r="110" spans="1:32">
      <c r="A110" s="1" t="str">
        <f>Balance_Sheet_Qtr!A110</f>
        <v>Cash</v>
      </c>
      <c r="B110" s="76"/>
      <c r="C110" s="76"/>
      <c r="D110" s="76"/>
      <c r="E110" s="76"/>
      <c r="F110" s="76"/>
      <c r="G110" s="76"/>
      <c r="H110" s="76"/>
      <c r="I110" s="76"/>
      <c r="J110" s="76"/>
      <c r="K110" s="76"/>
      <c r="L110" s="76"/>
      <c r="M110" s="76"/>
      <c r="N110" s="76"/>
      <c r="O110" s="76"/>
      <c r="P110" s="76"/>
      <c r="Q110" s="127"/>
      <c r="R110" s="127"/>
      <c r="S110" s="127"/>
      <c r="T110" s="127"/>
      <c r="U110" s="127"/>
      <c r="V110" s="166"/>
      <c r="W110" s="166">
        <f>Balance_Sheet_Qtr!AJ110</f>
        <v>8052</v>
      </c>
      <c r="X110" s="166">
        <f>Balance_Sheet_Qtr!AO110</f>
        <v>0</v>
      </c>
      <c r="Y110" s="166">
        <f>Balance_Sheet_Qtr!AT110</f>
        <v>0</v>
      </c>
      <c r="Z110" s="166">
        <f>Balance_Sheet_Qtr!AY110</f>
        <v>13801</v>
      </c>
      <c r="AA110" s="166">
        <f>Balance_Sheet_Qtr!BD110</f>
        <v>10921</v>
      </c>
      <c r="AB110" s="166">
        <f ca="1">Balance_Sheet_Qtr!BI110</f>
        <v>8329.4025496080467</v>
      </c>
      <c r="AC110" s="76">
        <f ca="1">AC5</f>
        <v>6992.4568068181052</v>
      </c>
      <c r="AD110" s="76">
        <f ca="1">AD5</f>
        <v>15270.022640047382</v>
      </c>
      <c r="AE110" s="76">
        <f ca="1">AE5</f>
        <v>25856.699751766406</v>
      </c>
      <c r="AF110" s="76">
        <f ca="1">AF5</f>
        <v>38337.089076852972</v>
      </c>
    </row>
    <row r="111" spans="1:32">
      <c r="A111" s="1" t="str">
        <f>Balance_Sheet_Qtr!A111</f>
        <v>Incremental Debt</v>
      </c>
      <c r="B111" s="76"/>
      <c r="C111" s="76"/>
      <c r="D111" s="76"/>
      <c r="E111" s="76"/>
      <c r="F111" s="76"/>
      <c r="G111" s="76"/>
      <c r="H111" s="76"/>
      <c r="I111" s="76"/>
      <c r="J111" s="76"/>
      <c r="K111" s="76"/>
      <c r="L111" s="76"/>
      <c r="M111" s="76"/>
      <c r="N111" s="76"/>
      <c r="O111" s="76"/>
      <c r="P111" s="76"/>
      <c r="Q111" s="127"/>
      <c r="R111" s="127"/>
      <c r="S111" s="127"/>
      <c r="T111" s="127"/>
      <c r="U111" s="127"/>
      <c r="V111" s="166"/>
      <c r="W111" s="166">
        <f>Balance_Sheet_Qtr!AJ111</f>
        <v>-52726.417622154935</v>
      </c>
      <c r="X111" s="166">
        <f>Balance_Sheet_Qtr!AO111</f>
        <v>0</v>
      </c>
      <c r="Y111" s="166">
        <f>Balance_Sheet_Qtr!AT111</f>
        <v>-48465.387370838296</v>
      </c>
      <c r="Z111" s="166">
        <f>Balance_Sheet_Qtr!AY111</f>
        <v>-66676</v>
      </c>
      <c r="AA111" s="166">
        <f>Balance_Sheet_Qtr!BD111</f>
        <v>-24475</v>
      </c>
      <c r="AB111" s="166">
        <f ca="1">Balance_Sheet_Qtr!BI111</f>
        <v>-28761.411184628112</v>
      </c>
      <c r="AC111" s="76">
        <f ca="1">(Income_Statement_Annual!AC97)*AC113+(Balance_Sheet_Annual!AC110-AC82)</f>
        <v>-328.37750507059536</v>
      </c>
      <c r="AD111" s="76">
        <f ca="1">(Income_Statement_Annual!AD97)*AD113+(Balance_Sheet_Annual!AD110-AD82)</f>
        <v>16506.171955952916</v>
      </c>
      <c r="AE111" s="76">
        <f ca="1">(Income_Statement_Annual!AE97)*AE113+(Balance_Sheet_Annual!AE110-AE82)</f>
        <v>28819.363568730252</v>
      </c>
      <c r="AF111" s="76">
        <f ca="1">(Income_Statement_Annual!AF97)*AF113+(Balance_Sheet_Annual!AF110-AF82)</f>
        <v>42933.188860552</v>
      </c>
    </row>
    <row r="112" spans="1:32">
      <c r="A112" s="141" t="str">
        <f>Balance_Sheet_Qtr!A112</f>
        <v>Dry Powder for Buybacks</v>
      </c>
      <c r="B112" s="25"/>
      <c r="C112" s="25"/>
      <c r="D112" s="25"/>
      <c r="E112" s="25"/>
      <c r="F112" s="25"/>
      <c r="G112" s="25"/>
      <c r="H112" s="25"/>
      <c r="I112" s="25"/>
      <c r="J112" s="25"/>
      <c r="K112" s="25"/>
      <c r="L112" s="25"/>
      <c r="M112" s="25"/>
      <c r="N112" s="25"/>
      <c r="O112" s="25"/>
      <c r="P112" s="25"/>
      <c r="Q112" s="128"/>
      <c r="R112" s="128"/>
      <c r="S112" s="128"/>
      <c r="T112" s="128"/>
      <c r="U112" s="128"/>
      <c r="V112" s="178"/>
      <c r="W112" s="178">
        <f>Balance_Sheet_Qtr!AJ112</f>
        <v>-52726.417622154935</v>
      </c>
      <c r="X112" s="178">
        <f>Balance_Sheet_Qtr!AO112</f>
        <v>0</v>
      </c>
      <c r="Y112" s="178">
        <f>Balance_Sheet_Qtr!AT112</f>
        <v>-48465.387370838296</v>
      </c>
      <c r="Z112" s="178">
        <f>Balance_Sheet_Qtr!AY112</f>
        <v>-66676</v>
      </c>
      <c r="AA112" s="178">
        <f>Balance_Sheet_Qtr!BD112</f>
        <v>-24475</v>
      </c>
      <c r="AB112" s="178">
        <f ca="1">Balance_Sheet_Qtr!BI112</f>
        <v>-28761.411184628112</v>
      </c>
      <c r="AC112" s="25">
        <f ca="1">AC111</f>
        <v>-328.37750507059536</v>
      </c>
      <c r="AD112" s="25">
        <f ca="1">AD111</f>
        <v>16506.171955952916</v>
      </c>
      <c r="AE112" s="25">
        <f ca="1">AE111</f>
        <v>28819.363568730252</v>
      </c>
      <c r="AF112" s="25">
        <f ca="1">AF111</f>
        <v>42933.188860552</v>
      </c>
    </row>
    <row r="113" spans="1:32">
      <c r="A113" s="1" t="str">
        <f>Balance_Sheet_Qtr!A113</f>
        <v>Target Post-Buyback Net Debt to EBITDA</v>
      </c>
      <c r="B113" s="137"/>
      <c r="C113" s="137"/>
      <c r="D113" s="137"/>
      <c r="E113" s="137"/>
      <c r="F113" s="137"/>
      <c r="G113" s="137"/>
      <c r="H113" s="137"/>
      <c r="I113" s="137"/>
      <c r="J113" s="137"/>
      <c r="K113" s="137"/>
      <c r="L113" s="137"/>
      <c r="M113" s="137"/>
      <c r="N113" s="137"/>
      <c r="O113" s="137"/>
      <c r="P113" s="137"/>
      <c r="Q113" s="143"/>
      <c r="R113" s="143"/>
      <c r="S113" s="143"/>
      <c r="T113" s="143"/>
      <c r="U113" s="143"/>
      <c r="V113" s="215"/>
      <c r="W113" s="215">
        <f>Balance_Sheet_Qtr!AJ113</f>
        <v>3.5308939606265666</v>
      </c>
      <c r="X113" s="215">
        <f>Balance_Sheet_Qtr!AO113</f>
        <v>0</v>
      </c>
      <c r="Y113" s="215">
        <f>Balance_Sheet_Qtr!AT113</f>
        <v>3.5308939606265666</v>
      </c>
      <c r="Z113" s="215">
        <f>Balance_Sheet_Qtr!AY113</f>
        <v>3</v>
      </c>
      <c r="AA113" s="215">
        <f>Balance_Sheet_Qtr!BD113</f>
        <v>3</v>
      </c>
      <c r="AB113" s="215">
        <f>Balance_Sheet_Qtr!BI113</f>
        <v>3</v>
      </c>
      <c r="AC113" s="137">
        <v>3</v>
      </c>
      <c r="AD113" s="137">
        <v>3</v>
      </c>
      <c r="AE113" s="137">
        <v>3</v>
      </c>
      <c r="AF113" s="137">
        <v>3</v>
      </c>
    </row>
    <row r="114" spans="1:32">
      <c r="A114" s="1" t="str">
        <f>Balance_Sheet_Qtr!A114</f>
        <v>Post-Buyback Net Debt to EBITDA</v>
      </c>
      <c r="B114" s="135"/>
      <c r="C114" s="135"/>
      <c r="D114" s="135"/>
      <c r="E114" s="135"/>
      <c r="F114" s="135"/>
      <c r="G114" s="135"/>
      <c r="H114" s="135"/>
      <c r="I114" s="135"/>
      <c r="J114" s="135"/>
      <c r="K114" s="135"/>
      <c r="L114" s="135"/>
      <c r="M114" s="135"/>
      <c r="N114" s="135"/>
      <c r="O114" s="135"/>
      <c r="P114" s="135"/>
      <c r="Q114" s="143"/>
      <c r="R114" s="143"/>
      <c r="S114" s="143"/>
      <c r="T114" s="143"/>
      <c r="U114" s="143"/>
      <c r="V114" s="215"/>
      <c r="W114" s="215">
        <f>Balance_Sheet_Qtr!AJ114</f>
        <v>3.5308939606265635</v>
      </c>
      <c r="X114" s="215">
        <f>Balance_Sheet_Qtr!AO114</f>
        <v>0</v>
      </c>
      <c r="Y114" s="215">
        <f>Balance_Sheet_Qtr!AT114</f>
        <v>3.5308939606265661</v>
      </c>
      <c r="Z114" s="215">
        <f>Balance_Sheet_Qtr!AY114</f>
        <v>3</v>
      </c>
      <c r="AA114" s="215">
        <f>Balance_Sheet_Qtr!BD114</f>
        <v>3</v>
      </c>
      <c r="AB114" s="215">
        <f ca="1">Balance_Sheet_Qtr!BI114</f>
        <v>2.9999999999999991</v>
      </c>
      <c r="AC114" s="135">
        <f ca="1">(AC111+AC82-AC110)/(Income_Statement_Annual!AC97)</f>
        <v>2.9999999999999996</v>
      </c>
      <c r="AD114" s="135">
        <f ca="1">(AD111+AD82-AD110)/(Income_Statement_Annual!AD97)</f>
        <v>3</v>
      </c>
      <c r="AE114" s="135">
        <f ca="1">(AE111+AE82-AE110)/(Income_Statement_Annual!AE97)</f>
        <v>2.9999999999999996</v>
      </c>
      <c r="AF114" s="135">
        <f ca="1">(AF111+AF82-AF110)/(Income_Statement_Annual!AF97)</f>
        <v>3.0000000000000009</v>
      </c>
    </row>
    <row r="115" spans="1:32">
      <c r="A115" s="1" t="str">
        <f>Balance_Sheet_Qtr!A115</f>
        <v>Incremental Cost of Debt</v>
      </c>
      <c r="B115" s="142"/>
      <c r="C115" s="142"/>
      <c r="D115" s="142"/>
      <c r="E115" s="142"/>
      <c r="F115" s="142"/>
      <c r="G115" s="142"/>
      <c r="H115" s="142"/>
      <c r="I115" s="142"/>
      <c r="J115" s="142"/>
      <c r="K115" s="142"/>
      <c r="L115" s="142"/>
      <c r="M115" s="142"/>
      <c r="N115" s="142"/>
      <c r="O115" s="142"/>
      <c r="P115" s="142"/>
      <c r="Q115" s="145"/>
      <c r="R115" s="145"/>
      <c r="S115" s="145"/>
      <c r="T115" s="145"/>
      <c r="U115" s="145"/>
      <c r="V115" s="217"/>
      <c r="W115" s="217">
        <f>Balance_Sheet_Qtr!AJ115</f>
        <v>3.5000000000000003E-2</v>
      </c>
      <c r="X115" s="217">
        <f>Balance_Sheet_Qtr!AO115</f>
        <v>0</v>
      </c>
      <c r="Y115" s="217">
        <f>Balance_Sheet_Qtr!AT115</f>
        <v>3.5000000000000003E-2</v>
      </c>
      <c r="Z115" s="217">
        <f>Balance_Sheet_Qtr!AY115</f>
        <v>3.5000000000000003E-2</v>
      </c>
      <c r="AA115" s="217">
        <f>Balance_Sheet_Qtr!BD115</f>
        <v>3.5000000000000003E-2</v>
      </c>
      <c r="AB115" s="217">
        <f>Balance_Sheet_Qtr!BI115</f>
        <v>0.06</v>
      </c>
      <c r="AC115" s="142">
        <v>3.5000000000000003E-2</v>
      </c>
      <c r="AD115" s="142">
        <v>3.5000000000000003E-2</v>
      </c>
      <c r="AE115" s="142">
        <v>3.5000000000000003E-2</v>
      </c>
      <c r="AF115" s="142">
        <v>3.5000000000000003E-2</v>
      </c>
    </row>
    <row r="116" spans="1:32">
      <c r="A116" s="1" t="str">
        <f>Balance_Sheet_Qtr!A116</f>
        <v>Incremental Interest Expense</v>
      </c>
      <c r="B116" s="76"/>
      <c r="C116" s="76"/>
      <c r="D116" s="76"/>
      <c r="E116" s="76"/>
      <c r="F116" s="76"/>
      <c r="G116" s="76"/>
      <c r="H116" s="76"/>
      <c r="I116" s="76"/>
      <c r="J116" s="76"/>
      <c r="K116" s="76"/>
      <c r="L116" s="76"/>
      <c r="M116" s="76"/>
      <c r="N116" s="76"/>
      <c r="O116" s="76"/>
      <c r="P116" s="76"/>
      <c r="Q116" s="127"/>
      <c r="R116" s="127"/>
      <c r="S116" s="127"/>
      <c r="T116" s="127"/>
      <c r="U116" s="127"/>
      <c r="V116" s="166"/>
      <c r="W116" s="166">
        <f>Balance_Sheet_Qtr!AJ116</f>
        <v>1845.4246167754229</v>
      </c>
      <c r="X116" s="166">
        <f>Balance_Sheet_Qtr!AO116</f>
        <v>0</v>
      </c>
      <c r="Y116" s="166">
        <f>Balance_Sheet_Qtr!AT116</f>
        <v>1696.2885579793406</v>
      </c>
      <c r="Z116" s="166">
        <f>Balance_Sheet_Qtr!AY116</f>
        <v>2333.6600000000003</v>
      </c>
      <c r="AA116" s="166">
        <f>Balance_Sheet_Qtr!BD116</f>
        <v>856.62500000000011</v>
      </c>
      <c r="AB116" s="166">
        <f ca="1">Balance_Sheet_Qtr!BI116</f>
        <v>1725.6846710776867</v>
      </c>
      <c r="AC116" s="76">
        <f ca="1">-AC115*AC111</f>
        <v>11.493212677470838</v>
      </c>
      <c r="AD116" s="76">
        <f ca="1">-AD115*AD111</f>
        <v>-577.7160184583521</v>
      </c>
      <c r="AE116" s="76">
        <f ca="1">-AE115*AE111</f>
        <v>-1008.6777249055589</v>
      </c>
      <c r="AF116" s="76">
        <f ca="1">-AF115*AF111</f>
        <v>-1502.6616101193201</v>
      </c>
    </row>
    <row r="117" spans="1:32">
      <c r="A117" s="1" t="str">
        <f>Balance_Sheet_Qtr!A117</f>
        <v>Marginal Tax Rate</v>
      </c>
      <c r="B117" s="142"/>
      <c r="C117" s="142"/>
      <c r="D117" s="142"/>
      <c r="E117" s="142"/>
      <c r="F117" s="142"/>
      <c r="G117" s="142"/>
      <c r="H117" s="142"/>
      <c r="I117" s="142"/>
      <c r="J117" s="142"/>
      <c r="K117" s="142"/>
      <c r="L117" s="142"/>
      <c r="M117" s="142"/>
      <c r="N117" s="142"/>
      <c r="O117" s="142"/>
      <c r="P117" s="142"/>
      <c r="Q117" s="145"/>
      <c r="R117" s="145"/>
      <c r="S117" s="145"/>
      <c r="T117" s="145"/>
      <c r="U117" s="145"/>
      <c r="V117" s="217"/>
      <c r="W117" s="217">
        <f>Balance_Sheet_Qtr!AJ117</f>
        <v>0.21</v>
      </c>
      <c r="X117" s="217">
        <f>Balance_Sheet_Qtr!AO117</f>
        <v>0</v>
      </c>
      <c r="Y117" s="217">
        <f>Balance_Sheet_Qtr!AT117</f>
        <v>0.21</v>
      </c>
      <c r="Z117" s="217">
        <f>Balance_Sheet_Qtr!AY117</f>
        <v>0.21</v>
      </c>
      <c r="AA117" s="217">
        <f>Balance_Sheet_Qtr!BD117</f>
        <v>0.21</v>
      </c>
      <c r="AB117" s="217">
        <f>Balance_Sheet_Qtr!BI117</f>
        <v>0.21</v>
      </c>
      <c r="AC117" s="142">
        <v>0.21</v>
      </c>
      <c r="AD117" s="142">
        <v>0.21</v>
      </c>
      <c r="AE117" s="142">
        <v>0.21</v>
      </c>
      <c r="AF117" s="142">
        <v>0.21</v>
      </c>
    </row>
    <row r="118" spans="1:32">
      <c r="A118" s="1" t="str">
        <f>Balance_Sheet_Qtr!A118</f>
        <v>Tax Effected Cost of Incremental Interest</v>
      </c>
      <c r="B118" s="76"/>
      <c r="C118" s="76"/>
      <c r="D118" s="76"/>
      <c r="E118" s="76"/>
      <c r="F118" s="76"/>
      <c r="G118" s="76"/>
      <c r="H118" s="76"/>
      <c r="I118" s="76"/>
      <c r="J118" s="76"/>
      <c r="K118" s="76"/>
      <c r="L118" s="76"/>
      <c r="M118" s="76"/>
      <c r="N118" s="76"/>
      <c r="O118" s="76"/>
      <c r="P118" s="76"/>
      <c r="Q118" s="127"/>
      <c r="R118" s="127"/>
      <c r="S118" s="127"/>
      <c r="T118" s="127"/>
      <c r="U118" s="127"/>
      <c r="V118" s="166"/>
      <c r="W118" s="166">
        <f>Balance_Sheet_Qtr!AJ118</f>
        <v>1457.8854472525841</v>
      </c>
      <c r="X118" s="166">
        <f>Balance_Sheet_Qtr!AO118</f>
        <v>0</v>
      </c>
      <c r="Y118" s="166">
        <f>Balance_Sheet_Qtr!AT118</f>
        <v>1340.0679608036792</v>
      </c>
      <c r="Z118" s="166">
        <f>Balance_Sheet_Qtr!AY118</f>
        <v>1843.5914000000002</v>
      </c>
      <c r="AA118" s="166">
        <f>Balance_Sheet_Qtr!BD118</f>
        <v>676.7337500000001</v>
      </c>
      <c r="AB118" s="166">
        <f ca="1">Balance_Sheet_Qtr!BI118</f>
        <v>1363.2908901513727</v>
      </c>
      <c r="AC118" s="76">
        <f ca="1">AC116*(1-AC117)</f>
        <v>9.0796380152019633</v>
      </c>
      <c r="AD118" s="76">
        <f ca="1">AD116*(1-AD117)</f>
        <v>-456.39565458209819</v>
      </c>
      <c r="AE118" s="76">
        <f ca="1">AE116*(1-AE117)</f>
        <v>-796.85540267539159</v>
      </c>
      <c r="AF118" s="76">
        <f ca="1">AF116*(1-AF117)</f>
        <v>-1187.1026719942629</v>
      </c>
    </row>
    <row r="119" spans="1:32">
      <c r="A119" s="1" t="str">
        <f>Balance_Sheet_Qtr!A119</f>
        <v>Post-Buyback Net Income</v>
      </c>
      <c r="B119" s="76"/>
      <c r="C119" s="76"/>
      <c r="D119" s="76"/>
      <c r="E119" s="76"/>
      <c r="F119" s="76"/>
      <c r="G119" s="76"/>
      <c r="H119" s="76"/>
      <c r="I119" s="76"/>
      <c r="J119" s="76"/>
      <c r="K119" s="76"/>
      <c r="L119" s="76"/>
      <c r="M119" s="76"/>
      <c r="N119" s="76"/>
      <c r="O119" s="76"/>
      <c r="P119" s="76"/>
      <c r="Q119" s="127"/>
      <c r="R119" s="127"/>
      <c r="S119" s="127"/>
      <c r="T119" s="127"/>
      <c r="U119" s="127"/>
      <c r="V119" s="166"/>
      <c r="W119" s="166">
        <f>Balance_Sheet_Qtr!AJ119</f>
        <v>-2744.1145527474159</v>
      </c>
      <c r="X119" s="166">
        <f>Balance_Sheet_Qtr!AO119</f>
        <v>0</v>
      </c>
      <c r="Y119" s="166">
        <f>Balance_Sheet_Qtr!AT119</f>
        <v>-882.13203919632065</v>
      </c>
      <c r="Z119" s="166">
        <f>Balance_Sheet_Qtr!AY119</f>
        <v>-10031.408599999999</v>
      </c>
      <c r="AA119" s="166">
        <f>Balance_Sheet_Qtr!BD119</f>
        <v>2566.7337500000003</v>
      </c>
      <c r="AB119" s="166">
        <f ca="1">Balance_Sheet_Qtr!BI119</f>
        <v>1492.3518448805262</v>
      </c>
      <c r="AC119" s="76">
        <f ca="1">AC118+Income_Statement_Annual!AC50</f>
        <v>5559.6689926853687</v>
      </c>
      <c r="AD119" s="76">
        <f ca="1">AD118+Income_Statement_Annual!AD50</f>
        <v>7301.0007352249086</v>
      </c>
      <c r="AE119" s="76">
        <f ca="1">AE118+Income_Statement_Annual!AE50</f>
        <v>7453.100339084951</v>
      </c>
      <c r="AF119" s="76">
        <f ca="1">AF118+Income_Statement_Annual!AF50</f>
        <v>7426.7004445137163</v>
      </c>
    </row>
    <row r="120" spans="1:32">
      <c r="A120" s="1" t="str">
        <f>Balance_Sheet_Qtr!A120</f>
        <v>Post-Buyback EPS</v>
      </c>
      <c r="B120" s="50"/>
      <c r="C120" s="50"/>
      <c r="D120" s="50"/>
      <c r="E120" s="50"/>
      <c r="F120" s="50"/>
      <c r="G120" s="50"/>
      <c r="H120" s="50"/>
      <c r="I120" s="50"/>
      <c r="J120" s="50"/>
      <c r="K120" s="50"/>
      <c r="L120" s="50"/>
      <c r="M120" s="50"/>
      <c r="N120" s="50"/>
      <c r="O120" s="50"/>
      <c r="P120" s="50"/>
      <c r="Q120" s="147"/>
      <c r="R120" s="147"/>
      <c r="S120" s="147"/>
      <c r="T120" s="147"/>
      <c r="U120" s="147"/>
      <c r="V120" s="219"/>
      <c r="W120" s="219">
        <f>Balance_Sheet_Qtr!AJ120</f>
        <v>-3.7916749276451465</v>
      </c>
      <c r="X120" s="219">
        <f>Balance_Sheet_Qtr!AO120</f>
        <v>0</v>
      </c>
      <c r="Y120" s="219">
        <f>Balance_Sheet_Qtr!AT120</f>
        <v>-1.2076635046391366</v>
      </c>
      <c r="Z120" s="219">
        <f>Balance_Sheet_Qtr!AY120</f>
        <v>-12.260875988767845</v>
      </c>
      <c r="AA120" s="219">
        <f>Balance_Sheet_Qtr!BD120</f>
        <v>3.1109797076812158</v>
      </c>
      <c r="AB120" s="219">
        <f ca="1">Balance_Sheet_Qtr!BI120</f>
        <v>1.7005943737202518</v>
      </c>
      <c r="AC120" s="50">
        <f ca="1">AC119/(Income_Statement_Annual!AC79-AC124)</f>
        <v>6.6332388419774064</v>
      </c>
      <c r="AD120" s="50">
        <f ca="1">AD119/(Income_Statement_Annual!AD79-AD124)</f>
        <v>9.1837933288573677</v>
      </c>
      <c r="AE120" s="50">
        <f ca="1">AE119/(Income_Statement_Annual!AE79-AE124)</f>
        <v>9.7628399046218295</v>
      </c>
      <c r="AF120" s="50">
        <f ca="1">AF119/(Income_Statement_Annual!AF79-AF124)</f>
        <v>10.212370655201076</v>
      </c>
    </row>
    <row r="121" spans="1:32">
      <c r="A121" s="141" t="str">
        <f>Balance_Sheet_Qtr!A121</f>
        <v>Incremental EPS</v>
      </c>
      <c r="B121" s="48"/>
      <c r="C121" s="48"/>
      <c r="D121" s="48"/>
      <c r="E121" s="48"/>
      <c r="F121" s="48"/>
      <c r="G121" s="48"/>
      <c r="H121" s="48"/>
      <c r="I121" s="48"/>
      <c r="J121" s="48"/>
      <c r="K121" s="48"/>
      <c r="L121" s="48"/>
      <c r="M121" s="48"/>
      <c r="N121" s="48"/>
      <c r="O121" s="48"/>
      <c r="P121" s="48"/>
      <c r="Q121" s="146"/>
      <c r="R121" s="146"/>
      <c r="S121" s="146"/>
      <c r="T121" s="146"/>
      <c r="U121" s="146"/>
      <c r="V121" s="218"/>
      <c r="W121" s="218">
        <f>Balance_Sheet_Qtr!AJ121</f>
        <v>3.348208679678248</v>
      </c>
      <c r="X121" s="218">
        <f>Balance_Sheet_Qtr!AO121</f>
        <v>0</v>
      </c>
      <c r="Y121" s="218">
        <f>Balance_Sheet_Qtr!AT121</f>
        <v>2.4582745495531348</v>
      </c>
      <c r="Z121" s="218">
        <f>Balance_Sheet_Qtr!AY121</f>
        <v>6.0873934797117588</v>
      </c>
      <c r="AA121" s="218">
        <f>Balance_Sheet_Qtr!BD121</f>
        <v>0.631640864706009</v>
      </c>
      <c r="AB121" s="218">
        <f ca="1">Balance_Sheet_Qtr!BI121</f>
        <v>1.5400308570131684</v>
      </c>
      <c r="AC121" s="48">
        <f ca="1">AC120-Income_Statement_Annual!AC70</f>
        <v>4.1734712009962038E-3</v>
      </c>
      <c r="AD121" s="48">
        <f ca="1">AD120-Income_Statement_Annual!AD70</f>
        <v>-8.0860294237286467E-2</v>
      </c>
      <c r="AE121" s="48">
        <f ca="1">AE120-Income_Statement_Annual!AE70</f>
        <v>-9.0077042319443024E-2</v>
      </c>
      <c r="AF121" s="48">
        <f ca="1">AF120-Income_Statement_Annual!AF70</f>
        <v>-7.5088982266938942E-2</v>
      </c>
    </row>
    <row r="122" spans="1:32">
      <c r="A122" s="1" t="str">
        <f>Balance_Sheet_Qtr!A122</f>
        <v>EPS Accretion</v>
      </c>
      <c r="B122" s="133"/>
      <c r="C122" s="133"/>
      <c r="D122" s="133"/>
      <c r="E122" s="133"/>
      <c r="F122" s="133"/>
      <c r="G122" s="133"/>
      <c r="H122" s="133"/>
      <c r="I122" s="133"/>
      <c r="J122" s="133"/>
      <c r="K122" s="133"/>
      <c r="L122" s="133"/>
      <c r="M122" s="133"/>
      <c r="N122" s="133"/>
      <c r="O122" s="133"/>
      <c r="P122" s="133"/>
      <c r="Q122" s="148"/>
      <c r="R122" s="148"/>
      <c r="S122" s="148"/>
      <c r="T122" s="148"/>
      <c r="U122" s="148"/>
      <c r="V122" s="220"/>
      <c r="W122" s="220">
        <f>Balance_Sheet_Qtr!AJ122</f>
        <v>-0.46894443436640665</v>
      </c>
      <c r="X122" s="220">
        <f>Balance_Sheet_Qtr!AO122</f>
        <v>0</v>
      </c>
      <c r="Y122" s="220">
        <f>Balance_Sheet_Qtr!AT122</f>
        <v>-0.67057176450156208</v>
      </c>
      <c r="Z122" s="220">
        <f>Balance_Sheet_Qtr!AY122</f>
        <v>-0.33176935242690109</v>
      </c>
      <c r="AA122" s="220">
        <f>Balance_Sheet_Qtr!BD122</f>
        <v>0.25476181543142351</v>
      </c>
      <c r="AB122" s="220">
        <f ca="1">Balance_Sheet_Qtr!BI122</f>
        <v>9.5914121003132529</v>
      </c>
      <c r="AC122" s="133">
        <f ca="1">AC120/(Income_Statement_Annual!AC70)-1</f>
        <v>6.2957158627430232E-4</v>
      </c>
      <c r="AD122" s="133">
        <f ca="1">AD120/(Income_Statement_Annual!AD70)-1</f>
        <v>-8.7278270215866982E-3</v>
      </c>
      <c r="AE122" s="133">
        <f ca="1">AE120/(Income_Statement_Annual!AE70)-1</f>
        <v>-9.1421700603501188E-3</v>
      </c>
      <c r="AF122" s="133">
        <f ca="1">AF120/(Income_Statement_Annual!AF70)-1</f>
        <v>-7.2990791617258965E-3</v>
      </c>
    </row>
    <row r="123" spans="1:32">
      <c r="A123" s="1" t="str">
        <f>Balance_Sheet_Qtr!A123</f>
        <v>Assumed Share Price</v>
      </c>
      <c r="B123" s="75"/>
      <c r="C123" s="75"/>
      <c r="D123" s="75"/>
      <c r="E123" s="75"/>
      <c r="F123" s="75"/>
      <c r="G123" s="75"/>
      <c r="H123" s="75"/>
      <c r="I123" s="75"/>
      <c r="J123" s="75"/>
      <c r="K123" s="75"/>
      <c r="L123" s="75"/>
      <c r="M123" s="75"/>
      <c r="N123" s="75"/>
      <c r="O123" s="75"/>
      <c r="P123" s="75"/>
      <c r="Q123" s="127"/>
      <c r="R123" s="127"/>
      <c r="S123" s="127"/>
      <c r="T123" s="127"/>
      <c r="U123" s="127"/>
      <c r="V123" s="166"/>
      <c r="W123" s="166">
        <f>Balance_Sheet_Qtr!AJ123</f>
        <v>390</v>
      </c>
      <c r="X123" s="166">
        <f>Balance_Sheet_Qtr!AO123</f>
        <v>0</v>
      </c>
      <c r="Y123" s="166">
        <f>Balance_Sheet_Qtr!AT123</f>
        <v>390</v>
      </c>
      <c r="Z123" s="166">
        <f>Balance_Sheet_Qtr!AY123</f>
        <v>390</v>
      </c>
      <c r="AA123" s="166">
        <f>Balance_Sheet_Qtr!BD123</f>
        <v>390</v>
      </c>
      <c r="AB123" s="166">
        <f>Balance_Sheet_Qtr!BI123</f>
        <v>390</v>
      </c>
      <c r="AC123" s="75">
        <v>390</v>
      </c>
      <c r="AD123" s="75">
        <v>390</v>
      </c>
      <c r="AE123" s="75">
        <v>390</v>
      </c>
      <c r="AF123" s="75">
        <v>390</v>
      </c>
    </row>
    <row r="124" spans="1:32">
      <c r="A124" s="1" t="str">
        <f>Balance_Sheet_Qtr!A124</f>
        <v>Incremental Shares Repurchased (mn)</v>
      </c>
      <c r="B124" s="23"/>
      <c r="C124" s="23"/>
      <c r="D124" s="23"/>
      <c r="E124" s="23"/>
      <c r="F124" s="23"/>
      <c r="G124" s="23"/>
      <c r="H124" s="23"/>
      <c r="I124" s="23"/>
      <c r="J124" s="23"/>
      <c r="K124" s="23"/>
      <c r="L124" s="23"/>
      <c r="M124" s="23"/>
      <c r="N124" s="23"/>
      <c r="O124" s="23"/>
      <c r="P124" s="23"/>
      <c r="Q124" s="123"/>
      <c r="R124" s="123"/>
      <c r="S124" s="123"/>
      <c r="T124" s="123"/>
      <c r="U124" s="123"/>
      <c r="V124" s="38"/>
      <c r="W124" s="38">
        <f>Balance_Sheet_Qtr!AJ124</f>
        <v>-135.1959426209101</v>
      </c>
      <c r="X124" s="38">
        <f>Balance_Sheet_Qtr!AO124</f>
        <v>0</v>
      </c>
      <c r="Y124" s="38">
        <f>Balance_Sheet_Qtr!AT124</f>
        <v>-124.2702240277905</v>
      </c>
      <c r="Z124" s="38">
        <f>Balance_Sheet_Qtr!AY124</f>
        <v>-170.96410256410257</v>
      </c>
      <c r="AA124" s="38">
        <f>Balance_Sheet_Qtr!BD124</f>
        <v>-62.756410256410255</v>
      </c>
      <c r="AB124" s="38">
        <f ca="1">Balance_Sheet_Qtr!BI124</f>
        <v>-73.747208165713104</v>
      </c>
      <c r="AC124" s="23">
        <f ca="1">AC112/AC123</f>
        <v>-0.84199360274511637</v>
      </c>
      <c r="AD124" s="23">
        <f ca="1">AD112/AD123</f>
        <v>42.323517835776705</v>
      </c>
      <c r="AE124" s="23">
        <f ca="1">AE112/AE123</f>
        <v>73.895804022385263</v>
      </c>
      <c r="AF124" s="23">
        <f ca="1">AF112/AF123</f>
        <v>110.08509964244102</v>
      </c>
    </row>
    <row r="125" spans="1:32">
      <c r="B125" s="22"/>
      <c r="C125" s="22"/>
      <c r="D125" s="22"/>
      <c r="E125" s="22"/>
      <c r="F125" s="22"/>
      <c r="G125" s="22"/>
      <c r="H125" s="22"/>
      <c r="I125" s="22"/>
      <c r="J125" s="22"/>
      <c r="K125" s="22"/>
      <c r="L125" s="22"/>
      <c r="M125" s="22"/>
      <c r="N125" s="22"/>
      <c r="O125" s="22"/>
      <c r="P125" s="22"/>
      <c r="Q125" s="22"/>
      <c r="R125" s="22"/>
      <c r="S125" s="22"/>
      <c r="T125" s="22"/>
      <c r="U125" s="22"/>
    </row>
    <row r="126" spans="1:32">
      <c r="B126" s="22"/>
      <c r="C126" s="22"/>
      <c r="D126" s="22"/>
      <c r="E126" s="22"/>
      <c r="F126" s="22"/>
      <c r="G126" s="22"/>
      <c r="H126" s="22"/>
      <c r="I126" s="22"/>
      <c r="J126" s="22"/>
      <c r="K126" s="22"/>
      <c r="L126" s="22"/>
      <c r="M126" s="22"/>
      <c r="N126" s="22"/>
      <c r="O126" s="22"/>
      <c r="P126" s="22"/>
      <c r="Q126" s="22"/>
      <c r="R126" s="22"/>
      <c r="S126" s="22"/>
      <c r="T126" s="22"/>
      <c r="U126" s="22"/>
    </row>
    <row r="127" spans="1:32">
      <c r="B127" s="22"/>
      <c r="C127" s="22"/>
      <c r="D127" s="22"/>
      <c r="E127" s="22"/>
      <c r="F127" s="22"/>
      <c r="G127" s="22"/>
      <c r="H127" s="22"/>
      <c r="I127" s="22"/>
      <c r="J127" s="22"/>
      <c r="K127" s="22"/>
      <c r="L127" s="22"/>
      <c r="M127" s="22"/>
      <c r="N127" s="22"/>
      <c r="O127" s="22"/>
      <c r="P127" s="22"/>
      <c r="Q127" s="22"/>
      <c r="R127" s="22"/>
      <c r="S127" s="22"/>
      <c r="T127" s="22"/>
      <c r="U127" s="22"/>
    </row>
    <row r="128" spans="1:32">
      <c r="B128" s="22"/>
      <c r="C128" s="22"/>
      <c r="D128" s="22"/>
      <c r="E128" s="22"/>
      <c r="F128" s="22"/>
      <c r="G128" s="22"/>
      <c r="H128" s="22"/>
      <c r="I128" s="22"/>
      <c r="J128" s="22"/>
      <c r="K128" s="22"/>
      <c r="L128" s="22"/>
      <c r="M128" s="22"/>
      <c r="N128" s="22"/>
      <c r="O128" s="22"/>
      <c r="P128" s="22"/>
      <c r="Q128" s="22"/>
      <c r="R128" s="22"/>
      <c r="S128" s="22"/>
      <c r="T128" s="22"/>
      <c r="U128" s="22"/>
    </row>
    <row r="131" spans="2:21">
      <c r="B131" s="22"/>
      <c r="C131" s="22"/>
      <c r="D131" s="22"/>
      <c r="E131" s="22"/>
      <c r="F131" s="22"/>
      <c r="G131" s="22"/>
      <c r="H131" s="22"/>
      <c r="I131" s="22"/>
      <c r="J131" s="22"/>
      <c r="K131" s="22"/>
      <c r="L131" s="22"/>
      <c r="M131" s="22"/>
      <c r="N131" s="22"/>
      <c r="O131" s="22"/>
      <c r="P131" s="22"/>
      <c r="Q131" s="22"/>
      <c r="R131" s="22"/>
      <c r="S131" s="22"/>
      <c r="T131" s="22"/>
      <c r="U131" s="22"/>
    </row>
    <row r="132" spans="2:21">
      <c r="B132" s="22"/>
      <c r="C132" s="22"/>
      <c r="D132" s="22"/>
      <c r="E132" s="22"/>
      <c r="F132" s="22"/>
      <c r="G132" s="22"/>
      <c r="H132" s="22"/>
      <c r="I132" s="22"/>
      <c r="J132" s="22"/>
      <c r="K132" s="22"/>
      <c r="L132" s="22"/>
      <c r="M132" s="22"/>
      <c r="N132" s="22"/>
      <c r="O132" s="22"/>
      <c r="P132" s="22"/>
      <c r="Q132" s="22"/>
      <c r="R132" s="22"/>
      <c r="S132" s="22"/>
      <c r="T132" s="22"/>
      <c r="U132" s="22"/>
    </row>
    <row r="133" spans="2:21">
      <c r="B133" s="22"/>
      <c r="C133" s="22"/>
      <c r="D133" s="22"/>
      <c r="E133" s="22"/>
      <c r="F133" s="22"/>
      <c r="G133" s="22"/>
      <c r="H133" s="22"/>
      <c r="I133" s="22"/>
      <c r="J133" s="22"/>
      <c r="K133" s="22"/>
      <c r="L133" s="22"/>
      <c r="M133" s="22"/>
      <c r="N133" s="22"/>
      <c r="O133" s="22"/>
      <c r="P133" s="22"/>
      <c r="Q133" s="22"/>
      <c r="R133" s="22"/>
      <c r="S133" s="22"/>
      <c r="T133" s="22"/>
      <c r="U133" s="22"/>
    </row>
    <row r="134" spans="2:21">
      <c r="B134" s="22"/>
      <c r="C134" s="22"/>
      <c r="D134" s="22"/>
      <c r="E134" s="22"/>
      <c r="F134" s="22"/>
      <c r="G134" s="22"/>
      <c r="H134" s="22"/>
      <c r="I134" s="22"/>
      <c r="J134" s="22"/>
      <c r="K134" s="22"/>
      <c r="L134" s="22"/>
      <c r="M134" s="22"/>
      <c r="N134" s="22"/>
      <c r="O134" s="22"/>
      <c r="P134" s="22"/>
      <c r="Q134" s="22"/>
      <c r="R134" s="22"/>
      <c r="S134" s="22"/>
      <c r="T134" s="22"/>
      <c r="U134" s="22"/>
    </row>
    <row r="135" spans="2:21">
      <c r="B135" s="22"/>
      <c r="C135" s="22"/>
      <c r="D135" s="22"/>
      <c r="E135" s="22"/>
      <c r="F135" s="22"/>
      <c r="G135" s="22"/>
      <c r="H135" s="22"/>
      <c r="I135" s="22"/>
      <c r="J135" s="22"/>
      <c r="K135" s="22"/>
      <c r="L135" s="22"/>
      <c r="M135" s="22"/>
      <c r="N135" s="22"/>
      <c r="O135" s="22"/>
      <c r="P135" s="22"/>
      <c r="Q135" s="22"/>
      <c r="R135" s="22"/>
      <c r="S135" s="22"/>
      <c r="T135" s="22"/>
      <c r="U135" s="22"/>
    </row>
    <row r="136" spans="2:21">
      <c r="B136" s="22"/>
      <c r="C136" s="22"/>
      <c r="D136" s="22"/>
      <c r="E136" s="22"/>
      <c r="F136" s="22"/>
      <c r="G136" s="22"/>
      <c r="H136" s="22"/>
      <c r="I136" s="22"/>
      <c r="J136" s="22"/>
      <c r="K136" s="22"/>
      <c r="L136" s="22"/>
      <c r="M136" s="22"/>
      <c r="N136" s="22"/>
      <c r="O136" s="22"/>
      <c r="P136" s="22"/>
      <c r="Q136" s="22"/>
      <c r="R136" s="22"/>
      <c r="S136" s="22"/>
      <c r="T136" s="22"/>
      <c r="U136" s="22"/>
    </row>
    <row r="137" spans="2:21">
      <c r="B137" s="22"/>
      <c r="C137" s="22"/>
      <c r="D137" s="22"/>
      <c r="E137" s="22"/>
      <c r="F137" s="22"/>
      <c r="G137" s="22"/>
      <c r="H137" s="22"/>
      <c r="I137" s="22"/>
      <c r="J137" s="22"/>
      <c r="K137" s="22"/>
      <c r="L137" s="22"/>
      <c r="M137" s="22"/>
      <c r="N137" s="22"/>
      <c r="O137" s="22"/>
      <c r="P137" s="22"/>
      <c r="Q137" s="22"/>
      <c r="R137" s="22"/>
      <c r="S137" s="22"/>
      <c r="T137" s="22"/>
      <c r="U137" s="22"/>
    </row>
    <row r="138" spans="2:21">
      <c r="B138" s="22"/>
      <c r="C138" s="22"/>
      <c r="D138" s="22"/>
      <c r="E138" s="22"/>
      <c r="F138" s="22"/>
      <c r="G138" s="22"/>
      <c r="H138" s="22"/>
      <c r="I138" s="22"/>
      <c r="J138" s="22"/>
      <c r="K138" s="22"/>
      <c r="L138" s="22"/>
      <c r="M138" s="22"/>
      <c r="N138" s="22"/>
      <c r="O138" s="22"/>
      <c r="P138" s="22"/>
      <c r="Q138" s="22"/>
      <c r="R138" s="22"/>
      <c r="S138" s="22"/>
      <c r="T138" s="22"/>
      <c r="U138" s="22"/>
    </row>
    <row r="139" spans="2:21">
      <c r="B139" s="22"/>
      <c r="C139" s="22"/>
      <c r="D139" s="22"/>
      <c r="E139" s="22"/>
      <c r="F139" s="22"/>
      <c r="G139" s="22"/>
      <c r="H139" s="22"/>
      <c r="I139" s="22"/>
      <c r="J139" s="22"/>
      <c r="K139" s="22"/>
      <c r="L139" s="22"/>
      <c r="M139" s="22"/>
      <c r="N139" s="22"/>
      <c r="O139" s="22"/>
      <c r="P139" s="22"/>
      <c r="Q139" s="22"/>
      <c r="R139" s="22"/>
      <c r="S139" s="22"/>
      <c r="T139" s="22"/>
      <c r="U139" s="22"/>
    </row>
    <row r="140" spans="2:21">
      <c r="B140" s="22"/>
      <c r="C140" s="22"/>
      <c r="D140" s="22"/>
      <c r="E140" s="22"/>
      <c r="F140" s="22"/>
      <c r="G140" s="22"/>
      <c r="H140" s="22"/>
      <c r="I140" s="22"/>
      <c r="J140" s="22"/>
      <c r="K140" s="22"/>
      <c r="L140" s="22"/>
      <c r="M140" s="22"/>
      <c r="N140" s="22"/>
      <c r="O140" s="22"/>
      <c r="P140" s="22"/>
      <c r="Q140" s="22"/>
      <c r="R140" s="22"/>
      <c r="S140" s="22"/>
      <c r="T140" s="22"/>
      <c r="U140" s="22"/>
    </row>
    <row r="141" spans="2:21">
      <c r="B141" s="22"/>
      <c r="C141" s="22"/>
      <c r="D141" s="22"/>
      <c r="E141" s="22"/>
      <c r="F141" s="22"/>
      <c r="G141" s="22"/>
      <c r="H141" s="22"/>
      <c r="I141" s="22"/>
      <c r="J141" s="22"/>
      <c r="K141" s="22"/>
      <c r="L141" s="22"/>
      <c r="M141" s="22"/>
      <c r="N141" s="22"/>
      <c r="O141" s="22"/>
      <c r="P141" s="22"/>
      <c r="Q141" s="22"/>
      <c r="R141" s="22"/>
      <c r="S141" s="22"/>
      <c r="T141" s="22"/>
      <c r="U141" s="22"/>
    </row>
    <row r="142" spans="2:21">
      <c r="B142" s="22"/>
      <c r="C142" s="22"/>
      <c r="D142" s="22"/>
      <c r="E142" s="22"/>
      <c r="F142" s="22"/>
      <c r="G142" s="22"/>
      <c r="H142" s="22"/>
      <c r="I142" s="22"/>
      <c r="J142" s="22"/>
      <c r="K142" s="22"/>
      <c r="L142" s="22"/>
      <c r="M142" s="22"/>
      <c r="N142" s="22"/>
      <c r="O142" s="22"/>
      <c r="P142" s="22"/>
      <c r="Q142" s="22"/>
      <c r="R142" s="22"/>
      <c r="S142" s="22"/>
      <c r="T142" s="22"/>
      <c r="U142" s="22"/>
    </row>
    <row r="143" spans="2:21">
      <c r="B143" s="22"/>
      <c r="C143" s="22"/>
      <c r="D143" s="22"/>
      <c r="E143" s="22"/>
      <c r="F143" s="22"/>
      <c r="G143" s="22"/>
      <c r="H143" s="22"/>
      <c r="I143" s="22"/>
      <c r="J143" s="22"/>
      <c r="K143" s="22"/>
      <c r="L143" s="22"/>
      <c r="M143" s="22"/>
      <c r="N143" s="22"/>
      <c r="O143" s="22"/>
      <c r="P143" s="22"/>
      <c r="Q143" s="22"/>
      <c r="R143" s="22"/>
      <c r="S143" s="22"/>
      <c r="T143" s="22"/>
      <c r="U143" s="22"/>
    </row>
    <row r="144" spans="2:21">
      <c r="B144" s="22"/>
      <c r="C144" s="22"/>
      <c r="D144" s="22"/>
      <c r="E144" s="22"/>
      <c r="F144" s="22"/>
      <c r="G144" s="22"/>
      <c r="H144" s="22"/>
      <c r="I144" s="22"/>
      <c r="J144" s="22"/>
      <c r="K144" s="22"/>
      <c r="L144" s="22"/>
      <c r="M144" s="22"/>
      <c r="N144" s="22"/>
      <c r="O144" s="22"/>
      <c r="P144" s="22"/>
      <c r="Q144" s="22"/>
      <c r="R144" s="22"/>
      <c r="S144" s="22"/>
      <c r="T144" s="22"/>
      <c r="U144" s="22"/>
    </row>
    <row r="145" spans="2:21">
      <c r="B145"/>
      <c r="C145"/>
      <c r="D145"/>
      <c r="E145"/>
      <c r="F145"/>
      <c r="G145"/>
      <c r="H145"/>
      <c r="I145"/>
      <c r="J145"/>
      <c r="K145"/>
      <c r="L145"/>
      <c r="M145"/>
      <c r="N145"/>
      <c r="O145"/>
      <c r="P145"/>
      <c r="Q145"/>
      <c r="R145"/>
      <c r="S145"/>
      <c r="T145"/>
      <c r="U145"/>
    </row>
    <row r="146" spans="2:21">
      <c r="B146" s="22"/>
      <c r="C146" s="22"/>
      <c r="D146" s="22"/>
      <c r="E146" s="22"/>
      <c r="F146" s="22"/>
      <c r="G146" s="22"/>
      <c r="H146" s="22"/>
      <c r="I146" s="22"/>
      <c r="J146" s="22"/>
      <c r="K146" s="22"/>
      <c r="L146" s="22"/>
      <c r="M146" s="22"/>
      <c r="N146" s="22"/>
      <c r="O146" s="22"/>
      <c r="P146" s="22"/>
      <c r="Q146" s="22"/>
      <c r="R146" s="22"/>
      <c r="S146" s="22"/>
      <c r="T146" s="22"/>
      <c r="U146" s="22"/>
    </row>
    <row r="147" spans="2:21">
      <c r="B147" s="22"/>
      <c r="C147" s="22"/>
      <c r="D147" s="22"/>
      <c r="E147" s="22"/>
      <c r="F147" s="22"/>
      <c r="G147" s="22"/>
      <c r="H147" s="22"/>
      <c r="I147" s="22"/>
      <c r="J147" s="22"/>
      <c r="K147" s="22"/>
      <c r="L147" s="22"/>
      <c r="M147" s="22"/>
      <c r="N147" s="22"/>
      <c r="O147" s="22"/>
      <c r="P147" s="22"/>
      <c r="Q147" s="22"/>
      <c r="R147" s="22"/>
      <c r="S147" s="22"/>
      <c r="T147" s="22"/>
      <c r="U147" s="22"/>
    </row>
    <row r="148" spans="2:21">
      <c r="B148" s="22"/>
      <c r="C148" s="22"/>
      <c r="D148" s="22"/>
      <c r="E148" s="22"/>
      <c r="F148" s="22"/>
      <c r="G148" s="22"/>
      <c r="H148" s="22"/>
      <c r="I148" s="22"/>
      <c r="J148" s="22"/>
      <c r="K148" s="22"/>
      <c r="L148" s="22"/>
      <c r="M148" s="22"/>
      <c r="N148" s="22"/>
      <c r="O148" s="22"/>
      <c r="P148" s="22"/>
      <c r="Q148" s="22"/>
      <c r="R148" s="22"/>
      <c r="S148" s="22"/>
      <c r="T148" s="22"/>
      <c r="U148" s="22"/>
    </row>
    <row r="149" spans="2:21">
      <c r="B149" s="22"/>
      <c r="C149" s="22"/>
      <c r="D149" s="22"/>
      <c r="E149" s="22"/>
      <c r="F149" s="22"/>
      <c r="G149" s="22"/>
      <c r="H149" s="22"/>
      <c r="I149" s="22"/>
      <c r="J149" s="22"/>
      <c r="K149" s="22"/>
      <c r="L149" s="22"/>
      <c r="M149" s="22"/>
      <c r="N149" s="22"/>
      <c r="O149" s="22"/>
      <c r="P149" s="22"/>
      <c r="Q149" s="22"/>
      <c r="R149" s="22"/>
      <c r="S149" s="22"/>
      <c r="T149" s="22"/>
      <c r="U149" s="22"/>
    </row>
    <row r="150" spans="2:21">
      <c r="B150" s="22"/>
      <c r="C150" s="22"/>
      <c r="D150" s="22"/>
      <c r="E150" s="22"/>
      <c r="F150" s="22"/>
      <c r="G150" s="22"/>
      <c r="H150" s="22"/>
      <c r="I150" s="22"/>
      <c r="J150" s="22"/>
      <c r="K150" s="22"/>
      <c r="L150" s="22"/>
      <c r="M150" s="22"/>
      <c r="N150" s="22"/>
      <c r="O150" s="22"/>
      <c r="P150" s="22"/>
      <c r="Q150" s="22"/>
      <c r="R150" s="22"/>
      <c r="S150" s="22"/>
      <c r="T150" s="22"/>
      <c r="U150" s="22"/>
    </row>
    <row r="151" spans="2:21">
      <c r="B151" s="22"/>
      <c r="C151" s="22"/>
      <c r="D151" s="22"/>
      <c r="E151" s="22"/>
      <c r="F151" s="22"/>
      <c r="G151" s="22"/>
      <c r="H151" s="22"/>
      <c r="I151" s="22"/>
      <c r="J151" s="22"/>
      <c r="K151" s="22"/>
      <c r="L151" s="22"/>
      <c r="M151" s="22"/>
      <c r="N151" s="22"/>
      <c r="O151" s="22"/>
      <c r="P151" s="22"/>
      <c r="Q151" s="22"/>
      <c r="R151" s="22"/>
      <c r="S151" s="22"/>
      <c r="T151" s="22"/>
      <c r="U151" s="22"/>
    </row>
    <row r="152" spans="2:21">
      <c r="B152" s="22"/>
      <c r="C152" s="22"/>
      <c r="D152" s="22"/>
      <c r="E152" s="22"/>
      <c r="F152" s="22"/>
      <c r="G152" s="22"/>
      <c r="H152" s="22"/>
      <c r="I152" s="22"/>
      <c r="J152" s="22"/>
      <c r="K152" s="22"/>
      <c r="L152" s="22"/>
      <c r="M152" s="22"/>
      <c r="N152" s="22"/>
      <c r="O152" s="22"/>
      <c r="P152" s="22"/>
      <c r="Q152" s="22"/>
      <c r="R152" s="22"/>
      <c r="S152" s="22"/>
      <c r="T152" s="22"/>
      <c r="U152" s="22"/>
    </row>
    <row r="153" spans="2:21">
      <c r="B153" s="22"/>
      <c r="C153" s="22"/>
      <c r="D153" s="22"/>
      <c r="E153" s="22"/>
      <c r="F153" s="22"/>
      <c r="G153" s="22"/>
      <c r="H153" s="22"/>
      <c r="I153" s="22"/>
      <c r="J153" s="22"/>
      <c r="K153" s="22"/>
      <c r="L153" s="22"/>
      <c r="M153" s="22"/>
      <c r="N153" s="22"/>
      <c r="O153" s="22"/>
      <c r="P153" s="22"/>
      <c r="Q153" s="22"/>
      <c r="R153" s="22"/>
      <c r="S153" s="22"/>
      <c r="T153" s="22"/>
      <c r="U153" s="22"/>
    </row>
    <row r="154" spans="2:21">
      <c r="B154" s="22"/>
      <c r="C154" s="22"/>
      <c r="D154" s="22"/>
      <c r="E154" s="22"/>
      <c r="F154" s="22"/>
      <c r="G154" s="22"/>
      <c r="H154" s="22"/>
      <c r="I154" s="22"/>
      <c r="J154" s="22"/>
      <c r="K154" s="22"/>
      <c r="L154" s="22"/>
      <c r="M154" s="22"/>
      <c r="N154" s="22"/>
      <c r="O154" s="22"/>
      <c r="P154" s="22"/>
      <c r="Q154" s="22"/>
      <c r="R154" s="22"/>
      <c r="S154" s="22"/>
      <c r="T154" s="22"/>
      <c r="U154" s="22"/>
    </row>
    <row r="155" spans="2:21">
      <c r="B155" s="22"/>
      <c r="C155" s="22"/>
      <c r="D155" s="22"/>
      <c r="E155" s="22"/>
      <c r="F155" s="22"/>
      <c r="G155" s="22"/>
      <c r="H155" s="22"/>
      <c r="I155" s="22"/>
      <c r="J155" s="22"/>
      <c r="K155" s="22"/>
      <c r="L155" s="22"/>
      <c r="M155" s="22"/>
      <c r="N155" s="22"/>
      <c r="O155" s="22"/>
      <c r="P155" s="22"/>
      <c r="Q155" s="22"/>
      <c r="R155" s="22"/>
      <c r="S155" s="22"/>
      <c r="T155" s="22"/>
      <c r="U155" s="22"/>
    </row>
    <row r="156" spans="2:21">
      <c r="B156" s="22"/>
      <c r="C156" s="22"/>
      <c r="D156" s="22"/>
      <c r="E156" s="22"/>
      <c r="F156" s="22"/>
      <c r="G156" s="22"/>
      <c r="H156" s="22"/>
      <c r="I156" s="22"/>
      <c r="J156" s="22"/>
      <c r="K156" s="22"/>
      <c r="L156" s="22"/>
      <c r="M156" s="22"/>
      <c r="N156" s="22"/>
      <c r="O156" s="22"/>
      <c r="P156" s="22"/>
      <c r="Q156" s="22"/>
      <c r="R156" s="22"/>
      <c r="S156" s="22"/>
      <c r="T156" s="22"/>
      <c r="U156" s="22"/>
    </row>
    <row r="157" spans="2:21">
      <c r="B157" s="22"/>
      <c r="C157" s="22"/>
      <c r="D157" s="22"/>
      <c r="E157" s="22"/>
      <c r="F157" s="22"/>
      <c r="G157" s="22"/>
      <c r="H157" s="22"/>
      <c r="I157" s="22"/>
      <c r="J157" s="22"/>
      <c r="K157" s="22"/>
      <c r="L157" s="22"/>
      <c r="M157" s="22"/>
      <c r="N157" s="22"/>
      <c r="O157" s="22"/>
      <c r="P157" s="22"/>
      <c r="Q157" s="22"/>
      <c r="R157" s="22"/>
      <c r="S157" s="22"/>
      <c r="T157" s="22"/>
      <c r="U157" s="22"/>
    </row>
    <row r="158" spans="2:21">
      <c r="B158" s="22"/>
      <c r="C158" s="22"/>
      <c r="D158" s="22"/>
      <c r="E158" s="22"/>
      <c r="F158" s="22"/>
      <c r="G158" s="22"/>
      <c r="H158" s="22"/>
      <c r="I158" s="22"/>
      <c r="J158" s="22"/>
      <c r="K158" s="22"/>
      <c r="L158" s="22"/>
      <c r="M158" s="22"/>
      <c r="N158" s="22"/>
      <c r="O158" s="22"/>
      <c r="P158" s="22"/>
      <c r="Q158" s="22"/>
      <c r="R158" s="22"/>
      <c r="S158" s="22"/>
      <c r="T158" s="22"/>
      <c r="U158" s="22"/>
    </row>
    <row r="159" spans="2:21">
      <c r="B159" s="22"/>
      <c r="C159" s="22"/>
      <c r="D159" s="22"/>
      <c r="E159" s="22"/>
      <c r="F159" s="22"/>
      <c r="G159" s="22"/>
      <c r="H159" s="22"/>
      <c r="I159" s="22"/>
      <c r="J159" s="22"/>
      <c r="K159" s="22"/>
      <c r="L159" s="22"/>
      <c r="M159" s="22"/>
      <c r="N159" s="22"/>
      <c r="O159" s="22"/>
      <c r="P159" s="22"/>
      <c r="Q159" s="22"/>
      <c r="R159" s="22"/>
      <c r="S159" s="22"/>
      <c r="T159" s="22"/>
      <c r="U159" s="22"/>
    </row>
    <row r="160" spans="2:21">
      <c r="B160" s="22"/>
      <c r="C160" s="22"/>
      <c r="D160" s="22"/>
      <c r="E160" s="22"/>
      <c r="F160" s="22"/>
      <c r="G160" s="22"/>
      <c r="H160" s="22"/>
      <c r="I160" s="22"/>
      <c r="J160" s="22"/>
      <c r="K160" s="22"/>
      <c r="L160" s="22"/>
      <c r="M160" s="22"/>
      <c r="N160" s="22"/>
      <c r="O160" s="22"/>
      <c r="P160" s="22"/>
      <c r="Q160" s="22"/>
      <c r="R160" s="22"/>
      <c r="S160" s="22"/>
      <c r="T160" s="22"/>
      <c r="U160" s="22"/>
    </row>
    <row r="161" spans="2:21">
      <c r="B161" s="22"/>
      <c r="C161" s="22"/>
      <c r="D161" s="22"/>
      <c r="E161" s="22"/>
      <c r="F161" s="22"/>
      <c r="G161" s="22"/>
      <c r="H161" s="22"/>
      <c r="I161" s="22"/>
      <c r="J161" s="22"/>
      <c r="K161" s="22"/>
      <c r="L161" s="22"/>
      <c r="M161" s="22"/>
      <c r="N161" s="22"/>
      <c r="O161" s="22"/>
      <c r="P161" s="22"/>
      <c r="Q161" s="22"/>
      <c r="R161" s="22"/>
      <c r="S161" s="22"/>
      <c r="T161" s="22"/>
      <c r="U161" s="22"/>
    </row>
    <row r="162" spans="2:21">
      <c r="B162" s="22"/>
      <c r="C162" s="22"/>
      <c r="D162" s="22"/>
      <c r="E162" s="22"/>
      <c r="F162" s="22"/>
      <c r="G162" s="22"/>
      <c r="H162" s="22"/>
      <c r="I162" s="22"/>
      <c r="J162" s="22"/>
      <c r="K162" s="22"/>
      <c r="L162" s="22"/>
      <c r="M162" s="22"/>
      <c r="N162" s="22"/>
      <c r="O162" s="22"/>
      <c r="P162" s="22"/>
      <c r="Q162" s="22"/>
      <c r="R162" s="22"/>
      <c r="S162" s="22"/>
      <c r="T162" s="22"/>
      <c r="U162" s="22"/>
    </row>
    <row r="163" spans="2:21">
      <c r="B163" s="22"/>
      <c r="C163" s="22"/>
      <c r="D163" s="22"/>
      <c r="E163" s="22"/>
      <c r="F163" s="22"/>
      <c r="G163" s="22"/>
      <c r="H163" s="22"/>
      <c r="I163" s="22"/>
      <c r="J163" s="22"/>
      <c r="K163" s="22"/>
      <c r="L163" s="22"/>
      <c r="M163" s="22"/>
      <c r="N163" s="22"/>
      <c r="O163" s="22"/>
      <c r="P163" s="22"/>
      <c r="Q163" s="22"/>
      <c r="R163" s="22"/>
      <c r="S163" s="22"/>
      <c r="T163" s="22"/>
      <c r="U163" s="22"/>
    </row>
    <row r="164" spans="2:21">
      <c r="B164" s="22"/>
      <c r="C164" s="22"/>
      <c r="D164" s="22"/>
      <c r="E164" s="22"/>
      <c r="F164" s="22"/>
      <c r="G164" s="22"/>
      <c r="H164" s="22"/>
      <c r="I164" s="22"/>
      <c r="J164" s="22"/>
      <c r="K164" s="22"/>
      <c r="L164" s="22"/>
      <c r="M164" s="22"/>
      <c r="N164" s="22"/>
      <c r="O164" s="22"/>
      <c r="P164" s="22"/>
      <c r="Q164" s="22"/>
      <c r="R164" s="22"/>
      <c r="S164" s="22"/>
      <c r="T164" s="22"/>
      <c r="U164" s="22"/>
    </row>
    <row r="165" spans="2:21">
      <c r="B165" s="22"/>
      <c r="C165" s="22"/>
      <c r="D165" s="22"/>
      <c r="E165" s="22"/>
      <c r="F165" s="22"/>
      <c r="G165" s="22"/>
      <c r="H165" s="22"/>
      <c r="I165" s="22"/>
      <c r="J165" s="22"/>
      <c r="K165" s="22"/>
      <c r="L165" s="22"/>
      <c r="M165" s="22"/>
      <c r="N165" s="22"/>
      <c r="O165" s="22"/>
      <c r="P165" s="22"/>
      <c r="Q165" s="22"/>
      <c r="R165" s="22"/>
      <c r="S165" s="22"/>
      <c r="T165" s="22"/>
      <c r="U165" s="22"/>
    </row>
    <row r="166" spans="2:21">
      <c r="B166" s="22"/>
      <c r="C166" s="22"/>
      <c r="D166" s="22"/>
      <c r="E166" s="22"/>
      <c r="F166" s="22"/>
      <c r="G166" s="22"/>
      <c r="H166" s="22"/>
      <c r="I166" s="22"/>
      <c r="J166" s="22"/>
      <c r="K166" s="22"/>
      <c r="L166" s="22"/>
      <c r="M166" s="22"/>
      <c r="N166" s="22"/>
      <c r="O166" s="22"/>
      <c r="P166" s="22"/>
      <c r="Q166" s="22"/>
      <c r="R166" s="22"/>
      <c r="S166" s="22"/>
      <c r="T166" s="22"/>
      <c r="U166" s="22"/>
    </row>
    <row r="167" spans="2:21">
      <c r="B167" s="22"/>
      <c r="C167" s="22"/>
      <c r="D167" s="22"/>
      <c r="E167" s="22"/>
      <c r="F167" s="22"/>
      <c r="G167" s="22"/>
      <c r="H167" s="22"/>
      <c r="I167" s="22"/>
      <c r="J167" s="22"/>
      <c r="K167" s="22"/>
      <c r="L167" s="22"/>
      <c r="M167" s="22"/>
      <c r="N167" s="22"/>
      <c r="O167" s="22"/>
      <c r="P167" s="22"/>
      <c r="Q167" s="22"/>
      <c r="R167" s="22"/>
      <c r="S167" s="22"/>
      <c r="T167" s="22"/>
      <c r="U167" s="22"/>
    </row>
    <row r="168" spans="2:21">
      <c r="B168" s="22"/>
      <c r="C168" s="22"/>
      <c r="D168" s="22"/>
      <c r="E168" s="22"/>
      <c r="F168" s="22"/>
      <c r="G168" s="22"/>
      <c r="H168" s="22"/>
      <c r="I168" s="22"/>
      <c r="J168" s="22"/>
      <c r="K168" s="22"/>
      <c r="L168" s="22"/>
      <c r="M168" s="22"/>
      <c r="N168" s="22"/>
      <c r="O168" s="22"/>
      <c r="P168" s="22"/>
      <c r="Q168" s="22"/>
      <c r="R168" s="22"/>
      <c r="S168" s="22"/>
      <c r="T168" s="22"/>
      <c r="U168" s="22"/>
    </row>
    <row r="169" spans="2:21">
      <c r="B169" s="22"/>
      <c r="C169" s="22"/>
      <c r="D169" s="22"/>
      <c r="E169" s="22"/>
      <c r="F169" s="22"/>
      <c r="G169" s="22"/>
      <c r="H169" s="22"/>
      <c r="I169" s="22"/>
      <c r="J169" s="22"/>
      <c r="K169" s="22"/>
      <c r="L169" s="22"/>
      <c r="M169" s="22"/>
      <c r="N169" s="22"/>
      <c r="O169" s="22"/>
      <c r="P169" s="22"/>
      <c r="Q169" s="22"/>
      <c r="R169" s="22"/>
      <c r="S169" s="22"/>
      <c r="T169" s="22"/>
      <c r="U169" s="22"/>
    </row>
    <row r="170" spans="2:21">
      <c r="B170" s="22"/>
      <c r="C170" s="22"/>
      <c r="D170" s="22"/>
      <c r="E170" s="22"/>
      <c r="F170" s="22"/>
      <c r="G170" s="22"/>
      <c r="H170" s="22"/>
      <c r="I170" s="22"/>
      <c r="J170" s="22"/>
      <c r="K170" s="22"/>
      <c r="L170" s="22"/>
      <c r="M170" s="22"/>
      <c r="N170" s="22"/>
      <c r="O170" s="22"/>
      <c r="P170" s="22"/>
      <c r="Q170" s="22"/>
      <c r="R170" s="22"/>
      <c r="S170" s="22"/>
      <c r="T170" s="22"/>
      <c r="U170" s="22"/>
    </row>
    <row r="171" spans="2:21">
      <c r="B171" s="22"/>
      <c r="C171" s="22"/>
      <c r="D171" s="22"/>
      <c r="E171" s="22"/>
      <c r="F171" s="22"/>
      <c r="G171" s="22"/>
      <c r="H171" s="22"/>
      <c r="I171" s="22"/>
      <c r="J171" s="22"/>
      <c r="K171" s="22"/>
      <c r="L171" s="22"/>
      <c r="M171" s="22"/>
      <c r="N171" s="22"/>
      <c r="O171" s="22"/>
      <c r="P171" s="22"/>
      <c r="Q171" s="22"/>
      <c r="R171" s="22"/>
      <c r="S171" s="22"/>
      <c r="T171" s="22"/>
      <c r="U171" s="22"/>
    </row>
    <row r="172" spans="2:21">
      <c r="B172" s="22"/>
      <c r="C172" s="22"/>
      <c r="D172" s="22"/>
      <c r="E172" s="22"/>
      <c r="F172" s="22"/>
      <c r="G172" s="22"/>
      <c r="H172" s="22"/>
      <c r="I172" s="22"/>
      <c r="J172" s="22"/>
      <c r="K172" s="22"/>
      <c r="L172" s="22"/>
      <c r="M172" s="22"/>
      <c r="N172" s="22"/>
      <c r="O172" s="22"/>
      <c r="P172" s="22"/>
      <c r="Q172" s="22"/>
      <c r="R172" s="22"/>
      <c r="S172" s="22"/>
      <c r="T172" s="22"/>
      <c r="U172" s="22"/>
    </row>
    <row r="173" spans="2:21">
      <c r="B173" s="22"/>
      <c r="C173" s="22"/>
      <c r="D173" s="22"/>
      <c r="E173" s="22"/>
      <c r="F173" s="22"/>
      <c r="G173" s="22"/>
      <c r="H173" s="22"/>
      <c r="I173" s="22"/>
      <c r="J173" s="22"/>
      <c r="K173" s="22"/>
      <c r="L173" s="22"/>
      <c r="M173" s="22"/>
      <c r="N173" s="22"/>
      <c r="O173" s="22"/>
      <c r="P173" s="22"/>
      <c r="Q173" s="22"/>
      <c r="R173" s="22"/>
      <c r="S173" s="22"/>
      <c r="T173" s="22"/>
      <c r="U173" s="22"/>
    </row>
    <row r="174" spans="2:21">
      <c r="B174" s="22"/>
      <c r="C174" s="22"/>
      <c r="D174" s="22"/>
      <c r="E174" s="22"/>
      <c r="F174" s="22"/>
      <c r="G174" s="22"/>
      <c r="H174" s="22"/>
      <c r="I174" s="22"/>
      <c r="J174" s="22"/>
      <c r="K174" s="22"/>
      <c r="L174" s="22"/>
      <c r="M174" s="22"/>
      <c r="N174" s="22"/>
      <c r="O174" s="22"/>
      <c r="P174" s="22"/>
      <c r="Q174" s="22"/>
      <c r="R174" s="22"/>
      <c r="S174" s="22"/>
      <c r="T174" s="22"/>
      <c r="U174" s="22"/>
    </row>
    <row r="175" spans="2:21">
      <c r="B175" s="22"/>
      <c r="C175" s="22"/>
      <c r="D175" s="22"/>
      <c r="E175" s="22"/>
      <c r="F175" s="22"/>
      <c r="G175" s="22"/>
      <c r="H175" s="22"/>
      <c r="I175" s="22"/>
      <c r="J175" s="22"/>
      <c r="K175" s="22"/>
      <c r="L175" s="22"/>
      <c r="M175" s="22"/>
      <c r="N175" s="22"/>
      <c r="O175" s="22"/>
      <c r="P175" s="22"/>
      <c r="Q175" s="22"/>
      <c r="R175" s="22"/>
      <c r="S175" s="22"/>
      <c r="T175" s="22"/>
      <c r="U175" s="22"/>
    </row>
    <row r="176" spans="2:21">
      <c r="B176" s="22"/>
      <c r="C176" s="22"/>
      <c r="D176" s="22"/>
      <c r="E176" s="22"/>
      <c r="F176" s="22"/>
      <c r="G176" s="22"/>
      <c r="H176" s="22"/>
      <c r="I176" s="22"/>
      <c r="J176" s="22"/>
      <c r="K176" s="22"/>
      <c r="L176" s="22"/>
      <c r="M176" s="22"/>
      <c r="N176" s="22"/>
      <c r="O176" s="22"/>
      <c r="P176" s="22"/>
      <c r="Q176" s="22"/>
      <c r="R176" s="22"/>
      <c r="S176" s="22"/>
      <c r="T176" s="22"/>
      <c r="U176" s="22"/>
    </row>
    <row r="177" spans="2:21">
      <c r="B177" s="22"/>
      <c r="C177" s="22"/>
      <c r="D177" s="22"/>
      <c r="E177" s="22"/>
      <c r="F177" s="22"/>
      <c r="G177" s="22"/>
      <c r="H177" s="22"/>
      <c r="I177" s="22"/>
      <c r="J177" s="22"/>
      <c r="K177" s="22"/>
      <c r="L177" s="22"/>
      <c r="M177" s="22"/>
      <c r="N177" s="22"/>
      <c r="O177" s="22"/>
      <c r="P177" s="22"/>
      <c r="Q177" s="22"/>
      <c r="R177" s="22"/>
      <c r="S177" s="22"/>
      <c r="T177" s="22"/>
      <c r="U177" s="22"/>
    </row>
    <row r="178" spans="2:21">
      <c r="B178" s="22"/>
      <c r="C178" s="22"/>
      <c r="D178" s="22"/>
      <c r="E178" s="22"/>
      <c r="F178" s="22"/>
      <c r="G178" s="22"/>
      <c r="H178" s="22"/>
      <c r="I178" s="22"/>
      <c r="J178" s="22"/>
      <c r="K178" s="22"/>
      <c r="L178" s="22"/>
      <c r="M178" s="22"/>
      <c r="N178" s="22"/>
      <c r="O178" s="22"/>
      <c r="P178" s="22"/>
      <c r="Q178" s="22"/>
      <c r="R178" s="22"/>
      <c r="S178" s="22"/>
      <c r="T178" s="22"/>
      <c r="U178" s="22"/>
    </row>
    <row r="179" spans="2:21">
      <c r="B179" s="22"/>
      <c r="C179" s="22"/>
      <c r="D179" s="22"/>
      <c r="E179" s="22"/>
      <c r="F179" s="22"/>
      <c r="G179" s="22"/>
      <c r="H179" s="22"/>
      <c r="I179" s="22"/>
      <c r="J179" s="22"/>
      <c r="K179" s="22"/>
      <c r="L179" s="22"/>
      <c r="M179" s="22"/>
      <c r="N179" s="22"/>
      <c r="O179" s="22"/>
      <c r="P179" s="22"/>
      <c r="Q179" s="22"/>
      <c r="R179" s="22"/>
      <c r="S179" s="22"/>
      <c r="T179" s="22"/>
      <c r="U179" s="22"/>
    </row>
    <row r="180" spans="2:21">
      <c r="B180" s="22"/>
      <c r="C180" s="22"/>
      <c r="D180" s="22"/>
      <c r="E180" s="22"/>
      <c r="F180" s="22"/>
      <c r="G180" s="22"/>
      <c r="H180" s="22"/>
      <c r="I180" s="22"/>
      <c r="J180" s="22"/>
      <c r="K180" s="22"/>
      <c r="L180" s="22"/>
      <c r="M180" s="22"/>
      <c r="N180" s="22"/>
      <c r="O180" s="22"/>
      <c r="P180" s="22"/>
      <c r="Q180" s="22"/>
      <c r="R180" s="22"/>
      <c r="S180" s="22"/>
      <c r="T180" s="22"/>
      <c r="U180" s="22"/>
    </row>
    <row r="181" spans="2:21">
      <c r="B181" s="22"/>
      <c r="C181" s="22"/>
      <c r="D181" s="22"/>
      <c r="E181" s="22"/>
      <c r="F181" s="22"/>
      <c r="G181" s="22"/>
      <c r="H181" s="22"/>
      <c r="I181" s="22"/>
      <c r="J181" s="22"/>
      <c r="K181" s="22"/>
      <c r="L181" s="22"/>
      <c r="M181" s="22"/>
      <c r="N181" s="22"/>
      <c r="O181" s="22"/>
      <c r="P181" s="22"/>
      <c r="Q181" s="22"/>
      <c r="R181" s="22"/>
      <c r="S181" s="22"/>
      <c r="T181" s="22"/>
      <c r="U181" s="22"/>
    </row>
    <row r="182" spans="2:21">
      <c r="B182" s="22"/>
      <c r="C182" s="22"/>
      <c r="D182" s="22"/>
      <c r="E182" s="22"/>
      <c r="F182" s="22"/>
      <c r="G182" s="22"/>
      <c r="H182" s="22"/>
      <c r="I182" s="22"/>
      <c r="J182" s="22"/>
      <c r="K182" s="22"/>
      <c r="L182" s="22"/>
      <c r="M182" s="22"/>
      <c r="N182" s="22"/>
      <c r="O182" s="22"/>
      <c r="P182" s="22"/>
      <c r="Q182" s="22"/>
      <c r="R182" s="22"/>
      <c r="S182" s="22"/>
      <c r="T182" s="22"/>
      <c r="U182" s="22"/>
    </row>
    <row r="183" spans="2:21">
      <c r="B183" s="22"/>
      <c r="C183" s="22"/>
      <c r="D183" s="22"/>
      <c r="E183" s="22"/>
      <c r="F183" s="22"/>
      <c r="G183" s="22"/>
      <c r="H183" s="22"/>
      <c r="I183" s="22"/>
      <c r="J183" s="22"/>
      <c r="K183" s="22"/>
      <c r="L183" s="22"/>
      <c r="M183" s="22"/>
      <c r="N183" s="22"/>
      <c r="O183" s="22"/>
      <c r="P183" s="22"/>
      <c r="Q183" s="22"/>
      <c r="R183" s="22"/>
      <c r="S183" s="22"/>
      <c r="T183" s="22"/>
      <c r="U183" s="22"/>
    </row>
    <row r="184" spans="2:21">
      <c r="B184" s="22"/>
      <c r="C184" s="22"/>
      <c r="D184" s="22"/>
      <c r="E184" s="22"/>
      <c r="F184" s="22"/>
      <c r="G184" s="22"/>
      <c r="H184" s="22"/>
      <c r="I184" s="22"/>
      <c r="J184" s="22"/>
      <c r="K184" s="22"/>
      <c r="L184" s="22"/>
      <c r="M184" s="22"/>
      <c r="N184" s="22"/>
      <c r="O184" s="22"/>
      <c r="P184" s="22"/>
      <c r="Q184" s="22"/>
      <c r="R184" s="22"/>
      <c r="S184" s="22"/>
      <c r="T184" s="22"/>
      <c r="U184" s="22"/>
    </row>
    <row r="185" spans="2:21">
      <c r="B185" s="22"/>
      <c r="C185" s="22"/>
      <c r="D185" s="22"/>
      <c r="E185" s="22"/>
      <c r="F185" s="22"/>
      <c r="G185" s="22"/>
      <c r="H185" s="22"/>
      <c r="I185" s="22"/>
      <c r="J185" s="22"/>
      <c r="K185" s="22"/>
      <c r="L185" s="22"/>
      <c r="M185" s="22"/>
      <c r="N185" s="22"/>
      <c r="O185" s="22"/>
      <c r="P185" s="22"/>
      <c r="Q185" s="22"/>
      <c r="R185" s="22"/>
      <c r="S185" s="22"/>
      <c r="T185" s="22"/>
      <c r="U185" s="22"/>
    </row>
    <row r="186" spans="2:21">
      <c r="B186" s="22"/>
      <c r="C186" s="22"/>
      <c r="D186" s="22"/>
      <c r="E186" s="22"/>
      <c r="F186" s="22"/>
      <c r="G186" s="22"/>
      <c r="H186" s="22"/>
      <c r="I186" s="22"/>
      <c r="J186" s="22"/>
      <c r="K186" s="22"/>
      <c r="L186" s="22"/>
      <c r="M186" s="22"/>
      <c r="N186" s="22"/>
      <c r="O186" s="22"/>
      <c r="P186" s="22"/>
      <c r="Q186" s="22"/>
      <c r="R186" s="22"/>
      <c r="S186" s="22"/>
      <c r="T186" s="22"/>
      <c r="U186" s="22"/>
    </row>
    <row r="187" spans="2:21">
      <c r="B187" s="22"/>
      <c r="C187" s="22"/>
      <c r="D187" s="22"/>
      <c r="E187" s="22"/>
      <c r="F187" s="22"/>
      <c r="G187" s="22"/>
      <c r="H187" s="22"/>
      <c r="I187" s="22"/>
      <c r="J187" s="22"/>
      <c r="K187" s="22"/>
      <c r="L187" s="22"/>
      <c r="M187" s="22"/>
      <c r="N187" s="22"/>
      <c r="O187" s="22"/>
      <c r="P187" s="22"/>
      <c r="Q187" s="22"/>
      <c r="R187" s="22"/>
      <c r="S187" s="22"/>
      <c r="T187" s="22"/>
      <c r="U187" s="22"/>
    </row>
    <row r="188" spans="2:21">
      <c r="B188" s="22"/>
      <c r="C188" s="22"/>
      <c r="D188" s="22"/>
      <c r="E188" s="22"/>
      <c r="F188" s="22"/>
      <c r="G188" s="22"/>
      <c r="H188" s="22"/>
      <c r="I188" s="22"/>
      <c r="J188" s="22"/>
      <c r="K188" s="22"/>
      <c r="L188" s="22"/>
      <c r="M188" s="22"/>
      <c r="N188" s="22"/>
      <c r="O188" s="22"/>
      <c r="P188" s="22"/>
      <c r="Q188" s="22"/>
      <c r="R188" s="22"/>
      <c r="S188" s="22"/>
      <c r="T188" s="22"/>
      <c r="U188" s="22"/>
    </row>
    <row r="189" spans="2:21">
      <c r="B189" s="22"/>
      <c r="C189" s="22"/>
      <c r="D189" s="22"/>
      <c r="E189" s="22"/>
      <c r="F189" s="22"/>
      <c r="G189" s="22"/>
      <c r="H189" s="22"/>
      <c r="I189" s="22"/>
      <c r="J189" s="22"/>
      <c r="K189" s="22"/>
      <c r="L189" s="22"/>
      <c r="M189" s="22"/>
      <c r="N189" s="22"/>
      <c r="O189" s="22"/>
      <c r="P189" s="22"/>
      <c r="Q189" s="22"/>
      <c r="R189" s="22"/>
      <c r="S189" s="22"/>
      <c r="T189" s="22"/>
      <c r="U189" s="22"/>
    </row>
    <row r="190" spans="2:21">
      <c r="B190" s="22"/>
      <c r="C190" s="22"/>
      <c r="D190" s="22"/>
      <c r="E190" s="22"/>
      <c r="F190" s="22"/>
      <c r="G190" s="22"/>
      <c r="H190" s="22"/>
      <c r="I190" s="22"/>
      <c r="J190" s="22"/>
      <c r="K190" s="22"/>
      <c r="L190" s="22"/>
      <c r="M190" s="22"/>
      <c r="N190" s="22"/>
      <c r="O190" s="22"/>
      <c r="P190" s="22"/>
      <c r="Q190" s="22"/>
      <c r="R190" s="22"/>
      <c r="S190" s="22"/>
      <c r="T190" s="22"/>
      <c r="U190" s="22"/>
    </row>
    <row r="191" spans="2:21">
      <c r="B191" s="22"/>
      <c r="C191" s="22"/>
      <c r="D191" s="22"/>
      <c r="E191" s="22"/>
      <c r="F191" s="22"/>
      <c r="G191" s="22"/>
      <c r="H191" s="22"/>
      <c r="I191" s="22"/>
      <c r="J191" s="22"/>
      <c r="K191" s="22"/>
      <c r="L191" s="22"/>
      <c r="M191" s="22"/>
      <c r="N191" s="22"/>
      <c r="O191" s="22"/>
      <c r="P191" s="22"/>
      <c r="Q191" s="22"/>
      <c r="R191" s="22"/>
      <c r="S191" s="22"/>
      <c r="T191" s="22"/>
      <c r="U191" s="22"/>
    </row>
    <row r="192" spans="2:21">
      <c r="B192" s="22"/>
      <c r="C192" s="22"/>
      <c r="D192" s="22"/>
      <c r="E192" s="22"/>
      <c r="F192" s="22"/>
      <c r="G192" s="22"/>
      <c r="H192" s="22"/>
      <c r="I192" s="22"/>
      <c r="J192" s="22"/>
      <c r="K192" s="22"/>
      <c r="L192" s="22"/>
      <c r="M192" s="22"/>
      <c r="N192" s="22"/>
      <c r="O192" s="22"/>
      <c r="P192" s="22"/>
      <c r="Q192" s="22"/>
      <c r="R192" s="22"/>
      <c r="S192" s="22"/>
      <c r="T192" s="22"/>
      <c r="U192" s="22"/>
    </row>
    <row r="193" spans="2:21">
      <c r="B193" s="22"/>
      <c r="C193" s="22"/>
      <c r="D193" s="22"/>
      <c r="E193" s="22"/>
      <c r="F193" s="22"/>
      <c r="G193" s="22"/>
      <c r="H193" s="22"/>
      <c r="I193" s="22"/>
      <c r="J193" s="22"/>
      <c r="K193" s="22"/>
      <c r="L193" s="22"/>
      <c r="M193" s="22"/>
      <c r="N193" s="22"/>
      <c r="O193" s="22"/>
      <c r="P193" s="22"/>
      <c r="Q193" s="22"/>
      <c r="R193" s="22"/>
      <c r="S193" s="22"/>
      <c r="T193" s="22"/>
      <c r="U193" s="22"/>
    </row>
    <row r="194" spans="2:21">
      <c r="B194" s="22"/>
      <c r="C194" s="22"/>
      <c r="D194" s="22"/>
      <c r="E194" s="22"/>
      <c r="F194" s="22"/>
      <c r="G194" s="22"/>
      <c r="H194" s="22"/>
      <c r="I194" s="22"/>
      <c r="J194" s="22"/>
      <c r="K194" s="22"/>
      <c r="L194" s="22"/>
      <c r="M194" s="22"/>
      <c r="N194" s="22"/>
      <c r="O194" s="22"/>
      <c r="P194" s="22"/>
      <c r="Q194" s="22"/>
      <c r="R194" s="22"/>
      <c r="S194" s="22"/>
      <c r="T194" s="22"/>
      <c r="U194" s="22"/>
    </row>
    <row r="195" spans="2:21">
      <c r="B195" s="22"/>
      <c r="C195" s="22"/>
      <c r="D195" s="22"/>
      <c r="E195" s="22"/>
      <c r="F195" s="22"/>
      <c r="G195" s="22"/>
      <c r="H195" s="22"/>
      <c r="I195" s="22"/>
      <c r="J195" s="22"/>
      <c r="K195" s="22"/>
      <c r="L195" s="22"/>
      <c r="M195" s="22"/>
      <c r="N195" s="22"/>
      <c r="O195" s="22"/>
      <c r="P195" s="22"/>
      <c r="Q195" s="22"/>
      <c r="R195" s="22"/>
      <c r="S195" s="22"/>
      <c r="T195" s="22"/>
      <c r="U195" s="22"/>
    </row>
    <row r="196" spans="2:21">
      <c r="B196" s="22"/>
      <c r="C196" s="22"/>
      <c r="D196" s="22"/>
      <c r="E196" s="22"/>
      <c r="F196" s="22"/>
      <c r="G196" s="22"/>
      <c r="H196" s="22"/>
      <c r="I196" s="22"/>
      <c r="J196" s="22"/>
      <c r="K196" s="22"/>
      <c r="L196" s="22"/>
      <c r="M196" s="22"/>
      <c r="N196" s="22"/>
      <c r="O196" s="22"/>
      <c r="P196" s="22"/>
      <c r="Q196" s="22"/>
      <c r="R196" s="22"/>
      <c r="S196" s="22"/>
      <c r="T196" s="22"/>
      <c r="U196" s="22"/>
    </row>
    <row r="197" spans="2:21">
      <c r="B197" s="22"/>
      <c r="C197" s="22"/>
      <c r="D197" s="22"/>
      <c r="E197" s="22"/>
      <c r="F197" s="22"/>
      <c r="G197" s="22"/>
      <c r="H197" s="22"/>
      <c r="I197" s="22"/>
      <c r="J197" s="22"/>
      <c r="K197" s="22"/>
      <c r="L197" s="22"/>
      <c r="M197" s="22"/>
      <c r="N197" s="22"/>
      <c r="O197" s="22"/>
      <c r="P197" s="22"/>
      <c r="Q197" s="22"/>
      <c r="R197" s="22"/>
      <c r="S197" s="22"/>
      <c r="T197" s="22"/>
      <c r="U197" s="22"/>
    </row>
    <row r="198" spans="2:21">
      <c r="B198" s="22"/>
      <c r="C198" s="22"/>
      <c r="D198" s="22"/>
      <c r="E198" s="22"/>
      <c r="F198" s="22"/>
      <c r="G198" s="22"/>
      <c r="H198" s="22"/>
      <c r="I198" s="22"/>
      <c r="J198" s="22"/>
      <c r="K198" s="22"/>
      <c r="L198" s="22"/>
      <c r="M198" s="22"/>
      <c r="N198" s="22"/>
      <c r="O198" s="22"/>
      <c r="P198" s="22"/>
      <c r="Q198" s="22"/>
      <c r="R198" s="22"/>
      <c r="S198" s="22"/>
      <c r="T198" s="22"/>
      <c r="U198" s="22"/>
    </row>
    <row r="199" spans="2:21">
      <c r="B199" s="22"/>
      <c r="C199" s="22"/>
      <c r="D199" s="22"/>
      <c r="E199" s="22"/>
      <c r="F199" s="22"/>
      <c r="G199" s="22"/>
      <c r="H199" s="22"/>
      <c r="I199" s="22"/>
      <c r="J199" s="22"/>
      <c r="K199" s="22"/>
      <c r="L199" s="22"/>
      <c r="M199" s="22"/>
      <c r="N199" s="22"/>
      <c r="O199" s="22"/>
      <c r="P199" s="22"/>
      <c r="Q199" s="22"/>
      <c r="R199" s="22"/>
      <c r="S199" s="22"/>
      <c r="T199" s="22"/>
      <c r="U199" s="22"/>
    </row>
    <row r="200" spans="2:21">
      <c r="B200" s="22"/>
      <c r="C200" s="22"/>
      <c r="D200" s="22"/>
      <c r="E200" s="22"/>
      <c r="F200" s="22"/>
      <c r="G200" s="22"/>
      <c r="H200" s="22"/>
      <c r="I200" s="22"/>
      <c r="J200" s="22"/>
      <c r="K200" s="22"/>
      <c r="L200" s="22"/>
      <c r="M200" s="22"/>
      <c r="N200" s="22"/>
      <c r="O200" s="22"/>
      <c r="P200" s="22"/>
      <c r="Q200" s="22"/>
      <c r="R200" s="22"/>
      <c r="S200" s="22"/>
      <c r="T200" s="22"/>
      <c r="U200" s="22"/>
    </row>
    <row r="201" spans="2:21">
      <c r="B201" s="22"/>
      <c r="C201" s="22"/>
      <c r="D201" s="22"/>
      <c r="E201" s="22"/>
      <c r="F201" s="22"/>
      <c r="G201" s="22"/>
      <c r="H201" s="22"/>
      <c r="I201" s="22"/>
      <c r="J201" s="22"/>
      <c r="K201" s="22"/>
      <c r="L201" s="22"/>
      <c r="M201" s="22"/>
      <c r="N201" s="22"/>
      <c r="O201" s="22"/>
      <c r="P201" s="22"/>
      <c r="Q201" s="22"/>
      <c r="R201" s="22"/>
      <c r="S201" s="22"/>
      <c r="T201" s="22"/>
      <c r="U201" s="22"/>
    </row>
    <row r="202" spans="2:21">
      <c r="B202" s="22"/>
      <c r="C202" s="22"/>
      <c r="D202" s="22"/>
      <c r="E202" s="22"/>
      <c r="F202" s="22"/>
      <c r="G202" s="22"/>
      <c r="H202" s="22"/>
      <c r="I202" s="22"/>
      <c r="J202" s="22"/>
      <c r="K202" s="22"/>
      <c r="L202" s="22"/>
      <c r="M202" s="22"/>
      <c r="N202" s="22"/>
      <c r="O202" s="22"/>
      <c r="P202" s="22"/>
      <c r="Q202" s="22"/>
      <c r="R202" s="22"/>
      <c r="S202" s="22"/>
      <c r="T202" s="22"/>
      <c r="U202" s="22"/>
    </row>
    <row r="203" spans="2:21">
      <c r="B203" s="22"/>
      <c r="C203" s="22"/>
      <c r="D203" s="22"/>
      <c r="E203" s="22"/>
      <c r="F203" s="22"/>
      <c r="G203" s="22"/>
      <c r="H203" s="22"/>
      <c r="I203" s="22"/>
      <c r="J203" s="22"/>
      <c r="K203" s="22"/>
      <c r="L203" s="22"/>
      <c r="M203" s="22"/>
      <c r="N203" s="22"/>
      <c r="O203" s="22"/>
      <c r="P203" s="22"/>
      <c r="Q203" s="22"/>
      <c r="R203" s="22"/>
      <c r="S203" s="22"/>
      <c r="T203" s="22"/>
      <c r="U203" s="22"/>
    </row>
    <row r="204" spans="2:21">
      <c r="B204" s="22"/>
      <c r="C204" s="22"/>
      <c r="D204" s="22"/>
      <c r="E204" s="22"/>
      <c r="F204" s="22"/>
      <c r="G204" s="22"/>
      <c r="H204" s="22"/>
      <c r="I204" s="22"/>
      <c r="J204" s="22"/>
      <c r="K204" s="22"/>
      <c r="L204" s="22"/>
      <c r="M204" s="22"/>
      <c r="N204" s="22"/>
      <c r="O204" s="22"/>
      <c r="P204" s="22"/>
      <c r="Q204" s="22"/>
      <c r="R204" s="22"/>
      <c r="S204" s="22"/>
      <c r="T204" s="22"/>
      <c r="U204" s="22"/>
    </row>
    <row r="205" spans="2:21">
      <c r="B205" s="22"/>
      <c r="C205" s="22"/>
      <c r="D205" s="22"/>
      <c r="E205" s="22"/>
      <c r="F205" s="22"/>
      <c r="G205" s="22"/>
      <c r="H205" s="22"/>
      <c r="I205" s="22"/>
      <c r="J205" s="22"/>
      <c r="K205" s="22"/>
      <c r="L205" s="22"/>
      <c r="M205" s="22"/>
      <c r="N205" s="22"/>
      <c r="O205" s="22"/>
      <c r="P205" s="22"/>
      <c r="Q205" s="22"/>
      <c r="R205" s="22"/>
      <c r="S205" s="22"/>
      <c r="T205" s="22"/>
      <c r="U205" s="22"/>
    </row>
  </sheetData>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4" tint="0.39997558519241921"/>
  </sheetPr>
  <dimension ref="A1:BZ145"/>
  <sheetViews>
    <sheetView showGridLines="0" zoomScaleNormal="100" workbookViewId="0">
      <pane xSplit="1" ySplit="2" topLeftCell="AU48" activePane="bottomRight" state="frozen"/>
      <selection activeCell="BR2" sqref="B2:BR2"/>
      <selection pane="topRight" activeCell="BR2" sqref="B2:BR2"/>
      <selection pane="bottomLeft" activeCell="BR2" sqref="B2:BR2"/>
      <selection pane="bottomRight" activeCell="BI70" sqref="BI70"/>
    </sheetView>
  </sheetViews>
  <sheetFormatPr defaultRowHeight="14.5" outlineLevelCol="1"/>
  <cols>
    <col min="1" max="1" width="48.1796875" customWidth="1"/>
    <col min="2" max="5" width="12.1796875" style="26" hidden="1" customWidth="1" outlineLevel="1"/>
    <col min="6" max="6" width="12.1796875" style="26" customWidth="1" collapsed="1"/>
    <col min="7" max="10" width="12.1796875" style="26" hidden="1" customWidth="1" outlineLevel="1"/>
    <col min="11" max="11" width="12.1796875" style="26" customWidth="1" collapsed="1"/>
    <col min="12" max="15" width="12.1796875" style="26" hidden="1" customWidth="1" outlineLevel="1"/>
    <col min="16" max="16" width="12.1796875" style="26" customWidth="1" collapsed="1"/>
    <col min="17" max="20" width="12.1796875" style="26" hidden="1" customWidth="1" outlineLevel="1"/>
    <col min="21" max="21" width="12.1796875" style="26" customWidth="1" collapsed="1"/>
    <col min="22" max="25" width="12.1796875" style="26" hidden="1" customWidth="1" outlineLevel="1"/>
    <col min="26" max="26" width="12.1796875" style="26" customWidth="1" collapsed="1"/>
    <col min="27" max="30" width="12.1796875" style="26" hidden="1" customWidth="1" outlineLevel="1"/>
    <col min="31" max="31" width="12.1796875" style="26" customWidth="1" collapsed="1"/>
    <col min="32" max="35" width="12.1796875" style="26" hidden="1" customWidth="1" outlineLevel="1"/>
    <col min="36" max="36" width="12.1796875" style="26" customWidth="1" collapsed="1"/>
    <col min="37" max="40" width="12.1796875" style="26" hidden="1" customWidth="1" outlineLevel="1"/>
    <col min="41" max="41" width="12.1796875" style="26" customWidth="1" collapsed="1"/>
    <col min="42" max="45" width="12.1796875" style="26" hidden="1" customWidth="1" outlineLevel="1"/>
    <col min="46" max="46" width="12.1796875" style="26" customWidth="1" collapsed="1"/>
    <col min="47" max="50" width="12.1796875" style="26" customWidth="1" outlineLevel="1"/>
    <col min="51" max="51" width="12.1796875" style="26" customWidth="1"/>
    <col min="52" max="55" width="12.1796875" style="26" customWidth="1" outlineLevel="1"/>
    <col min="56" max="56" width="12.1796875" style="26" customWidth="1"/>
    <col min="57" max="57" width="14.1796875" style="26" customWidth="1" outlineLevel="1"/>
    <col min="58" max="60" width="12.1796875" style="26" customWidth="1" outlineLevel="1"/>
    <col min="61" max="61" width="12.1796875" style="26" customWidth="1"/>
    <col min="62" max="62" width="3.81640625" customWidth="1"/>
    <col min="63" max="63" width="41.1796875" customWidth="1"/>
    <col min="64" max="68" width="10.26953125" customWidth="1"/>
    <col min="69" max="69" width="66.54296875" hidden="1" customWidth="1" outlineLevel="1"/>
    <col min="70" max="70" width="10.26953125" hidden="1" customWidth="1" outlineLevel="1"/>
    <col min="71" max="71" width="13.54296875" hidden="1" customWidth="1" outlineLevel="1"/>
    <col min="72" max="72" width="10.26953125" hidden="1" customWidth="1" outlineLevel="1"/>
    <col min="73" max="75" width="9.1796875" hidden="1" customWidth="1" outlineLevel="1"/>
    <col min="76" max="76" width="9.1796875" collapsed="1"/>
  </cols>
  <sheetData>
    <row r="1" spans="1:64">
      <c r="A1" s="15" t="s">
        <v>31</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row>
    <row r="2" spans="1:64">
      <c r="B2" s="101" t="str">
        <f>Income_Statement_Qtr!B2</f>
        <v>1Q15A</v>
      </c>
      <c r="C2" s="101" t="str">
        <f>Income_Statement_Qtr!C2</f>
        <v>2Q15A</v>
      </c>
      <c r="D2" s="101" t="str">
        <f>Income_Statement_Qtr!D2</f>
        <v>3Q15A</v>
      </c>
      <c r="E2" s="101" t="str">
        <f>Income_Statement_Qtr!E2</f>
        <v>4Q15A</v>
      </c>
      <c r="F2" s="103" t="str">
        <f>Income_Statement_Qtr!F2</f>
        <v>CY2015A</v>
      </c>
      <c r="G2" s="101" t="str">
        <f>Income_Statement_Qtr!G2</f>
        <v>1Q16A</v>
      </c>
      <c r="H2" s="101" t="str">
        <f>Income_Statement_Qtr!H2</f>
        <v>2Q16A</v>
      </c>
      <c r="I2" s="101" t="str">
        <f>Income_Statement_Qtr!I2</f>
        <v>3Q16A</v>
      </c>
      <c r="J2" s="101" t="str">
        <f>Income_Statement_Qtr!J2</f>
        <v>4Q16A</v>
      </c>
      <c r="K2" s="103" t="str">
        <f>Income_Statement_Qtr!K2</f>
        <v>CY2016A</v>
      </c>
      <c r="L2" s="101" t="str">
        <f>Income_Statement_Qtr!L2</f>
        <v>1Q17A</v>
      </c>
      <c r="M2" s="101" t="str">
        <f>Income_Statement_Qtr!M2</f>
        <v>2Q17A</v>
      </c>
      <c r="N2" s="101" t="str">
        <f>Income_Statement_Qtr!N2</f>
        <v>3Q17A</v>
      </c>
      <c r="O2" s="101" t="str">
        <f>Income_Statement_Qtr!O2</f>
        <v>4Q17A</v>
      </c>
      <c r="P2" s="103" t="str">
        <f>Income_Statement_Qtr!P2</f>
        <v>CY2017A</v>
      </c>
      <c r="Q2" s="101" t="str">
        <f>Income_Statement_Qtr!Q2</f>
        <v>1Q18A</v>
      </c>
      <c r="R2" s="101" t="str">
        <f>Income_Statement_Qtr!R2</f>
        <v>2Q18A</v>
      </c>
      <c r="S2" s="101" t="str">
        <f>Income_Statement_Qtr!S2</f>
        <v>3Q18A</v>
      </c>
      <c r="T2" s="101" t="str">
        <f>Income_Statement_Qtr!T2</f>
        <v>4Q18A</v>
      </c>
      <c r="U2" s="103" t="str">
        <f>Income_Statement_Qtr!U2</f>
        <v>CY2018A</v>
      </c>
      <c r="V2" s="101" t="str">
        <f>Income_Statement_Qtr!V2</f>
        <v>1Q19A</v>
      </c>
      <c r="W2" s="101" t="str">
        <f>Income_Statement_Qtr!W2</f>
        <v>2Q19A</v>
      </c>
      <c r="X2" s="101" t="str">
        <f>Income_Statement_Qtr!X2</f>
        <v>3Q19A</v>
      </c>
      <c r="Y2" s="101" t="str">
        <f>Income_Statement_Qtr!Y2</f>
        <v>4Q19A</v>
      </c>
      <c r="Z2" s="103" t="str">
        <f>Income_Statement_Qtr!Z2</f>
        <v>CY2019A</v>
      </c>
      <c r="AA2" s="101" t="str">
        <f>Income_Statement_Qtr!AA2</f>
        <v>1Q20A</v>
      </c>
      <c r="AB2" s="101" t="str">
        <f>Income_Statement_Qtr!AB2</f>
        <v>2Q20A</v>
      </c>
      <c r="AC2" s="101" t="str">
        <f>Income_Statement_Qtr!AC2</f>
        <v>3Q20A</v>
      </c>
      <c r="AD2" s="101" t="str">
        <f>Income_Statement_Qtr!AD2</f>
        <v>4Q20A</v>
      </c>
      <c r="AE2" s="103" t="str">
        <f>Income_Statement_Qtr!AE2</f>
        <v>CY2020E</v>
      </c>
      <c r="AF2" s="101" t="str">
        <f>Income_Statement_Qtr!AF2</f>
        <v>1Q21A</v>
      </c>
      <c r="AG2" s="101" t="str">
        <f>Income_Statement_Qtr!AG2</f>
        <v>2Q21A</v>
      </c>
      <c r="AH2" s="101" t="str">
        <f>Income_Statement_Qtr!AH2</f>
        <v>3Q21A</v>
      </c>
      <c r="AI2" s="101" t="str">
        <f>Income_Statement_Qtr!AI2</f>
        <v>4Q21A</v>
      </c>
      <c r="AJ2" s="103" t="str">
        <f>Income_Statement_Qtr!AJ2</f>
        <v>CY2021A</v>
      </c>
      <c r="AK2" s="101" t="str">
        <f>Income_Statement_Qtr!AK2</f>
        <v>1Q22A</v>
      </c>
      <c r="AL2" s="101" t="str">
        <f>Income_Statement_Qtr!AL2</f>
        <v>2Q22A</v>
      </c>
      <c r="AM2" s="101" t="str">
        <f>Income_Statement_Qtr!AM2</f>
        <v>3Q22A</v>
      </c>
      <c r="AN2" s="101" t="str">
        <f>Income_Statement_Qtr!AN2</f>
        <v>4Q22A</v>
      </c>
      <c r="AO2" s="103" t="str">
        <f>Income_Statement_Qtr!AO2</f>
        <v>CY2022A</v>
      </c>
      <c r="AP2" s="101" t="str">
        <f>Income_Statement_Qtr!AP2</f>
        <v>1Q23A</v>
      </c>
      <c r="AQ2" s="101" t="str">
        <f>Income_Statement_Qtr!AQ2</f>
        <v>2Q23A</v>
      </c>
      <c r="AR2" s="101" t="str">
        <f>Income_Statement_Qtr!AR2</f>
        <v>3Q23A</v>
      </c>
      <c r="AS2" s="101" t="str">
        <f>Income_Statement_Qtr!AS2</f>
        <v>4Q23A</v>
      </c>
      <c r="AT2" s="103" t="str">
        <f>Income_Statement_Qtr!AT2</f>
        <v>CY2023A</v>
      </c>
      <c r="AU2" s="101" t="str">
        <f>Income_Statement_Qtr!AU2</f>
        <v>1Q24A</v>
      </c>
      <c r="AV2" s="101" t="str">
        <f>Income_Statement_Qtr!AV2</f>
        <v>2Q24A</v>
      </c>
      <c r="AW2" s="101" t="str">
        <f>Income_Statement_Qtr!AW2</f>
        <v>3Q24A</v>
      </c>
      <c r="AX2" s="101" t="str">
        <f>Income_Statement_Qtr!AX2</f>
        <v>4Q24A</v>
      </c>
      <c r="AY2" s="103" t="str">
        <f>Income_Statement_Qtr!AY2</f>
        <v>CY2024A</v>
      </c>
      <c r="AZ2" s="101" t="str">
        <f>Income_Statement_Qtr!AZ2</f>
        <v>1Q25A</v>
      </c>
      <c r="BA2" s="101" t="str">
        <f>Income_Statement_Qtr!BA2</f>
        <v>2Q25A</v>
      </c>
      <c r="BB2" s="101" t="str">
        <f>Income_Statement_Qtr!BB2</f>
        <v>3Q25A</v>
      </c>
      <c r="BC2" s="101" t="str">
        <f>Income_Statement_Qtr!BC2</f>
        <v>4Q25A</v>
      </c>
      <c r="BD2" s="103" t="str">
        <f>Income_Statement_Qtr!BD2</f>
        <v>CY2025A</v>
      </c>
      <c r="BE2" s="101" t="str">
        <f>Income_Statement_Qtr!BE2</f>
        <v>1Q26E</v>
      </c>
      <c r="BF2" s="101" t="str">
        <f>Income_Statement_Qtr!BF2</f>
        <v>2Q26E</v>
      </c>
      <c r="BG2" s="101" t="str">
        <f>Income_Statement_Qtr!BG2</f>
        <v>3Q26E</v>
      </c>
      <c r="BH2" s="101" t="str">
        <f>Income_Statement_Qtr!BH2</f>
        <v>4Q26E</v>
      </c>
      <c r="BI2" s="103" t="str">
        <f>Income_Statement_Qtr!BI2</f>
        <v>CY2026E</v>
      </c>
    </row>
    <row r="3" spans="1:64">
      <c r="A3" s="5" t="s">
        <v>32</v>
      </c>
      <c r="F3" s="27"/>
      <c r="K3" s="27"/>
      <c r="P3" s="27"/>
      <c r="U3" s="27"/>
      <c r="Z3" s="27"/>
      <c r="AE3" s="27"/>
      <c r="AJ3" s="27"/>
      <c r="AO3" s="27"/>
      <c r="AT3" s="27"/>
      <c r="AY3" s="27"/>
      <c r="BD3" s="27"/>
      <c r="BI3" s="27"/>
    </row>
    <row r="4" spans="1:64">
      <c r="A4" s="5" t="s">
        <v>81</v>
      </c>
      <c r="F4" s="27"/>
      <c r="K4" s="27"/>
      <c r="P4" s="27"/>
      <c r="U4" s="27"/>
      <c r="Y4" s="74"/>
      <c r="Z4" s="27"/>
      <c r="AB4" s="22"/>
      <c r="AE4" s="27"/>
      <c r="AJ4" s="27"/>
      <c r="AO4" s="27"/>
      <c r="AS4" s="526"/>
      <c r="AT4" s="527"/>
      <c r="AY4" s="27"/>
      <c r="BD4" s="27"/>
      <c r="BI4" s="27"/>
    </row>
    <row r="5" spans="1:64">
      <c r="A5" s="1" t="s">
        <v>82</v>
      </c>
      <c r="B5" s="41">
        <v>8655</v>
      </c>
      <c r="C5" s="41">
        <v>9157</v>
      </c>
      <c r="D5" s="41">
        <v>9383</v>
      </c>
      <c r="E5" s="22">
        <f t="shared" ref="E5:E14" si="0">+F5</f>
        <v>11302</v>
      </c>
      <c r="F5" s="43">
        <v>11302</v>
      </c>
      <c r="G5" s="41">
        <v>7886</v>
      </c>
      <c r="H5" s="41">
        <v>8605</v>
      </c>
      <c r="I5" s="41">
        <v>8986</v>
      </c>
      <c r="J5" s="22">
        <f t="shared" ref="J5:J14" si="1">+K5</f>
        <v>8801</v>
      </c>
      <c r="K5" s="43">
        <v>8801</v>
      </c>
      <c r="L5" s="41">
        <v>8190</v>
      </c>
      <c r="M5" s="41">
        <v>8737</v>
      </c>
      <c r="N5" s="41">
        <v>8569</v>
      </c>
      <c r="O5" s="22">
        <f t="shared" ref="O5:O14" si="2">+P5</f>
        <v>8813</v>
      </c>
      <c r="P5" s="43">
        <v>8813</v>
      </c>
      <c r="Q5" s="41">
        <v>9235</v>
      </c>
      <c r="R5" s="41">
        <v>8121</v>
      </c>
      <c r="S5" s="41">
        <v>8034</v>
      </c>
      <c r="T5" s="22">
        <f t="shared" ref="T5:T14" si="3">+U5</f>
        <v>7637</v>
      </c>
      <c r="U5" s="43">
        <v>7637</v>
      </c>
      <c r="V5" s="41">
        <v>6836</v>
      </c>
      <c r="W5" s="41">
        <v>9167</v>
      </c>
      <c r="X5" s="41">
        <v>9763</v>
      </c>
      <c r="Y5" s="22">
        <f t="shared" ref="Y5:Y14" si="4">+Z5</f>
        <v>9485</v>
      </c>
      <c r="Z5" s="43">
        <v>9485</v>
      </c>
      <c r="AA5" s="41">
        <v>15039</v>
      </c>
      <c r="AB5" s="41">
        <v>19992</v>
      </c>
      <c r="AC5" s="41">
        <v>10564</v>
      </c>
      <c r="AD5" s="41">
        <v>7752</v>
      </c>
      <c r="AE5" s="38">
        <f>Cash_Flow_Qtr!AE64</f>
        <v>7752</v>
      </c>
      <c r="AF5" s="37">
        <f>Cash_Flow_Qtr!AF64</f>
        <v>7059</v>
      </c>
      <c r="AG5" s="37">
        <f>Cash_Flow_Qtr!AG64</f>
        <v>8271</v>
      </c>
      <c r="AH5" s="37">
        <f>Cash_Flow_Qtr!AH64</f>
        <v>9764</v>
      </c>
      <c r="AI5" s="41">
        <v>8052</v>
      </c>
      <c r="AJ5" s="38">
        <f>Cash_Flow_Qtr!AJ64</f>
        <v>8052</v>
      </c>
      <c r="AK5" s="37">
        <f>Cash_Flow_Qtr!AK64</f>
        <v>7409</v>
      </c>
      <c r="AL5" s="37">
        <f>Cash_Flow_Qtr!AL64</f>
        <v>10090</v>
      </c>
      <c r="AM5" s="37">
        <f>Cash_Flow_Qtr!AM64</f>
        <v>13494</v>
      </c>
      <c r="AN5" s="41">
        <v>14614</v>
      </c>
      <c r="AO5" s="38">
        <f>Cash_Flow_Qtr!AO64</f>
        <v>14614</v>
      </c>
      <c r="AP5" s="37">
        <f>Cash_Flow_Qtr!AP64</f>
        <v>10812</v>
      </c>
      <c r="AQ5" s="37">
        <f>Cash_Flow_Qtr!AQ64</f>
        <v>7254</v>
      </c>
      <c r="AR5" s="37">
        <f>Cash_Flow_Qtr!AR64</f>
        <v>6811</v>
      </c>
      <c r="AS5" s="37">
        <f>Cash_Flow_Qtr!AS64</f>
        <v>12691</v>
      </c>
      <c r="AT5" s="38">
        <f>Cash_Flow_Qtr!AT64</f>
        <v>12691</v>
      </c>
      <c r="AU5" s="37">
        <f>Cash_Flow_Qtr!AU64</f>
        <v>6914</v>
      </c>
      <c r="AV5" s="37">
        <f>Cash_Flow_Qtr!AV64</f>
        <v>10894</v>
      </c>
      <c r="AW5" s="37">
        <f>Cash_Flow_Qtr!AW64</f>
        <v>9961</v>
      </c>
      <c r="AX5" s="37">
        <f>Cash_Flow_Qtr!AX64</f>
        <v>13801</v>
      </c>
      <c r="AY5" s="38">
        <f>Cash_Flow_Qtr!AY64</f>
        <v>13801</v>
      </c>
      <c r="AZ5" s="37">
        <f>Cash_Flow_Qtr!AZ64</f>
        <v>10142</v>
      </c>
      <c r="BA5" s="37">
        <f>Cash_Flow_Qtr!BA64</f>
        <v>7087</v>
      </c>
      <c r="BB5" s="37">
        <f>Cash_Flow_Qtr!BB64</f>
        <v>6173</v>
      </c>
      <c r="BC5" s="37">
        <f>Cash_Flow_Qtr!BC64</f>
        <v>10921</v>
      </c>
      <c r="BD5" s="38">
        <f>Cash_Flow_Qtr!BD64</f>
        <v>10921</v>
      </c>
      <c r="BE5" s="37">
        <f ca="1">Cash_Flow_Qtr!BE64</f>
        <v>8838.991111964413</v>
      </c>
      <c r="BF5" s="37">
        <f ca="1">Cash_Flow_Qtr!BF64</f>
        <v>5662.2054580574504</v>
      </c>
      <c r="BG5" s="37">
        <f ca="1">Cash_Flow_Qtr!BG64</f>
        <v>5412.9935800733401</v>
      </c>
      <c r="BH5" s="37">
        <f ca="1">Cash_Flow_Qtr!BH64</f>
        <v>8329.4025496080467</v>
      </c>
      <c r="BI5" s="38">
        <f ca="1">Cash_Flow_Qtr!BI64</f>
        <v>8329.4025496080467</v>
      </c>
      <c r="BK5" s="109"/>
      <c r="BL5" s="476"/>
    </row>
    <row r="6" spans="1:64">
      <c r="A6" s="1" t="s">
        <v>222</v>
      </c>
      <c r="B6" s="37">
        <f>Cash_Flow_Qtr!B63</f>
        <v>0</v>
      </c>
      <c r="C6" s="37">
        <f>Cash_Flow_Qtr!C63</f>
        <v>0</v>
      </c>
      <c r="D6" s="37">
        <f>Cash_Flow_Qtr!D63</f>
        <v>0</v>
      </c>
      <c r="E6" s="22">
        <f t="shared" si="0"/>
        <v>0</v>
      </c>
      <c r="F6" s="38">
        <f>Cash_Flow_Qtr!F63</f>
        <v>0</v>
      </c>
      <c r="G6" s="37">
        <f>Cash_Flow_Qtr!G63</f>
        <v>0</v>
      </c>
      <c r="H6" s="37">
        <f>Cash_Flow_Qtr!H63</f>
        <v>0</v>
      </c>
      <c r="I6" s="37">
        <f>Cash_Flow_Qtr!I63</f>
        <v>0</v>
      </c>
      <c r="J6" s="22">
        <f t="shared" si="1"/>
        <v>0</v>
      </c>
      <c r="K6" s="38">
        <f>Cash_Flow_Qtr!K63</f>
        <v>0</v>
      </c>
      <c r="L6" s="37">
        <f>Cash_Flow_Qtr!L63</f>
        <v>74</v>
      </c>
      <c r="M6" s="37">
        <f>Cash_Flow_Qtr!M63</f>
        <v>74</v>
      </c>
      <c r="N6" s="37">
        <f>Cash_Flow_Qtr!N63</f>
        <v>106</v>
      </c>
      <c r="O6" s="22">
        <f t="shared" si="2"/>
        <v>74</v>
      </c>
      <c r="P6" s="38">
        <f>Cash_Flow_Qtr!P63</f>
        <v>74</v>
      </c>
      <c r="Q6" s="37">
        <f>Cash_Flow_Qtr!Q63</f>
        <v>70</v>
      </c>
      <c r="R6" s="37">
        <f>Cash_Flow_Qtr!R63</f>
        <v>74</v>
      </c>
      <c r="S6" s="37">
        <f>Cash_Flow_Qtr!S63</f>
        <v>128</v>
      </c>
      <c r="T6" s="22">
        <f t="shared" si="3"/>
        <v>176</v>
      </c>
      <c r="U6" s="38">
        <f>Cash_Flow_Qtr!U63</f>
        <v>176</v>
      </c>
      <c r="V6" s="37">
        <f>Cash_Flow_Qtr!V63</f>
        <v>176</v>
      </c>
      <c r="W6" s="37">
        <f>Cash_Flow_Qtr!W63</f>
        <v>85</v>
      </c>
      <c r="X6" s="37">
        <f>Cash_Flow_Qtr!X63</f>
        <v>86</v>
      </c>
      <c r="Y6" s="22">
        <f t="shared" si="4"/>
        <v>86</v>
      </c>
      <c r="Z6" s="38">
        <f>Cash_Flow_Qtr!Z63</f>
        <v>86</v>
      </c>
      <c r="AA6" s="37">
        <f>Cash_Flow_Qtr!AA63</f>
        <v>84</v>
      </c>
      <c r="AB6" s="37">
        <f>Cash_Flow_Qtr!AB63</f>
        <v>42</v>
      </c>
      <c r="AC6" s="37">
        <f>Cash_Flow_Qtr!AC63</f>
        <v>83</v>
      </c>
      <c r="AD6" s="37">
        <f>Cash_Flow_Qtr!AD63</f>
        <v>83</v>
      </c>
      <c r="AE6" s="23">
        <f>AD6</f>
        <v>83</v>
      </c>
      <c r="AF6" s="37">
        <f>Cash_Flow_Qtr!AF63</f>
        <v>87</v>
      </c>
      <c r="AG6" s="37">
        <f>Cash_Flow_Qtr!AG63</f>
        <v>36</v>
      </c>
      <c r="AH6" s="37">
        <f>Cash_Flow_Qtr!AH63</f>
        <v>56</v>
      </c>
      <c r="AI6" s="37">
        <f>Cash_Flow_Qtr!AI63</f>
        <v>52</v>
      </c>
      <c r="AJ6" s="23">
        <f t="shared" ref="AJ6:AJ11" si="5">AI6</f>
        <v>52</v>
      </c>
      <c r="AK6" s="37">
        <f>Cash_Flow_Qtr!AK63</f>
        <v>45</v>
      </c>
      <c r="AL6" s="37">
        <f>Cash_Flow_Qtr!AL63</f>
        <v>41</v>
      </c>
      <c r="AM6" s="37">
        <f>Cash_Flow_Qtr!AM63</f>
        <v>36</v>
      </c>
      <c r="AN6" s="37">
        <f>Cash_Flow_Qtr!AN63</f>
        <v>33</v>
      </c>
      <c r="AO6" s="23">
        <f t="shared" ref="AO6:AO11" si="6">AN6</f>
        <v>33</v>
      </c>
      <c r="AP6" s="37">
        <f>Cash_Flow_Qtr!AP63</f>
        <v>24</v>
      </c>
      <c r="AQ6" s="37">
        <f>Cash_Flow_Qtr!AQ63</f>
        <v>21</v>
      </c>
      <c r="AR6" s="37">
        <f>Cash_Flow_Qtr!AR63</f>
        <v>21</v>
      </c>
      <c r="AS6" s="37">
        <f>Cash_Flow_Qtr!AS63</f>
        <v>22</v>
      </c>
      <c r="AT6" s="23">
        <f t="shared" ref="AT6:AT11" si="7">AS6</f>
        <v>22</v>
      </c>
      <c r="AU6" s="37">
        <f>Cash_Flow_Qtr!AU63</f>
        <v>21</v>
      </c>
      <c r="AV6" s="37">
        <f>Cash_Flow_Qtr!AV63</f>
        <v>21</v>
      </c>
      <c r="AW6" s="37">
        <f>Cash_Flow_Qtr!AW63</f>
        <v>21</v>
      </c>
      <c r="AX6" s="37">
        <f>Cash_Flow_Qtr!AX63</f>
        <v>21</v>
      </c>
      <c r="AY6" s="23">
        <f t="shared" ref="AY6:AY11" si="8">AX6</f>
        <v>21</v>
      </c>
      <c r="AZ6" s="37">
        <f>Cash_Flow_Qtr!AZ63</f>
        <v>21</v>
      </c>
      <c r="BA6" s="37">
        <f>Cash_Flow_Qtr!BA63</f>
        <v>709</v>
      </c>
      <c r="BB6" s="37">
        <f>Cash_Flow_Qtr!BB63</f>
        <v>709</v>
      </c>
      <c r="BC6" s="37">
        <f>Cash_Flow_Qtr!BC63</f>
        <v>742</v>
      </c>
      <c r="BD6" s="23">
        <f t="shared" ref="BD6:BD11" si="9">BC6</f>
        <v>742</v>
      </c>
      <c r="BE6" s="37">
        <f>Cash_Flow_Qtr!BE63</f>
        <v>742</v>
      </c>
      <c r="BF6" s="37">
        <f>Cash_Flow_Qtr!BF63</f>
        <v>742</v>
      </c>
      <c r="BG6" s="37">
        <f>Cash_Flow_Qtr!BG63</f>
        <v>742</v>
      </c>
      <c r="BH6" s="37">
        <f>Cash_Flow_Qtr!BH63</f>
        <v>709</v>
      </c>
      <c r="BI6" s="23">
        <f t="shared" ref="BI6:BI7" si="10">BH6</f>
        <v>709</v>
      </c>
      <c r="BK6" s="109"/>
      <c r="BL6" s="476"/>
    </row>
    <row r="7" spans="1:64">
      <c r="A7" s="1" t="s">
        <v>268</v>
      </c>
      <c r="B7" s="41">
        <v>976</v>
      </c>
      <c r="C7" s="41">
        <v>468</v>
      </c>
      <c r="D7" s="41">
        <v>474</v>
      </c>
      <c r="E7" s="22">
        <f t="shared" si="0"/>
        <v>750</v>
      </c>
      <c r="F7" s="43">
        <v>750</v>
      </c>
      <c r="G7" s="41">
        <v>466</v>
      </c>
      <c r="H7" s="41">
        <v>660</v>
      </c>
      <c r="I7" s="41">
        <v>682</v>
      </c>
      <c r="J7" s="22">
        <f t="shared" si="1"/>
        <v>1228</v>
      </c>
      <c r="K7" s="43">
        <v>1228</v>
      </c>
      <c r="L7" s="41">
        <f>1015-L6</f>
        <v>941</v>
      </c>
      <c r="M7" s="41">
        <f>1589-M6</f>
        <v>1515</v>
      </c>
      <c r="N7" s="41">
        <f>1463-N6</f>
        <v>1357</v>
      </c>
      <c r="O7" s="22">
        <f t="shared" si="2"/>
        <v>1105</v>
      </c>
      <c r="P7" s="43">
        <f>1179-P6</f>
        <v>1105</v>
      </c>
      <c r="Q7" s="41">
        <f>656-Q6</f>
        <v>586</v>
      </c>
      <c r="R7" s="41">
        <f>1649-R6</f>
        <v>1575</v>
      </c>
      <c r="S7" s="41">
        <f>1956-S6</f>
        <v>1828</v>
      </c>
      <c r="T7" s="22">
        <f t="shared" si="3"/>
        <v>751</v>
      </c>
      <c r="U7" s="43">
        <f>927-U6</f>
        <v>751</v>
      </c>
      <c r="V7" s="41">
        <f>893-V6</f>
        <v>717</v>
      </c>
      <c r="W7" s="41">
        <f>439-W6</f>
        <v>354</v>
      </c>
      <c r="X7" s="41">
        <f>1150-X6</f>
        <v>1064</v>
      </c>
      <c r="Y7" s="22">
        <f t="shared" si="4"/>
        <v>459</v>
      </c>
      <c r="Z7" s="43">
        <f>545-Z6</f>
        <v>459</v>
      </c>
      <c r="AA7" s="41">
        <f>488-AA6</f>
        <v>404</v>
      </c>
      <c r="AB7" s="41">
        <f>12438-AB6</f>
        <v>12396</v>
      </c>
      <c r="AC7" s="41">
        <f>16552-AC6</f>
        <v>16469</v>
      </c>
      <c r="AD7" s="41">
        <f>17838-AD6</f>
        <v>17755</v>
      </c>
      <c r="AE7" s="23">
        <f>AD7</f>
        <v>17755</v>
      </c>
      <c r="AF7" s="41">
        <f>14861-AF6</f>
        <v>14774</v>
      </c>
      <c r="AG7" s="41">
        <f>13071-AG6</f>
        <v>13035</v>
      </c>
      <c r="AH7" s="41">
        <f>10231-AH6</f>
        <v>10175</v>
      </c>
      <c r="AI7" s="41">
        <f>8192-AI6</f>
        <v>8140</v>
      </c>
      <c r="AJ7" s="23">
        <f t="shared" si="5"/>
        <v>8140</v>
      </c>
      <c r="AK7" s="41">
        <f>4873-AK6</f>
        <v>4828</v>
      </c>
      <c r="AL7" s="41">
        <v>1358</v>
      </c>
      <c r="AM7" s="41">
        <v>763</v>
      </c>
      <c r="AN7" s="41">
        <v>2606</v>
      </c>
      <c r="AO7" s="23">
        <f t="shared" si="6"/>
        <v>2606</v>
      </c>
      <c r="AP7" s="41">
        <v>3955</v>
      </c>
      <c r="AQ7" s="41">
        <v>6508</v>
      </c>
      <c r="AR7" s="41">
        <v>6561</v>
      </c>
      <c r="AS7" s="41">
        <v>3274</v>
      </c>
      <c r="AT7" s="23">
        <f t="shared" si="7"/>
        <v>3274</v>
      </c>
      <c r="AU7" s="41">
        <v>615</v>
      </c>
      <c r="AV7" s="41">
        <v>1727</v>
      </c>
      <c r="AW7" s="41">
        <v>509</v>
      </c>
      <c r="AX7" s="41">
        <v>12481</v>
      </c>
      <c r="AY7" s="23">
        <f t="shared" si="8"/>
        <v>12481</v>
      </c>
      <c r="AZ7" s="41">
        <v>13532</v>
      </c>
      <c r="BA7" s="41">
        <v>15880</v>
      </c>
      <c r="BB7" s="41">
        <v>16811</v>
      </c>
      <c r="BC7" s="41">
        <v>18479</v>
      </c>
      <c r="BD7" s="23">
        <f t="shared" si="9"/>
        <v>18479</v>
      </c>
      <c r="BE7" s="41">
        <f>BD7</f>
        <v>18479</v>
      </c>
      <c r="BF7" s="41">
        <f>BE7</f>
        <v>18479</v>
      </c>
      <c r="BG7" s="41">
        <f>BF7</f>
        <v>18479</v>
      </c>
      <c r="BH7" s="41">
        <f>BG7</f>
        <v>18479</v>
      </c>
      <c r="BI7" s="23">
        <f t="shared" si="10"/>
        <v>18479</v>
      </c>
      <c r="BK7" s="109"/>
      <c r="BL7" s="476"/>
    </row>
    <row r="8" spans="1:64">
      <c r="A8" s="1" t="s">
        <v>247</v>
      </c>
      <c r="B8" s="41">
        <v>8087</v>
      </c>
      <c r="C8" s="41">
        <v>7927</v>
      </c>
      <c r="D8" s="41">
        <v>8854</v>
      </c>
      <c r="E8" s="22">
        <f t="shared" si="0"/>
        <v>8713</v>
      </c>
      <c r="F8" s="43">
        <v>8713</v>
      </c>
      <c r="G8" s="41">
        <v>9711</v>
      </c>
      <c r="H8" s="41">
        <v>9809</v>
      </c>
      <c r="I8" s="41">
        <v>9524</v>
      </c>
      <c r="J8" s="22">
        <f t="shared" si="1"/>
        <v>8832</v>
      </c>
      <c r="K8" s="43">
        <v>8832</v>
      </c>
      <c r="L8" s="41">
        <v>9335</v>
      </c>
      <c r="M8" s="41">
        <v>9503</v>
      </c>
      <c r="N8" s="41">
        <v>10644</v>
      </c>
      <c r="O8" s="22">
        <f t="shared" si="2"/>
        <v>10516</v>
      </c>
      <c r="P8" s="43">
        <v>10516</v>
      </c>
      <c r="Q8" s="41">
        <v>2802</v>
      </c>
      <c r="R8" s="41">
        <v>2823</v>
      </c>
      <c r="S8" s="41">
        <v>2893</v>
      </c>
      <c r="T8" s="22">
        <f t="shared" si="3"/>
        <v>3879</v>
      </c>
      <c r="U8" s="43">
        <v>3879</v>
      </c>
      <c r="V8" s="41">
        <v>3669</v>
      </c>
      <c r="W8" s="41">
        <v>3291</v>
      </c>
      <c r="X8" s="41">
        <v>3564</v>
      </c>
      <c r="Y8" s="22">
        <f t="shared" si="4"/>
        <v>3266</v>
      </c>
      <c r="Z8" s="43">
        <v>3266</v>
      </c>
      <c r="AA8" s="41">
        <v>3211</v>
      </c>
      <c r="AB8" s="41">
        <v>2793</v>
      </c>
      <c r="AC8" s="41">
        <v>2762</v>
      </c>
      <c r="AD8" s="41">
        <v>1955</v>
      </c>
      <c r="AE8" s="23">
        <f t="shared" ref="AE8:AE14" si="11">AD8</f>
        <v>1955</v>
      </c>
      <c r="AF8" s="41">
        <v>2356</v>
      </c>
      <c r="AG8" s="41">
        <v>2490</v>
      </c>
      <c r="AH8" s="41">
        <v>2247</v>
      </c>
      <c r="AI8" s="41">
        <v>2641</v>
      </c>
      <c r="AJ8" s="23">
        <f t="shared" si="5"/>
        <v>2641</v>
      </c>
      <c r="AK8" s="41">
        <v>2407</v>
      </c>
      <c r="AL8" s="41">
        <v>2996</v>
      </c>
      <c r="AM8" s="41">
        <v>2673</v>
      </c>
      <c r="AN8" s="41">
        <v>2517</v>
      </c>
      <c r="AO8" s="23">
        <f t="shared" si="6"/>
        <v>2517</v>
      </c>
      <c r="AP8" s="41">
        <v>2862</v>
      </c>
      <c r="AQ8" s="41">
        <v>2945</v>
      </c>
      <c r="AR8" s="41">
        <v>3032</v>
      </c>
      <c r="AS8" s="41">
        <v>2649</v>
      </c>
      <c r="AT8" s="23">
        <f t="shared" si="7"/>
        <v>2649</v>
      </c>
      <c r="AU8" s="41">
        <v>2959</v>
      </c>
      <c r="AV8" s="41">
        <v>3155</v>
      </c>
      <c r="AW8" s="41">
        <v>2894</v>
      </c>
      <c r="AX8" s="41">
        <v>2631</v>
      </c>
      <c r="AY8" s="23">
        <f t="shared" si="8"/>
        <v>2631</v>
      </c>
      <c r="AZ8" s="41">
        <v>3204</v>
      </c>
      <c r="BA8" s="41">
        <v>3190</v>
      </c>
      <c r="BB8" s="41">
        <v>3314</v>
      </c>
      <c r="BC8" s="41">
        <v>2921</v>
      </c>
      <c r="BD8" s="23">
        <f t="shared" si="9"/>
        <v>2921</v>
      </c>
      <c r="BE8" s="22">
        <f>BE$68*(Income_Statement_Qtr!BE$10/(365/4))</f>
        <v>3256.2403768292043</v>
      </c>
      <c r="BF8" s="22">
        <f>BF$68*(Income_Statement_Qtr!BF$10/(365/4))</f>
        <v>3421.7800728957181</v>
      </c>
      <c r="BG8" s="22">
        <f>BG$68*(Income_Statement_Qtr!BG$10/(365/4))</f>
        <v>3296.6129795689299</v>
      </c>
      <c r="BH8" s="22">
        <f>BI8</f>
        <v>2868.513069451581</v>
      </c>
      <c r="BI8" s="23">
        <f>BI$68*(Income_Statement_Qtr!BI$10/(365))</f>
        <v>2868.513069451581</v>
      </c>
      <c r="BK8" s="109"/>
      <c r="BL8" s="476"/>
    </row>
    <row r="9" spans="1:64">
      <c r="A9" s="1" t="s">
        <v>269</v>
      </c>
      <c r="B9" s="41">
        <v>0</v>
      </c>
      <c r="C9" s="41">
        <v>0</v>
      </c>
      <c r="D9" s="41">
        <v>0</v>
      </c>
      <c r="E9" s="22">
        <f t="shared" si="0"/>
        <v>0</v>
      </c>
      <c r="F9" s="43">
        <v>0</v>
      </c>
      <c r="G9" s="41">
        <v>0</v>
      </c>
      <c r="H9" s="41">
        <v>0</v>
      </c>
      <c r="I9" s="41">
        <v>0</v>
      </c>
      <c r="J9" s="22">
        <f t="shared" si="1"/>
        <v>0</v>
      </c>
      <c r="K9" s="43">
        <v>0</v>
      </c>
      <c r="L9" s="41">
        <v>0</v>
      </c>
      <c r="M9" s="41">
        <v>0</v>
      </c>
      <c r="N9" s="41">
        <v>0</v>
      </c>
      <c r="O9" s="22">
        <f t="shared" si="2"/>
        <v>0</v>
      </c>
      <c r="P9" s="43">
        <v>0</v>
      </c>
      <c r="Q9" s="41">
        <v>9822</v>
      </c>
      <c r="R9" s="41">
        <v>9868</v>
      </c>
      <c r="S9" s="41">
        <v>9936</v>
      </c>
      <c r="T9" s="22">
        <f t="shared" si="3"/>
        <v>10025</v>
      </c>
      <c r="U9" s="43">
        <v>10025</v>
      </c>
      <c r="V9" s="41">
        <v>10208</v>
      </c>
      <c r="W9" s="41">
        <v>10247</v>
      </c>
      <c r="X9" s="41">
        <v>11078</v>
      </c>
      <c r="Y9" s="22">
        <f t="shared" si="4"/>
        <v>9043</v>
      </c>
      <c r="Z9" s="43">
        <v>9043</v>
      </c>
      <c r="AA9" s="41">
        <v>9365</v>
      </c>
      <c r="AB9" s="41">
        <v>8570</v>
      </c>
      <c r="AC9" s="41">
        <v>8860</v>
      </c>
      <c r="AD9" s="41">
        <v>7995</v>
      </c>
      <c r="AE9" s="23">
        <f t="shared" si="11"/>
        <v>7995</v>
      </c>
      <c r="AF9" s="41">
        <v>8785</v>
      </c>
      <c r="AG9" s="41">
        <v>9203</v>
      </c>
      <c r="AH9" s="41">
        <v>10009</v>
      </c>
      <c r="AI9" s="41">
        <v>8620</v>
      </c>
      <c r="AJ9" s="23">
        <f t="shared" si="5"/>
        <v>8620</v>
      </c>
      <c r="AK9" s="41">
        <v>8991</v>
      </c>
      <c r="AL9" s="41">
        <v>9394</v>
      </c>
      <c r="AM9" s="41">
        <v>9316</v>
      </c>
      <c r="AN9" s="41">
        <v>8634</v>
      </c>
      <c r="AO9" s="23">
        <f t="shared" si="6"/>
        <v>8634</v>
      </c>
      <c r="AP9" s="41">
        <v>9689</v>
      </c>
      <c r="AQ9" s="41">
        <v>9357</v>
      </c>
      <c r="AR9" s="41">
        <v>9184</v>
      </c>
      <c r="AS9" s="41">
        <v>8317</v>
      </c>
      <c r="AT9" s="23">
        <f t="shared" si="7"/>
        <v>8317</v>
      </c>
      <c r="AU9" s="41">
        <v>9673</v>
      </c>
      <c r="AV9" s="41">
        <v>9660</v>
      </c>
      <c r="AW9" s="41">
        <v>9356</v>
      </c>
      <c r="AX9" s="41">
        <v>8363</v>
      </c>
      <c r="AY9" s="23">
        <f t="shared" si="8"/>
        <v>8363</v>
      </c>
      <c r="AZ9" s="41">
        <v>9031</v>
      </c>
      <c r="BA9" s="41">
        <v>9261</v>
      </c>
      <c r="BB9" s="41">
        <v>9032</v>
      </c>
      <c r="BC9" s="41">
        <v>9158</v>
      </c>
      <c r="BD9" s="23">
        <f t="shared" si="9"/>
        <v>9158</v>
      </c>
      <c r="BE9" s="22">
        <f>BE$69*(Income_Statement_Qtr!BE$10/(365/4))</f>
        <v>9497.3677657518456</v>
      </c>
      <c r="BF9" s="22">
        <f>BF$69*(Income_Statement_Qtr!BF$10/(365/4))</f>
        <v>9580.9842041080101</v>
      </c>
      <c r="BG9" s="22">
        <f>BG$69*(Income_Statement_Qtr!BG$10/(365/4))</f>
        <v>9477.7623162606742</v>
      </c>
      <c r="BH9" s="22">
        <f>BI9</f>
        <v>8810.4329990298556</v>
      </c>
      <c r="BI9" s="23">
        <f>BI$69*(Income_Statement_Qtr!BI$10/(365))</f>
        <v>8810.4329990298556</v>
      </c>
      <c r="BK9" s="109"/>
      <c r="BL9" s="476"/>
    </row>
    <row r="10" spans="1:64">
      <c r="A10" s="1" t="s">
        <v>270</v>
      </c>
      <c r="B10" s="41">
        <v>184</v>
      </c>
      <c r="C10" s="41">
        <v>209</v>
      </c>
      <c r="D10" s="41">
        <v>227</v>
      </c>
      <c r="E10" s="22">
        <f t="shared" si="0"/>
        <v>212</v>
      </c>
      <c r="F10" s="43">
        <v>212</v>
      </c>
      <c r="G10" s="41">
        <v>258</v>
      </c>
      <c r="H10" s="41">
        <v>251</v>
      </c>
      <c r="I10" s="41">
        <v>365</v>
      </c>
      <c r="J10" s="22">
        <f t="shared" si="1"/>
        <v>428</v>
      </c>
      <c r="K10" s="43">
        <v>428</v>
      </c>
      <c r="L10" s="41">
        <v>580</v>
      </c>
      <c r="M10" s="41">
        <v>549</v>
      </c>
      <c r="N10" s="41">
        <v>435</v>
      </c>
      <c r="O10" s="22">
        <f t="shared" si="2"/>
        <v>309</v>
      </c>
      <c r="P10" s="43">
        <v>309</v>
      </c>
      <c r="Q10" s="41">
        <v>244</v>
      </c>
      <c r="R10" s="41">
        <v>294</v>
      </c>
      <c r="S10" s="41">
        <v>431</v>
      </c>
      <c r="T10" s="22">
        <f t="shared" si="3"/>
        <v>460</v>
      </c>
      <c r="U10" s="43">
        <v>460</v>
      </c>
      <c r="V10" s="41">
        <v>340</v>
      </c>
      <c r="W10" s="41">
        <v>171</v>
      </c>
      <c r="X10" s="41">
        <v>166</v>
      </c>
      <c r="Y10" s="22">
        <f t="shared" si="4"/>
        <v>162</v>
      </c>
      <c r="Z10" s="43">
        <v>162</v>
      </c>
      <c r="AA10" s="41">
        <v>149</v>
      </c>
      <c r="AB10" s="41">
        <v>115</v>
      </c>
      <c r="AC10" s="41">
        <v>100</v>
      </c>
      <c r="AD10" s="41">
        <v>101</v>
      </c>
      <c r="AE10" s="23">
        <f>AD10</f>
        <v>101</v>
      </c>
      <c r="AF10" s="41">
        <v>93</v>
      </c>
      <c r="AG10" s="41">
        <v>74</v>
      </c>
      <c r="AH10" s="41">
        <v>76</v>
      </c>
      <c r="AI10" s="41">
        <v>117</v>
      </c>
      <c r="AJ10" s="23">
        <f t="shared" si="5"/>
        <v>117</v>
      </c>
      <c r="AK10" s="41">
        <v>157</v>
      </c>
      <c r="AL10" s="41">
        <v>159</v>
      </c>
      <c r="AM10" s="41">
        <v>155</v>
      </c>
      <c r="AN10" s="41">
        <v>154</v>
      </c>
      <c r="AO10" s="23">
        <f t="shared" si="6"/>
        <v>154</v>
      </c>
      <c r="AP10" s="41">
        <v>133</v>
      </c>
      <c r="AQ10" s="41">
        <v>85</v>
      </c>
      <c r="AR10" s="41">
        <v>88</v>
      </c>
      <c r="AS10" s="41">
        <v>99</v>
      </c>
      <c r="AT10" s="23">
        <f t="shared" si="7"/>
        <v>99</v>
      </c>
      <c r="AU10" s="41">
        <v>57</v>
      </c>
      <c r="AV10" s="41">
        <v>60</v>
      </c>
      <c r="AW10" s="41">
        <v>457</v>
      </c>
      <c r="AX10" s="41">
        <v>207</v>
      </c>
      <c r="AY10" s="23">
        <f t="shared" si="8"/>
        <v>207</v>
      </c>
      <c r="AZ10" s="41">
        <v>202</v>
      </c>
      <c r="BA10" s="41">
        <v>16</v>
      </c>
      <c r="BB10" s="41">
        <v>0</v>
      </c>
      <c r="BC10" s="41">
        <f>BB10</f>
        <v>0</v>
      </c>
      <c r="BD10" s="23">
        <f t="shared" si="9"/>
        <v>0</v>
      </c>
      <c r="BE10" s="41">
        <f t="shared" ref="BE10:BG13" si="12">BD10</f>
        <v>0</v>
      </c>
      <c r="BF10" s="41">
        <f t="shared" si="12"/>
        <v>0</v>
      </c>
      <c r="BG10" s="41">
        <f t="shared" si="12"/>
        <v>0</v>
      </c>
      <c r="BH10" s="41">
        <f>BG10</f>
        <v>0</v>
      </c>
      <c r="BI10" s="23">
        <f t="shared" ref="BI10:BI13" si="13">BH10</f>
        <v>0</v>
      </c>
      <c r="BK10" s="109"/>
      <c r="BL10" s="476"/>
    </row>
    <row r="11" spans="1:64">
      <c r="A11" s="1" t="s">
        <v>67</v>
      </c>
      <c r="B11" s="41">
        <v>17</v>
      </c>
      <c r="C11" s="41">
        <v>17</v>
      </c>
      <c r="D11" s="41">
        <v>14</v>
      </c>
      <c r="E11" s="22">
        <f t="shared" si="0"/>
        <v>0</v>
      </c>
      <c r="F11" s="43">
        <v>0</v>
      </c>
      <c r="G11" s="41">
        <v>0</v>
      </c>
      <c r="H11" s="41">
        <v>0</v>
      </c>
      <c r="I11" s="41">
        <v>0</v>
      </c>
      <c r="J11" s="22">
        <f t="shared" si="1"/>
        <v>0</v>
      </c>
      <c r="K11" s="43">
        <v>0</v>
      </c>
      <c r="L11" s="41">
        <v>0</v>
      </c>
      <c r="M11" s="41">
        <v>0</v>
      </c>
      <c r="N11" s="41">
        <v>0</v>
      </c>
      <c r="O11" s="22">
        <f t="shared" si="2"/>
        <v>0</v>
      </c>
      <c r="P11" s="43">
        <v>0</v>
      </c>
      <c r="Q11" s="41">
        <v>0</v>
      </c>
      <c r="R11" s="41">
        <v>0</v>
      </c>
      <c r="S11" s="41">
        <v>0</v>
      </c>
      <c r="T11" s="22">
        <f t="shared" si="3"/>
        <v>0</v>
      </c>
      <c r="U11" s="43">
        <v>0</v>
      </c>
      <c r="V11" s="41">
        <v>0</v>
      </c>
      <c r="W11" s="41">
        <v>0</v>
      </c>
      <c r="X11" s="41">
        <v>0</v>
      </c>
      <c r="Y11" s="22">
        <f t="shared" si="4"/>
        <v>0</v>
      </c>
      <c r="Z11" s="43">
        <v>0</v>
      </c>
      <c r="AA11" s="41">
        <v>0</v>
      </c>
      <c r="AB11" s="41">
        <v>0</v>
      </c>
      <c r="AC11" s="41">
        <v>0</v>
      </c>
      <c r="AD11" s="41">
        <v>0</v>
      </c>
      <c r="AE11" s="23">
        <f t="shared" si="11"/>
        <v>0</v>
      </c>
      <c r="AF11" s="41">
        <v>0</v>
      </c>
      <c r="AG11" s="41">
        <v>0</v>
      </c>
      <c r="AH11" s="41">
        <v>0</v>
      </c>
      <c r="AI11" s="41">
        <v>0</v>
      </c>
      <c r="AJ11" s="23">
        <f t="shared" si="5"/>
        <v>0</v>
      </c>
      <c r="AK11" s="41">
        <v>0</v>
      </c>
      <c r="AL11" s="41">
        <v>0</v>
      </c>
      <c r="AM11" s="41">
        <v>0</v>
      </c>
      <c r="AN11" s="41">
        <v>0</v>
      </c>
      <c r="AO11" s="23">
        <f t="shared" si="6"/>
        <v>0</v>
      </c>
      <c r="AP11" s="41">
        <v>0</v>
      </c>
      <c r="AQ11" s="41">
        <v>0</v>
      </c>
      <c r="AR11" s="41">
        <v>0</v>
      </c>
      <c r="AS11" s="41">
        <v>0</v>
      </c>
      <c r="AT11" s="23">
        <f t="shared" si="7"/>
        <v>0</v>
      </c>
      <c r="AU11" s="41">
        <v>0</v>
      </c>
      <c r="AV11" s="41">
        <v>0</v>
      </c>
      <c r="AW11" s="41">
        <v>0</v>
      </c>
      <c r="AX11" s="41">
        <v>0</v>
      </c>
      <c r="AY11" s="23">
        <f t="shared" si="8"/>
        <v>0</v>
      </c>
      <c r="AZ11" s="41">
        <v>0</v>
      </c>
      <c r="BA11" s="41">
        <v>0</v>
      </c>
      <c r="BB11" s="41">
        <v>0</v>
      </c>
      <c r="BC11" s="41">
        <f>BB11</f>
        <v>0</v>
      </c>
      <c r="BD11" s="23">
        <f t="shared" si="9"/>
        <v>0</v>
      </c>
      <c r="BE11" s="41">
        <f t="shared" si="12"/>
        <v>0</v>
      </c>
      <c r="BF11" s="41">
        <f t="shared" si="12"/>
        <v>0</v>
      </c>
      <c r="BG11" s="41">
        <f t="shared" si="12"/>
        <v>0</v>
      </c>
      <c r="BH11" s="41">
        <f>BG11</f>
        <v>0</v>
      </c>
      <c r="BI11" s="23">
        <f t="shared" si="13"/>
        <v>0</v>
      </c>
      <c r="BK11" s="109"/>
      <c r="BL11" s="476"/>
    </row>
    <row r="12" spans="1:64">
      <c r="A12" s="1" t="s">
        <v>21</v>
      </c>
      <c r="B12" s="41">
        <v>48502</v>
      </c>
      <c r="C12" s="41">
        <v>49028</v>
      </c>
      <c r="D12" s="41">
        <v>48624</v>
      </c>
      <c r="E12" s="22">
        <f t="shared" si="0"/>
        <v>47257</v>
      </c>
      <c r="F12" s="43">
        <v>47257</v>
      </c>
      <c r="G12" s="41">
        <v>47266</v>
      </c>
      <c r="H12" s="41">
        <v>44182</v>
      </c>
      <c r="I12" s="41">
        <v>42680</v>
      </c>
      <c r="J12" s="22">
        <f t="shared" si="1"/>
        <v>43199</v>
      </c>
      <c r="K12" s="43">
        <v>43199</v>
      </c>
      <c r="L12" s="41">
        <v>43247</v>
      </c>
      <c r="M12" s="41">
        <v>42453</v>
      </c>
      <c r="N12" s="41">
        <v>43031</v>
      </c>
      <c r="O12" s="22">
        <f t="shared" si="2"/>
        <v>44344</v>
      </c>
      <c r="P12" s="43">
        <v>44344</v>
      </c>
      <c r="Q12" s="41">
        <v>61303</v>
      </c>
      <c r="R12" s="41">
        <v>61250</v>
      </c>
      <c r="S12" s="41">
        <v>62038</v>
      </c>
      <c r="T12" s="22">
        <f t="shared" si="3"/>
        <v>62567</v>
      </c>
      <c r="U12" s="43">
        <v>62567</v>
      </c>
      <c r="V12" s="41">
        <v>65369</v>
      </c>
      <c r="W12" s="41">
        <v>68492</v>
      </c>
      <c r="X12" s="41">
        <v>73279</v>
      </c>
      <c r="Y12" s="22">
        <f t="shared" si="4"/>
        <v>76622</v>
      </c>
      <c r="Z12" s="43">
        <v>76622</v>
      </c>
      <c r="AA12" s="41">
        <v>80020</v>
      </c>
      <c r="AB12" s="41">
        <v>83745</v>
      </c>
      <c r="AC12" s="41">
        <v>86961</v>
      </c>
      <c r="AD12" s="41">
        <v>81715</v>
      </c>
      <c r="AE12" s="23">
        <f>AD12</f>
        <v>81715</v>
      </c>
      <c r="AF12" s="41">
        <v>82668</v>
      </c>
      <c r="AG12" s="41">
        <v>81799</v>
      </c>
      <c r="AH12" s="41">
        <v>81897</v>
      </c>
      <c r="AI12" s="41">
        <v>78823</v>
      </c>
      <c r="AJ12" s="23">
        <f>AI12</f>
        <v>78823</v>
      </c>
      <c r="AK12" s="41">
        <v>79819</v>
      </c>
      <c r="AL12" s="41">
        <v>79917</v>
      </c>
      <c r="AM12" s="41">
        <v>79777</v>
      </c>
      <c r="AN12" s="41">
        <v>78151</v>
      </c>
      <c r="AO12" s="23">
        <f>AN12</f>
        <v>78151</v>
      </c>
      <c r="AP12" s="41">
        <v>78503</v>
      </c>
      <c r="AQ12" s="41">
        <v>78322</v>
      </c>
      <c r="AR12" s="41">
        <v>78972</v>
      </c>
      <c r="AS12" s="41">
        <v>79741</v>
      </c>
      <c r="AT12" s="23">
        <f>AS12</f>
        <v>79741</v>
      </c>
      <c r="AU12" s="41">
        <v>83471</v>
      </c>
      <c r="AV12" s="41">
        <v>85661</v>
      </c>
      <c r="AW12" s="41">
        <v>83341</v>
      </c>
      <c r="AX12" s="41">
        <v>87550</v>
      </c>
      <c r="AY12" s="23">
        <f>AX12</f>
        <v>87550</v>
      </c>
      <c r="AZ12" s="41">
        <v>89077</v>
      </c>
      <c r="BA12" s="41">
        <v>87853</v>
      </c>
      <c r="BB12" s="41">
        <v>82425</v>
      </c>
      <c r="BC12" s="41">
        <v>84679</v>
      </c>
      <c r="BD12" s="23">
        <f>BC12</f>
        <v>84679</v>
      </c>
      <c r="BE12" s="37">
        <f ca="1">Inventory!CJ124</f>
        <v>84664.3125</v>
      </c>
      <c r="BF12" s="37">
        <f ca="1">Inventory!CK124</f>
        <v>84401.625</v>
      </c>
      <c r="BG12" s="37">
        <f ca="1">Inventory!CL124</f>
        <v>83590.9375</v>
      </c>
      <c r="BH12" s="37">
        <f ca="1">Inventory!CM124</f>
        <v>82768.25</v>
      </c>
      <c r="BI12" s="23">
        <f t="shared" ca="1" si="13"/>
        <v>82768.25</v>
      </c>
      <c r="BK12" s="109"/>
      <c r="BL12" s="476"/>
    </row>
    <row r="13" spans="1:64">
      <c r="A13" s="1" t="s">
        <v>233</v>
      </c>
      <c r="B13" s="41">
        <v>0</v>
      </c>
      <c r="C13" s="41">
        <v>0</v>
      </c>
      <c r="D13" s="41">
        <v>0</v>
      </c>
      <c r="E13" s="22">
        <f t="shared" si="0"/>
        <v>0</v>
      </c>
      <c r="F13" s="43">
        <v>0</v>
      </c>
      <c r="G13" s="41">
        <v>0</v>
      </c>
      <c r="H13" s="41">
        <v>0</v>
      </c>
      <c r="I13" s="41">
        <v>0</v>
      </c>
      <c r="J13" s="22">
        <f t="shared" si="1"/>
        <v>0</v>
      </c>
      <c r="K13" s="43">
        <v>0</v>
      </c>
      <c r="L13" s="41">
        <v>0</v>
      </c>
      <c r="M13" s="41">
        <v>0</v>
      </c>
      <c r="N13" s="41">
        <v>0</v>
      </c>
      <c r="O13" s="22">
        <f t="shared" si="2"/>
        <v>0</v>
      </c>
      <c r="P13" s="43">
        <v>0</v>
      </c>
      <c r="Q13" s="41">
        <v>0</v>
      </c>
      <c r="R13" s="41">
        <v>0</v>
      </c>
      <c r="S13" s="41">
        <v>0</v>
      </c>
      <c r="T13" s="22">
        <f t="shared" si="3"/>
        <v>0</v>
      </c>
      <c r="U13" s="43">
        <v>0</v>
      </c>
      <c r="V13" s="41">
        <v>0</v>
      </c>
      <c r="W13" s="41">
        <v>0</v>
      </c>
      <c r="X13" s="41">
        <v>0</v>
      </c>
      <c r="Y13" s="22">
        <f t="shared" si="4"/>
        <v>0</v>
      </c>
      <c r="Z13" s="43">
        <v>0</v>
      </c>
      <c r="AA13" s="41">
        <v>0</v>
      </c>
      <c r="AB13" s="41">
        <v>0</v>
      </c>
      <c r="AC13" s="41">
        <v>0</v>
      </c>
      <c r="AD13" s="41">
        <v>0</v>
      </c>
      <c r="AE13" s="23">
        <f t="shared" si="11"/>
        <v>0</v>
      </c>
      <c r="AF13" s="41">
        <v>0</v>
      </c>
      <c r="AG13" s="41">
        <v>0</v>
      </c>
      <c r="AH13" s="41">
        <v>0</v>
      </c>
      <c r="AI13" s="41">
        <v>0</v>
      </c>
      <c r="AJ13" s="23">
        <f>AI13</f>
        <v>0</v>
      </c>
      <c r="AK13" s="41">
        <v>0</v>
      </c>
      <c r="AL13" s="41">
        <v>0</v>
      </c>
      <c r="AM13" s="41">
        <v>0</v>
      </c>
      <c r="AN13" s="41">
        <v>0</v>
      </c>
      <c r="AO13" s="23">
        <f>AN13</f>
        <v>0</v>
      </c>
      <c r="AP13" s="41">
        <v>0</v>
      </c>
      <c r="AQ13" s="41">
        <v>0</v>
      </c>
      <c r="AR13" s="41">
        <v>0</v>
      </c>
      <c r="AS13" s="41">
        <v>0</v>
      </c>
      <c r="AT13" s="23">
        <f>AS13</f>
        <v>0</v>
      </c>
      <c r="AU13" s="41">
        <v>0</v>
      </c>
      <c r="AV13" s="41">
        <v>0</v>
      </c>
      <c r="AW13" s="41">
        <v>0</v>
      </c>
      <c r="AX13" s="41">
        <v>0</v>
      </c>
      <c r="AY13" s="23">
        <f>AX13</f>
        <v>0</v>
      </c>
      <c r="AZ13" s="41">
        <v>0</v>
      </c>
      <c r="BA13" s="41">
        <v>0</v>
      </c>
      <c r="BB13" s="41">
        <v>0</v>
      </c>
      <c r="BC13" s="41">
        <f>BB13</f>
        <v>0</v>
      </c>
      <c r="BD13" s="23">
        <f>BC13</f>
        <v>0</v>
      </c>
      <c r="BE13" s="41">
        <f t="shared" si="12"/>
        <v>0</v>
      </c>
      <c r="BF13" s="41">
        <f t="shared" si="12"/>
        <v>0</v>
      </c>
      <c r="BG13" s="41">
        <f t="shared" si="12"/>
        <v>0</v>
      </c>
      <c r="BH13" s="41">
        <f>BG13</f>
        <v>0</v>
      </c>
      <c r="BI13" s="23">
        <f t="shared" si="13"/>
        <v>0</v>
      </c>
      <c r="BK13" s="109"/>
      <c r="BL13" s="476"/>
    </row>
    <row r="14" spans="1:64">
      <c r="A14" s="1" t="s">
        <v>83</v>
      </c>
      <c r="B14" s="41">
        <v>0</v>
      </c>
      <c r="C14" s="41">
        <v>0</v>
      </c>
      <c r="D14" s="41">
        <v>0</v>
      </c>
      <c r="E14" s="22">
        <f t="shared" si="0"/>
        <v>0</v>
      </c>
      <c r="F14" s="43">
        <v>0</v>
      </c>
      <c r="G14" s="41">
        <v>0</v>
      </c>
      <c r="H14" s="41">
        <v>0</v>
      </c>
      <c r="I14" s="41">
        <v>0</v>
      </c>
      <c r="J14" s="22">
        <f t="shared" si="1"/>
        <v>0</v>
      </c>
      <c r="K14" s="43">
        <v>0</v>
      </c>
      <c r="L14" s="41">
        <v>0</v>
      </c>
      <c r="M14" s="41">
        <v>0</v>
      </c>
      <c r="N14" s="41">
        <v>0</v>
      </c>
      <c r="O14" s="22">
        <f t="shared" si="2"/>
        <v>0</v>
      </c>
      <c r="P14" s="43">
        <v>0</v>
      </c>
      <c r="Q14" s="41">
        <v>2481</v>
      </c>
      <c r="R14" s="41">
        <v>2396</v>
      </c>
      <c r="S14" s="41">
        <v>2398</v>
      </c>
      <c r="T14" s="22">
        <f t="shared" si="3"/>
        <v>2335</v>
      </c>
      <c r="U14" s="43">
        <v>2335</v>
      </c>
      <c r="V14" s="41">
        <v>2194</v>
      </c>
      <c r="W14" s="41">
        <v>3304</v>
      </c>
      <c r="X14" s="41">
        <v>2656</v>
      </c>
      <c r="Y14" s="22">
        <f t="shared" si="4"/>
        <v>3106</v>
      </c>
      <c r="Z14" s="43">
        <v>3106</v>
      </c>
      <c r="AA14" s="41">
        <v>2739</v>
      </c>
      <c r="AB14" s="41">
        <v>2624</v>
      </c>
      <c r="AC14" s="41">
        <v>5213</v>
      </c>
      <c r="AD14" s="41">
        <v>4286</v>
      </c>
      <c r="AE14" s="23">
        <f t="shared" si="11"/>
        <v>4286</v>
      </c>
      <c r="AF14" s="41">
        <v>4123</v>
      </c>
      <c r="AG14" s="41">
        <v>4187</v>
      </c>
      <c r="AH14" s="41">
        <v>2664</v>
      </c>
      <c r="AI14" s="41">
        <v>2221</v>
      </c>
      <c r="AJ14" s="23">
        <f>AI14</f>
        <v>2221</v>
      </c>
      <c r="AK14" s="41">
        <v>2356</v>
      </c>
      <c r="AL14" s="41">
        <f>2086-AL6</f>
        <v>2045</v>
      </c>
      <c r="AM14" s="41">
        <f>3073-AM6</f>
        <v>3037</v>
      </c>
      <c r="AN14" s="41">
        <f>2847-AN6</f>
        <v>2814</v>
      </c>
      <c r="AO14" s="23">
        <f>AN14</f>
        <v>2814</v>
      </c>
      <c r="AP14" s="41">
        <f>2857-AP6</f>
        <v>2833</v>
      </c>
      <c r="AQ14" s="41">
        <f>2941-AQ6</f>
        <v>2920</v>
      </c>
      <c r="AR14" s="41">
        <f>2287-AR6</f>
        <v>2266</v>
      </c>
      <c r="AS14" s="41">
        <f>2504-AS6</f>
        <v>2482</v>
      </c>
      <c r="AT14" s="23">
        <f>AS14</f>
        <v>2482</v>
      </c>
      <c r="AU14" s="544">
        <f>2843-AU6</f>
        <v>2822</v>
      </c>
      <c r="AV14" s="544">
        <f>3282-AV6</f>
        <v>3261</v>
      </c>
      <c r="AW14" s="544">
        <f>2918-AW6</f>
        <v>2897</v>
      </c>
      <c r="AX14" s="544">
        <f>2965-AX6</f>
        <v>2944</v>
      </c>
      <c r="AY14" s="23">
        <f>AX14</f>
        <v>2944</v>
      </c>
      <c r="AZ14" s="544">
        <f>2474-AZ6</f>
        <v>2453</v>
      </c>
      <c r="BA14" s="544">
        <f>2563+1451-BA6</f>
        <v>3305</v>
      </c>
      <c r="BB14" s="544">
        <f>2904+1473-BB6</f>
        <v>3668</v>
      </c>
      <c r="BC14" s="544">
        <f>2301-BC6</f>
        <v>1559</v>
      </c>
      <c r="BD14" s="23">
        <f>BC14</f>
        <v>1559</v>
      </c>
      <c r="BE14" s="22">
        <f>BE75*Income_Statement_Qtr!BE$10*4</f>
        <v>1782.791606313989</v>
      </c>
      <c r="BF14" s="22">
        <f>BF75*Income_Statement_Qtr!BF$10*4</f>
        <v>1798.4876063139891</v>
      </c>
      <c r="BG14" s="22">
        <f>BG75*Income_Statement_Qtr!BG$10*4</f>
        <v>1804.895606313989</v>
      </c>
      <c r="BH14" s="22">
        <f>BI14</f>
        <v>1495.7246719283244</v>
      </c>
      <c r="BI14" s="23">
        <f>BI75*Income_Statement_Qtr!BI$10</f>
        <v>1495.7246719283244</v>
      </c>
      <c r="BK14" s="109"/>
      <c r="BL14" s="476"/>
    </row>
    <row r="15" spans="1:64">
      <c r="A15" s="9" t="s">
        <v>235</v>
      </c>
      <c r="B15" s="24">
        <f t="shared" ref="B15:T15" si="14">+SUM(B5:B14)</f>
        <v>66421</v>
      </c>
      <c r="C15" s="24">
        <f t="shared" si="14"/>
        <v>66806</v>
      </c>
      <c r="D15" s="24">
        <f t="shared" si="14"/>
        <v>67576</v>
      </c>
      <c r="E15" s="24">
        <f t="shared" si="14"/>
        <v>68234</v>
      </c>
      <c r="F15" s="25">
        <f t="shared" si="14"/>
        <v>68234</v>
      </c>
      <c r="G15" s="24">
        <f t="shared" si="14"/>
        <v>65587</v>
      </c>
      <c r="H15" s="24">
        <f t="shared" si="14"/>
        <v>63507</v>
      </c>
      <c r="I15" s="24">
        <f t="shared" si="14"/>
        <v>62237</v>
      </c>
      <c r="J15" s="24">
        <f t="shared" si="14"/>
        <v>62488</v>
      </c>
      <c r="K15" s="25">
        <f t="shared" si="14"/>
        <v>62488</v>
      </c>
      <c r="L15" s="24">
        <f t="shared" si="14"/>
        <v>62367</v>
      </c>
      <c r="M15" s="24">
        <f t="shared" si="14"/>
        <v>62831</v>
      </c>
      <c r="N15" s="24">
        <f t="shared" si="14"/>
        <v>64142</v>
      </c>
      <c r="O15" s="24">
        <f t="shared" si="14"/>
        <v>65161</v>
      </c>
      <c r="P15" s="25">
        <f t="shared" si="14"/>
        <v>65161</v>
      </c>
      <c r="Q15" s="24">
        <f t="shared" si="14"/>
        <v>86543</v>
      </c>
      <c r="R15" s="24">
        <f t="shared" si="14"/>
        <v>86401</v>
      </c>
      <c r="S15" s="24">
        <f t="shared" si="14"/>
        <v>87686</v>
      </c>
      <c r="T15" s="24">
        <f t="shared" si="14"/>
        <v>87830</v>
      </c>
      <c r="U15" s="25">
        <f t="shared" ref="U15:AA15" si="15">+SUM(U5:U14)</f>
        <v>87830</v>
      </c>
      <c r="V15" s="24">
        <f t="shared" si="15"/>
        <v>89509</v>
      </c>
      <c r="W15" s="24">
        <f t="shared" si="15"/>
        <v>95111</v>
      </c>
      <c r="X15" s="24">
        <f t="shared" si="15"/>
        <v>101656</v>
      </c>
      <c r="Y15" s="24">
        <f t="shared" si="15"/>
        <v>102229</v>
      </c>
      <c r="Z15" s="25">
        <f t="shared" si="15"/>
        <v>102229</v>
      </c>
      <c r="AA15" s="24">
        <f t="shared" si="15"/>
        <v>111011</v>
      </c>
      <c r="AB15" s="24">
        <f t="shared" ref="AB15:AM15" si="16">+SUM(AB5:AB14)</f>
        <v>130277</v>
      </c>
      <c r="AC15" s="24">
        <f t="shared" si="16"/>
        <v>131012</v>
      </c>
      <c r="AD15" s="24">
        <f t="shared" si="16"/>
        <v>121642</v>
      </c>
      <c r="AE15" s="25">
        <f t="shared" si="16"/>
        <v>121642</v>
      </c>
      <c r="AF15" s="24">
        <f t="shared" si="16"/>
        <v>119945</v>
      </c>
      <c r="AG15" s="24">
        <f t="shared" si="16"/>
        <v>119095</v>
      </c>
      <c r="AH15" s="24">
        <f t="shared" si="16"/>
        <v>116888</v>
      </c>
      <c r="AI15" s="24">
        <f t="shared" si="16"/>
        <v>108666</v>
      </c>
      <c r="AJ15" s="25">
        <f t="shared" si="16"/>
        <v>108666</v>
      </c>
      <c r="AK15" s="24">
        <f t="shared" si="16"/>
        <v>106012</v>
      </c>
      <c r="AL15" s="24">
        <f t="shared" si="16"/>
        <v>106000</v>
      </c>
      <c r="AM15" s="24">
        <f t="shared" si="16"/>
        <v>109251</v>
      </c>
      <c r="AN15" s="24">
        <f t="shared" ref="AN15:AR15" si="17">+SUM(AN5:AN14)</f>
        <v>109523</v>
      </c>
      <c r="AO15" s="25">
        <f t="shared" si="17"/>
        <v>109523</v>
      </c>
      <c r="AP15" s="24">
        <f t="shared" si="17"/>
        <v>108811</v>
      </c>
      <c r="AQ15" s="24">
        <f t="shared" si="17"/>
        <v>107412</v>
      </c>
      <c r="AR15" s="24">
        <f t="shared" si="17"/>
        <v>106935</v>
      </c>
      <c r="AS15" s="24">
        <f>+SUM(AS4:AS14)</f>
        <v>109275</v>
      </c>
      <c r="AT15" s="25">
        <f>+SUM(AT4:AT14)</f>
        <v>109275</v>
      </c>
      <c r="AU15" s="24">
        <f t="shared" ref="AU15:AW15" si="18">+SUM(AU5:AU14)</f>
        <v>106532</v>
      </c>
      <c r="AV15" s="24">
        <f t="shared" si="18"/>
        <v>114439</v>
      </c>
      <c r="AW15" s="24">
        <f t="shared" si="18"/>
        <v>109436</v>
      </c>
      <c r="AX15" s="24">
        <f>+SUM(AX4:AX14)</f>
        <v>127998</v>
      </c>
      <c r="AY15" s="25">
        <f>+SUM(AY4:AY14)</f>
        <v>127998</v>
      </c>
      <c r="AZ15" s="24">
        <f t="shared" ref="AZ15:BB15" si="19">+SUM(AZ5:AZ14)</f>
        <v>127662</v>
      </c>
      <c r="BA15" s="24">
        <f t="shared" si="19"/>
        <v>127301</v>
      </c>
      <c r="BB15" s="24">
        <f t="shared" si="19"/>
        <v>122132</v>
      </c>
      <c r="BC15" s="24">
        <f t="shared" ref="BC15:BG15" si="20">+SUM(BC5:BC14)</f>
        <v>128459</v>
      </c>
      <c r="BD15" s="25">
        <f>+SUM(BD4:BD14)</f>
        <v>128459</v>
      </c>
      <c r="BE15" s="24">
        <f t="shared" ca="1" si="20"/>
        <v>127260.70336085945</v>
      </c>
      <c r="BF15" s="24">
        <f t="shared" ca="1" si="20"/>
        <v>124086.08234137518</v>
      </c>
      <c r="BG15" s="24">
        <f t="shared" ca="1" si="20"/>
        <v>122804.20198221694</v>
      </c>
      <c r="BH15" s="24">
        <f t="shared" ref="BH15:BI15" ca="1" si="21">+SUM(BH5:BH14)</f>
        <v>123460.32329001781</v>
      </c>
      <c r="BI15" s="25">
        <f t="shared" ca="1" si="21"/>
        <v>123460.32329001781</v>
      </c>
      <c r="BK15" s="109"/>
      <c r="BL15" s="476"/>
    </row>
    <row r="16" spans="1:64">
      <c r="B16" s="22"/>
      <c r="C16" s="22"/>
      <c r="D16" s="22"/>
      <c r="E16" s="22"/>
      <c r="F16" s="23"/>
      <c r="G16" s="22"/>
      <c r="H16" s="22"/>
      <c r="I16" s="22"/>
      <c r="J16" s="22"/>
      <c r="K16" s="23"/>
      <c r="L16" s="22"/>
      <c r="M16" s="22"/>
      <c r="N16" s="22"/>
      <c r="O16" s="22"/>
      <c r="P16" s="23"/>
      <c r="Q16" s="22"/>
      <c r="R16" s="22"/>
      <c r="S16" s="22"/>
      <c r="T16" s="22"/>
      <c r="U16" s="23"/>
      <c r="V16" s="22"/>
      <c r="W16" s="22"/>
      <c r="X16" s="22"/>
      <c r="Y16" s="22"/>
      <c r="Z16" s="23"/>
      <c r="AA16" s="22"/>
      <c r="AB16" s="22"/>
      <c r="AC16" s="22"/>
      <c r="AD16" s="22"/>
      <c r="AE16" s="23"/>
      <c r="AF16" s="22"/>
      <c r="AG16" s="22"/>
      <c r="AH16" s="22"/>
      <c r="AI16" s="22"/>
      <c r="AJ16" s="23"/>
      <c r="AK16" s="22"/>
      <c r="AL16" s="22"/>
      <c r="AM16" s="22"/>
      <c r="AN16" s="22"/>
      <c r="AO16" s="23"/>
      <c r="AP16" s="22"/>
      <c r="AQ16" s="22"/>
      <c r="AR16" s="22"/>
      <c r="AS16" s="22"/>
      <c r="AT16" s="23"/>
      <c r="AU16" s="22"/>
      <c r="AV16" s="22"/>
      <c r="AW16" s="22"/>
      <c r="AX16" s="22"/>
      <c r="AY16" s="23"/>
      <c r="AZ16" s="22"/>
      <c r="BA16" s="22"/>
      <c r="BB16" s="22"/>
      <c r="BC16" s="22"/>
      <c r="BD16" s="23"/>
      <c r="BE16" s="22"/>
      <c r="BF16" s="22"/>
      <c r="BG16" s="22"/>
      <c r="BH16" s="22"/>
      <c r="BI16" s="23"/>
      <c r="BK16" s="109"/>
      <c r="BL16" s="476"/>
    </row>
    <row r="17" spans="1:64">
      <c r="A17" s="14" t="s">
        <v>35</v>
      </c>
      <c r="B17" s="22"/>
      <c r="C17" s="22"/>
      <c r="D17" s="22"/>
      <c r="E17" s="22"/>
      <c r="F17" s="23"/>
      <c r="G17" s="22"/>
      <c r="H17" s="22"/>
      <c r="I17" s="22"/>
      <c r="J17" s="22"/>
      <c r="K17" s="23"/>
      <c r="L17" s="22"/>
      <c r="M17" s="22"/>
      <c r="N17" s="22"/>
      <c r="O17" s="22"/>
      <c r="P17" s="23"/>
      <c r="Q17" s="22"/>
      <c r="R17" s="22"/>
      <c r="S17" s="22"/>
      <c r="T17" s="22"/>
      <c r="U17" s="23"/>
      <c r="V17" s="22"/>
      <c r="W17" s="22"/>
      <c r="X17" s="22"/>
      <c r="Y17" s="22"/>
      <c r="Z17" s="23"/>
      <c r="AA17" s="22"/>
      <c r="AB17" s="22"/>
      <c r="AC17" s="22"/>
      <c r="AD17" s="22"/>
      <c r="AE17" s="23"/>
      <c r="AF17" s="22"/>
      <c r="AG17" s="22"/>
      <c r="AH17" s="22"/>
      <c r="AI17" s="22"/>
      <c r="AJ17" s="23"/>
      <c r="AK17" s="22"/>
      <c r="AL17" s="22"/>
      <c r="AM17" s="22"/>
      <c r="AN17" s="22"/>
      <c r="AO17" s="23"/>
      <c r="AP17" s="22"/>
      <c r="AQ17" s="22"/>
      <c r="AR17" s="22"/>
      <c r="AS17" s="22"/>
      <c r="AT17" s="23"/>
      <c r="AU17" s="22"/>
      <c r="AV17" s="22"/>
      <c r="AW17" s="22"/>
      <c r="AX17" s="22"/>
      <c r="AY17" s="23"/>
      <c r="AZ17" s="22"/>
      <c r="BA17" s="22"/>
      <c r="BB17" s="22"/>
      <c r="BC17" s="22"/>
      <c r="BD17" s="23"/>
      <c r="BE17" s="22"/>
      <c r="BF17" s="22"/>
      <c r="BG17" s="22"/>
      <c r="BH17" s="22"/>
      <c r="BI17" s="23"/>
      <c r="BK17" s="109"/>
      <c r="BL17" s="476"/>
    </row>
    <row r="18" spans="1:64">
      <c r="A18" s="1" t="s">
        <v>254</v>
      </c>
      <c r="B18" s="41">
        <v>3301</v>
      </c>
      <c r="C18" s="41">
        <v>3175</v>
      </c>
      <c r="D18" s="41">
        <v>3231</v>
      </c>
      <c r="E18" s="22">
        <f t="shared" ref="E18:E24" si="22">+F18</f>
        <v>3358</v>
      </c>
      <c r="F18" s="43">
        <v>3358</v>
      </c>
      <c r="G18" s="41">
        <v>2980</v>
      </c>
      <c r="H18" s="41">
        <v>2909</v>
      </c>
      <c r="I18" s="41">
        <v>3401</v>
      </c>
      <c r="J18" s="22">
        <f t="shared" ref="J18:J24" si="23">+K18</f>
        <v>3773</v>
      </c>
      <c r="K18" s="43">
        <v>3773</v>
      </c>
      <c r="L18" s="41">
        <v>3527</v>
      </c>
      <c r="M18" s="41">
        <v>3398</v>
      </c>
      <c r="N18" s="41">
        <v>3039</v>
      </c>
      <c r="O18" s="22">
        <f t="shared" ref="O18:O24" si="24">+P18</f>
        <v>2740</v>
      </c>
      <c r="P18" s="43">
        <v>2740</v>
      </c>
      <c r="Q18" s="41">
        <v>2753</v>
      </c>
      <c r="R18" s="41">
        <v>2817</v>
      </c>
      <c r="S18" s="41">
        <v>2785</v>
      </c>
      <c r="T18" s="22">
        <f t="shared" ref="T18:T24" si="25">+U18</f>
        <v>2418</v>
      </c>
      <c r="U18" s="43">
        <v>2418</v>
      </c>
      <c r="V18" s="41">
        <v>2236</v>
      </c>
      <c r="W18" s="41">
        <v>2139</v>
      </c>
      <c r="X18" s="41">
        <v>2077</v>
      </c>
      <c r="Y18" s="22">
        <f t="shared" ref="Y18:Y24" si="26">+Z18</f>
        <v>2136</v>
      </c>
      <c r="Z18" s="43">
        <v>2136</v>
      </c>
      <c r="AA18" s="41">
        <v>2116</v>
      </c>
      <c r="AB18" s="41">
        <v>2054</v>
      </c>
      <c r="AC18" s="41">
        <v>2010</v>
      </c>
      <c r="AD18" s="41">
        <v>1936</v>
      </c>
      <c r="AE18" s="23">
        <f>AD18</f>
        <v>1936</v>
      </c>
      <c r="AF18" s="41">
        <v>1895</v>
      </c>
      <c r="AG18" s="41">
        <v>1865</v>
      </c>
      <c r="AH18" s="41">
        <v>1795</v>
      </c>
      <c r="AI18" s="41">
        <v>1695</v>
      </c>
      <c r="AJ18" s="23">
        <f t="shared" ref="AJ18:AJ24" si="27">AI18</f>
        <v>1695</v>
      </c>
      <c r="AK18" s="41">
        <v>1580</v>
      </c>
      <c r="AL18" s="41">
        <v>1542</v>
      </c>
      <c r="AM18" s="41">
        <v>1513</v>
      </c>
      <c r="AN18" s="41">
        <v>1450</v>
      </c>
      <c r="AO18" s="23">
        <f t="shared" ref="AO18:AO24" si="28">AN18</f>
        <v>1450</v>
      </c>
      <c r="AP18" s="41">
        <v>1372</v>
      </c>
      <c r="AQ18" s="41">
        <v>1105</v>
      </c>
      <c r="AR18" s="41">
        <v>963</v>
      </c>
      <c r="AS18" s="41">
        <v>860</v>
      </c>
      <c r="AT18" s="23">
        <f t="shared" ref="AT18:AT24" si="29">AS18</f>
        <v>860</v>
      </c>
      <c r="AU18" s="41">
        <v>833</v>
      </c>
      <c r="AV18" s="41">
        <v>785</v>
      </c>
      <c r="AW18" s="41">
        <v>321</v>
      </c>
      <c r="AX18" s="41">
        <v>314</v>
      </c>
      <c r="AY18" s="23">
        <f t="shared" ref="AY18:AY24" si="30">AX18</f>
        <v>314</v>
      </c>
      <c r="AZ18" s="41">
        <v>308</v>
      </c>
      <c r="BA18" s="41">
        <v>318</v>
      </c>
      <c r="BB18" s="41">
        <v>245</v>
      </c>
      <c r="BC18" s="41">
        <v>241</v>
      </c>
      <c r="BD18" s="23">
        <f t="shared" ref="BD18:BD24" si="31">BC18</f>
        <v>241</v>
      </c>
      <c r="BE18" s="41">
        <f t="shared" ref="BE18:BG18" si="32">BD18</f>
        <v>241</v>
      </c>
      <c r="BF18" s="41">
        <f t="shared" si="32"/>
        <v>241</v>
      </c>
      <c r="BG18" s="41">
        <f t="shared" si="32"/>
        <v>241</v>
      </c>
      <c r="BH18" s="41">
        <f>BG18</f>
        <v>241</v>
      </c>
      <c r="BI18" s="23">
        <f>BH18</f>
        <v>241</v>
      </c>
      <c r="BK18" s="109"/>
      <c r="BL18" s="476"/>
    </row>
    <row r="19" spans="1:64">
      <c r="A19" s="1" t="s">
        <v>84</v>
      </c>
      <c r="B19" s="41">
        <v>11172</v>
      </c>
      <c r="C19" s="41">
        <v>11338</v>
      </c>
      <c r="D19" s="41">
        <v>11614</v>
      </c>
      <c r="E19" s="22">
        <f t="shared" si="22"/>
        <v>12076</v>
      </c>
      <c r="F19" s="43">
        <v>12076</v>
      </c>
      <c r="G19" s="41">
        <v>12269</v>
      </c>
      <c r="H19" s="41">
        <v>12533</v>
      </c>
      <c r="I19" s="41">
        <v>12713</v>
      </c>
      <c r="J19" s="22">
        <f t="shared" si="23"/>
        <v>12807</v>
      </c>
      <c r="K19" s="43">
        <v>12807</v>
      </c>
      <c r="L19" s="41">
        <v>12842</v>
      </c>
      <c r="M19" s="41">
        <v>12820</v>
      </c>
      <c r="N19" s="41">
        <v>12712</v>
      </c>
      <c r="O19" s="22">
        <f t="shared" si="24"/>
        <v>12672</v>
      </c>
      <c r="P19" s="43">
        <v>12672</v>
      </c>
      <c r="Q19" s="41">
        <v>12628</v>
      </c>
      <c r="R19" s="41">
        <v>12605</v>
      </c>
      <c r="S19" s="41">
        <v>12571</v>
      </c>
      <c r="T19" s="22">
        <f t="shared" si="25"/>
        <v>12645</v>
      </c>
      <c r="U19" s="43">
        <v>12645</v>
      </c>
      <c r="V19" s="41">
        <v>12594</v>
      </c>
      <c r="W19" s="41">
        <v>12601</v>
      </c>
      <c r="X19" s="41">
        <v>12527</v>
      </c>
      <c r="Y19" s="22">
        <f t="shared" si="26"/>
        <v>12502</v>
      </c>
      <c r="Z19" s="43">
        <v>12502</v>
      </c>
      <c r="AA19" s="41">
        <v>12405</v>
      </c>
      <c r="AB19" s="41">
        <v>12182</v>
      </c>
      <c r="AC19" s="41">
        <v>11969</v>
      </c>
      <c r="AD19" s="41">
        <v>11820</v>
      </c>
      <c r="AE19" s="23">
        <f t="shared" ref="AE19:AE24" si="33">AD19</f>
        <v>11820</v>
      </c>
      <c r="AF19" s="41">
        <v>11643</v>
      </c>
      <c r="AG19" s="41">
        <v>11341</v>
      </c>
      <c r="AH19" s="41">
        <v>11113</v>
      </c>
      <c r="AI19" s="41">
        <v>10918</v>
      </c>
      <c r="AJ19" s="23">
        <f t="shared" si="27"/>
        <v>10918</v>
      </c>
      <c r="AK19" s="41">
        <v>10755</v>
      </c>
      <c r="AL19" s="41">
        <v>10617</v>
      </c>
      <c r="AM19" s="41">
        <v>10508</v>
      </c>
      <c r="AN19" s="41">
        <v>10550</v>
      </c>
      <c r="AO19" s="23">
        <f t="shared" si="28"/>
        <v>10550</v>
      </c>
      <c r="AP19" s="41">
        <v>10493</v>
      </c>
      <c r="AQ19" s="41">
        <v>10455</v>
      </c>
      <c r="AR19" s="41">
        <v>10484</v>
      </c>
      <c r="AS19" s="41">
        <v>10661</v>
      </c>
      <c r="AT19" s="23">
        <f t="shared" si="29"/>
        <v>10661</v>
      </c>
      <c r="AU19" s="41">
        <v>10696</v>
      </c>
      <c r="AV19" s="41">
        <v>10976</v>
      </c>
      <c r="AW19" s="41">
        <v>11236</v>
      </c>
      <c r="AX19" s="41">
        <v>11412</v>
      </c>
      <c r="AY19" s="23">
        <f t="shared" si="30"/>
        <v>11412</v>
      </c>
      <c r="AZ19" s="41">
        <v>11459</v>
      </c>
      <c r="BA19" s="41">
        <v>11658</v>
      </c>
      <c r="BB19" s="41">
        <v>12078</v>
      </c>
      <c r="BC19" s="41">
        <v>15361</v>
      </c>
      <c r="BD19" s="23">
        <f t="shared" si="31"/>
        <v>15361</v>
      </c>
      <c r="BE19" s="22">
        <f>BD19-Cash_Flow_Qtr!BE68-Cash_Flow_Qtr!BE71-Cash_Flow_Qtr!BE33-Cash_Flow_Qtr!BE34-Cash_Flow_Qtr!BE11</f>
        <v>15850.338727458047</v>
      </c>
      <c r="BF19" s="22">
        <f>BE19-Cash_Flow_Qtr!BF68-Cash_Flow_Qtr!BF71-Cash_Flow_Qtr!BF33-Cash_Flow_Qtr!BF34-Cash_Flow_Qtr!BF11</f>
        <v>16332.034872864384</v>
      </c>
      <c r="BG19" s="22">
        <f>BF19-Cash_Flow_Qtr!BG68-Cash_Flow_Qtr!BG71-Cash_Flow_Qtr!BG33-Cash_Flow_Qtr!BG34-Cash_Flow_Qtr!BG11</f>
        <v>16801.096073363256</v>
      </c>
      <c r="BH19" s="22">
        <f>BG19-Cash_Flow_Qtr!BH68-Cash_Flow_Qtr!BH71-Cash_Flow_Qtr!BH33-Cash_Flow_Qtr!BH34-Cash_Flow_Qtr!BH11</f>
        <v>17345.664609832187</v>
      </c>
      <c r="BI19" s="23">
        <f t="shared" ref="BI19:BI24" si="34">BH19</f>
        <v>17345.664609832187</v>
      </c>
      <c r="BK19" s="109"/>
      <c r="BL19" s="476"/>
    </row>
    <row r="20" spans="1:64">
      <c r="A20" s="1" t="s">
        <v>33</v>
      </c>
      <c r="B20" s="41">
        <v>5105</v>
      </c>
      <c r="C20" s="41">
        <v>5126</v>
      </c>
      <c r="D20" s="41">
        <v>5122</v>
      </c>
      <c r="E20" s="22">
        <f t="shared" si="22"/>
        <v>5126</v>
      </c>
      <c r="F20" s="43">
        <v>5126</v>
      </c>
      <c r="G20" s="41">
        <v>5132</v>
      </c>
      <c r="H20" s="41">
        <v>5128</v>
      </c>
      <c r="I20" s="41">
        <v>5128</v>
      </c>
      <c r="J20" s="22">
        <f t="shared" si="23"/>
        <v>5324</v>
      </c>
      <c r="K20" s="43">
        <v>5324</v>
      </c>
      <c r="L20" s="41">
        <v>5342</v>
      </c>
      <c r="M20" s="41">
        <v>5347</v>
      </c>
      <c r="N20" s="41">
        <v>5344</v>
      </c>
      <c r="O20" s="22">
        <f t="shared" si="24"/>
        <v>5559</v>
      </c>
      <c r="P20" s="43">
        <v>5559</v>
      </c>
      <c r="Q20" s="41">
        <v>5558</v>
      </c>
      <c r="R20" s="41">
        <v>5550</v>
      </c>
      <c r="S20" s="41">
        <v>5722</v>
      </c>
      <c r="T20" s="22">
        <f t="shared" si="25"/>
        <v>7840</v>
      </c>
      <c r="U20" s="43">
        <v>7840</v>
      </c>
      <c r="V20" s="41">
        <v>7967</v>
      </c>
      <c r="W20" s="41">
        <v>8051</v>
      </c>
      <c r="X20" s="41">
        <v>8063</v>
      </c>
      <c r="Y20" s="22">
        <f t="shared" si="26"/>
        <v>8060</v>
      </c>
      <c r="Z20" s="43">
        <v>8060</v>
      </c>
      <c r="AA20" s="41">
        <v>8057</v>
      </c>
      <c r="AB20" s="41">
        <v>8064</v>
      </c>
      <c r="AC20" s="41">
        <v>8071</v>
      </c>
      <c r="AD20" s="41">
        <v>8081</v>
      </c>
      <c r="AE20" s="23">
        <f>AD20</f>
        <v>8081</v>
      </c>
      <c r="AF20" s="41">
        <v>8074</v>
      </c>
      <c r="AG20" s="41">
        <v>8076</v>
      </c>
      <c r="AH20" s="41">
        <v>8070</v>
      </c>
      <c r="AI20" s="41">
        <v>8068</v>
      </c>
      <c r="AJ20" s="23">
        <f t="shared" si="27"/>
        <v>8068</v>
      </c>
      <c r="AK20" s="41">
        <v>8065</v>
      </c>
      <c r="AL20" s="41">
        <v>8055</v>
      </c>
      <c r="AM20" s="41">
        <v>8045</v>
      </c>
      <c r="AN20" s="41">
        <v>8057</v>
      </c>
      <c r="AO20" s="23">
        <f t="shared" si="28"/>
        <v>8057</v>
      </c>
      <c r="AP20" s="41">
        <v>8063</v>
      </c>
      <c r="AQ20" s="41">
        <v>8061</v>
      </c>
      <c r="AR20" s="41">
        <v>8069</v>
      </c>
      <c r="AS20" s="41">
        <v>8093</v>
      </c>
      <c r="AT20" s="23">
        <f t="shared" si="29"/>
        <v>8093</v>
      </c>
      <c r="AU20" s="41">
        <v>8089</v>
      </c>
      <c r="AV20" s="41">
        <v>8108</v>
      </c>
      <c r="AW20" s="41">
        <v>8112</v>
      </c>
      <c r="AX20" s="41">
        <v>8084</v>
      </c>
      <c r="AY20" s="23">
        <f t="shared" si="30"/>
        <v>8084</v>
      </c>
      <c r="AZ20" s="41">
        <v>8091</v>
      </c>
      <c r="BA20" s="41">
        <v>7280</v>
      </c>
      <c r="BB20" s="41">
        <v>7281</v>
      </c>
      <c r="BC20" s="41">
        <v>17275</v>
      </c>
      <c r="BD20" s="23">
        <f t="shared" si="31"/>
        <v>17275</v>
      </c>
      <c r="BE20" s="22">
        <f>BD20-Cash_Flow_Qtr!BE35-Cash_Flow_Qtr!BE36</f>
        <v>17275</v>
      </c>
      <c r="BF20" s="22">
        <f>BE20-Cash_Flow_Qtr!BF35-Cash_Flow_Qtr!BF36</f>
        <v>17275</v>
      </c>
      <c r="BG20" s="22">
        <f>BF20-Cash_Flow_Qtr!BG35-Cash_Flow_Qtr!BG36</f>
        <v>17275</v>
      </c>
      <c r="BH20" s="22">
        <f>BG20-Cash_Flow_Qtr!BH35-Cash_Flow_Qtr!BH36</f>
        <v>17275</v>
      </c>
      <c r="BI20" s="23">
        <f t="shared" si="34"/>
        <v>17275</v>
      </c>
      <c r="BK20" s="109"/>
      <c r="BL20" s="476"/>
    </row>
    <row r="21" spans="1:64">
      <c r="A21" s="1" t="s">
        <v>271</v>
      </c>
      <c r="B21" s="41">
        <v>2809</v>
      </c>
      <c r="C21" s="41">
        <v>2763</v>
      </c>
      <c r="D21" s="41">
        <v>2706</v>
      </c>
      <c r="E21" s="22">
        <f t="shared" si="22"/>
        <v>2657</v>
      </c>
      <c r="F21" s="43">
        <v>2657</v>
      </c>
      <c r="G21" s="41">
        <v>2594</v>
      </c>
      <c r="H21" s="41">
        <v>2544</v>
      </c>
      <c r="I21" s="41">
        <v>2488</v>
      </c>
      <c r="J21" s="22">
        <f t="shared" si="23"/>
        <v>2540</v>
      </c>
      <c r="K21" s="43">
        <v>2540</v>
      </c>
      <c r="L21" s="41">
        <v>2496</v>
      </c>
      <c r="M21" s="41">
        <v>2567</v>
      </c>
      <c r="N21" s="41">
        <v>2523</v>
      </c>
      <c r="O21" s="22">
        <f t="shared" si="24"/>
        <v>2573</v>
      </c>
      <c r="P21" s="43">
        <v>2573</v>
      </c>
      <c r="Q21" s="41">
        <v>2525</v>
      </c>
      <c r="R21" s="41">
        <v>2494</v>
      </c>
      <c r="S21" s="41">
        <v>2530</v>
      </c>
      <c r="T21" s="22">
        <f t="shared" si="25"/>
        <v>3429</v>
      </c>
      <c r="U21" s="43">
        <v>3429</v>
      </c>
      <c r="V21" s="41">
        <v>3498</v>
      </c>
      <c r="W21" s="41">
        <v>3761</v>
      </c>
      <c r="X21" s="41">
        <v>3587</v>
      </c>
      <c r="Y21" s="22">
        <f t="shared" si="26"/>
        <v>3338</v>
      </c>
      <c r="Z21" s="43">
        <v>3338</v>
      </c>
      <c r="AA21" s="41">
        <v>3256</v>
      </c>
      <c r="AB21" s="41">
        <v>3019</v>
      </c>
      <c r="AC21" s="41">
        <v>2941</v>
      </c>
      <c r="AD21" s="41">
        <v>2843</v>
      </c>
      <c r="AE21" s="23">
        <f>AD21</f>
        <v>2843</v>
      </c>
      <c r="AF21" s="41">
        <v>2773</v>
      </c>
      <c r="AG21" s="41">
        <v>2702</v>
      </c>
      <c r="AH21" s="41">
        <v>2631</v>
      </c>
      <c r="AI21" s="41">
        <v>2562</v>
      </c>
      <c r="AJ21" s="23">
        <f t="shared" si="27"/>
        <v>2562</v>
      </c>
      <c r="AK21" s="41">
        <v>2492</v>
      </c>
      <c r="AL21" s="41">
        <v>2431</v>
      </c>
      <c r="AM21" s="41">
        <v>2371</v>
      </c>
      <c r="AN21" s="41">
        <v>2311</v>
      </c>
      <c r="AO21" s="23">
        <f t="shared" si="28"/>
        <v>2311</v>
      </c>
      <c r="AP21" s="41">
        <v>2254</v>
      </c>
      <c r="AQ21" s="41">
        <v>2194</v>
      </c>
      <c r="AR21" s="41">
        <v>2143</v>
      </c>
      <c r="AS21" s="41">
        <v>2094</v>
      </c>
      <c r="AT21" s="23">
        <f t="shared" si="29"/>
        <v>2094</v>
      </c>
      <c r="AU21" s="41">
        <v>2034</v>
      </c>
      <c r="AV21" s="41">
        <v>2067</v>
      </c>
      <c r="AW21" s="41">
        <v>2011</v>
      </c>
      <c r="AX21" s="41">
        <v>1957</v>
      </c>
      <c r="AY21" s="23">
        <f t="shared" si="30"/>
        <v>1957</v>
      </c>
      <c r="AZ21" s="41">
        <v>1904</v>
      </c>
      <c r="BA21" s="41">
        <v>1542</v>
      </c>
      <c r="BB21" s="41">
        <v>1495</v>
      </c>
      <c r="BC21" s="41">
        <v>1567</v>
      </c>
      <c r="BD21" s="23">
        <f t="shared" si="31"/>
        <v>1567</v>
      </c>
      <c r="BE21" s="22">
        <f>BD21-Cash_Flow_Qtr!BE70-Cash_Flow_Qtr!BE39-Cash_Flow_Qtr!BE46</f>
        <v>1567</v>
      </c>
      <c r="BF21" s="22">
        <f>BE21-Cash_Flow_Qtr!BF70-Cash_Flow_Qtr!BF39-Cash_Flow_Qtr!BF46</f>
        <v>1567</v>
      </c>
      <c r="BG21" s="22">
        <f>BF21-Cash_Flow_Qtr!BG70-Cash_Flow_Qtr!BG39-Cash_Flow_Qtr!BG46</f>
        <v>1567</v>
      </c>
      <c r="BH21" s="22">
        <f>BG21-Cash_Flow_Qtr!BH70-Cash_Flow_Qtr!BH39-Cash_Flow_Qtr!BH46</f>
        <v>1567</v>
      </c>
      <c r="BI21" s="23">
        <f t="shared" si="34"/>
        <v>1567</v>
      </c>
      <c r="BK21" s="109"/>
      <c r="BL21" s="476"/>
    </row>
    <row r="22" spans="1:64">
      <c r="A22" s="1" t="s">
        <v>67</v>
      </c>
      <c r="B22" s="41">
        <v>6485</v>
      </c>
      <c r="C22" s="41">
        <v>6264</v>
      </c>
      <c r="D22" s="41">
        <v>6146</v>
      </c>
      <c r="E22" s="22">
        <f>+F22</f>
        <v>265</v>
      </c>
      <c r="F22" s="43">
        <v>265</v>
      </c>
      <c r="G22" s="41">
        <v>267</v>
      </c>
      <c r="H22" s="41">
        <v>267</v>
      </c>
      <c r="I22" s="41">
        <v>265</v>
      </c>
      <c r="J22" s="22">
        <f>+K22</f>
        <v>332</v>
      </c>
      <c r="K22" s="43">
        <v>332</v>
      </c>
      <c r="L22" s="41">
        <v>336</v>
      </c>
      <c r="M22" s="41">
        <v>325</v>
      </c>
      <c r="N22" s="41">
        <v>298</v>
      </c>
      <c r="O22" s="22">
        <f>+P22</f>
        <v>341</v>
      </c>
      <c r="P22" s="43">
        <v>341</v>
      </c>
      <c r="Q22" s="41">
        <v>325</v>
      </c>
      <c r="R22" s="41">
        <v>325</v>
      </c>
      <c r="S22" s="41">
        <v>323</v>
      </c>
      <c r="T22" s="22">
        <f>+U22</f>
        <v>284</v>
      </c>
      <c r="U22" s="43">
        <v>284</v>
      </c>
      <c r="V22" s="41">
        <v>281</v>
      </c>
      <c r="W22" s="41">
        <v>357</v>
      </c>
      <c r="X22" s="41">
        <v>296</v>
      </c>
      <c r="Y22" s="22">
        <f>+Z22</f>
        <v>683</v>
      </c>
      <c r="Z22" s="43">
        <v>683</v>
      </c>
      <c r="AA22" s="41">
        <v>678</v>
      </c>
      <c r="AB22" s="41">
        <v>729</v>
      </c>
      <c r="AC22" s="41">
        <v>704</v>
      </c>
      <c r="AD22" s="41">
        <v>86</v>
      </c>
      <c r="AE22" s="23">
        <f>AD22</f>
        <v>86</v>
      </c>
      <c r="AF22" s="41">
        <v>79</v>
      </c>
      <c r="AG22" s="41">
        <v>84</v>
      </c>
      <c r="AH22" s="41">
        <v>74</v>
      </c>
      <c r="AI22" s="41">
        <v>77</v>
      </c>
      <c r="AJ22" s="23">
        <f t="shared" si="27"/>
        <v>77</v>
      </c>
      <c r="AK22" s="41">
        <v>91</v>
      </c>
      <c r="AL22" s="41">
        <v>106</v>
      </c>
      <c r="AM22" s="41">
        <v>77</v>
      </c>
      <c r="AN22" s="41">
        <v>63</v>
      </c>
      <c r="AO22" s="23">
        <f t="shared" si="28"/>
        <v>63</v>
      </c>
      <c r="AP22" s="41">
        <v>65</v>
      </c>
      <c r="AQ22" s="41">
        <v>66</v>
      </c>
      <c r="AR22" s="41">
        <v>64</v>
      </c>
      <c r="AS22" s="41">
        <v>59</v>
      </c>
      <c r="AT22" s="23">
        <f t="shared" si="29"/>
        <v>59</v>
      </c>
      <c r="AU22" s="41">
        <v>68</v>
      </c>
      <c r="AV22" s="41">
        <v>0</v>
      </c>
      <c r="AW22" s="41">
        <v>44</v>
      </c>
      <c r="AX22" s="41">
        <v>185</v>
      </c>
      <c r="AY22" s="23">
        <f t="shared" si="30"/>
        <v>185</v>
      </c>
      <c r="AZ22" s="41">
        <v>137</v>
      </c>
      <c r="BA22" s="41">
        <v>136</v>
      </c>
      <c r="BB22" s="41">
        <v>44</v>
      </c>
      <c r="BC22" s="41">
        <v>107</v>
      </c>
      <c r="BD22" s="23">
        <f t="shared" si="31"/>
        <v>107</v>
      </c>
      <c r="BE22" s="41">
        <f>BD22</f>
        <v>107</v>
      </c>
      <c r="BF22" s="41">
        <f>BE22</f>
        <v>107</v>
      </c>
      <c r="BG22" s="41">
        <f>BF22</f>
        <v>107</v>
      </c>
      <c r="BH22" s="41">
        <f>BG22</f>
        <v>107</v>
      </c>
      <c r="BI22" s="23">
        <f t="shared" si="34"/>
        <v>107</v>
      </c>
      <c r="BK22" s="109"/>
      <c r="BL22" s="476"/>
    </row>
    <row r="23" spans="1:64">
      <c r="A23" s="1" t="s">
        <v>272</v>
      </c>
      <c r="B23" s="41">
        <v>1154</v>
      </c>
      <c r="C23" s="41">
        <v>1256</v>
      </c>
      <c r="D23" s="41">
        <v>1277</v>
      </c>
      <c r="E23" s="22">
        <f>+F23</f>
        <v>1284</v>
      </c>
      <c r="F23" s="43">
        <v>1284</v>
      </c>
      <c r="G23" s="41">
        <v>1297</v>
      </c>
      <c r="H23" s="41">
        <v>1312</v>
      </c>
      <c r="I23" s="41">
        <v>1303</v>
      </c>
      <c r="J23" s="22">
        <f>+K23</f>
        <v>1317</v>
      </c>
      <c r="K23" s="43">
        <v>1317</v>
      </c>
      <c r="L23" s="41">
        <v>1319</v>
      </c>
      <c r="M23" s="41">
        <v>1278</v>
      </c>
      <c r="N23" s="41">
        <v>1270</v>
      </c>
      <c r="O23" s="22">
        <f>+P23</f>
        <v>1260</v>
      </c>
      <c r="P23" s="43">
        <v>1260</v>
      </c>
      <c r="Q23" s="41">
        <v>1248</v>
      </c>
      <c r="R23" s="41">
        <v>1203</v>
      </c>
      <c r="S23" s="41">
        <v>1190</v>
      </c>
      <c r="T23" s="22">
        <f>+U23</f>
        <v>1087</v>
      </c>
      <c r="U23" s="43">
        <v>1087</v>
      </c>
      <c r="V23" s="41">
        <v>1183</v>
      </c>
      <c r="W23" s="41">
        <v>1142</v>
      </c>
      <c r="X23" s="41">
        <v>1117</v>
      </c>
      <c r="Y23" s="22">
        <f>+Z23</f>
        <v>1092</v>
      </c>
      <c r="Z23" s="43">
        <v>1092</v>
      </c>
      <c r="AA23" s="41">
        <v>1124</v>
      </c>
      <c r="AB23" s="41">
        <v>1066</v>
      </c>
      <c r="AC23" s="41">
        <v>1052</v>
      </c>
      <c r="AD23" s="41">
        <v>1016</v>
      </c>
      <c r="AE23" s="23">
        <f t="shared" si="33"/>
        <v>1016</v>
      </c>
      <c r="AF23" s="41">
        <v>980</v>
      </c>
      <c r="AG23" s="41">
        <v>883</v>
      </c>
      <c r="AH23" s="41">
        <v>963</v>
      </c>
      <c r="AI23" s="41">
        <v>975</v>
      </c>
      <c r="AJ23" s="23">
        <f t="shared" si="27"/>
        <v>975</v>
      </c>
      <c r="AK23" s="41">
        <v>992</v>
      </c>
      <c r="AL23" s="41">
        <v>981</v>
      </c>
      <c r="AM23" s="41">
        <v>979</v>
      </c>
      <c r="AN23" s="41">
        <v>983</v>
      </c>
      <c r="AO23" s="23">
        <f t="shared" si="28"/>
        <v>983</v>
      </c>
      <c r="AP23" s="41">
        <v>969</v>
      </c>
      <c r="AQ23" s="41">
        <v>1025</v>
      </c>
      <c r="AR23" s="41">
        <v>1061</v>
      </c>
      <c r="AS23" s="41">
        <v>1035</v>
      </c>
      <c r="AT23" s="23">
        <f t="shared" si="29"/>
        <v>1035</v>
      </c>
      <c r="AU23" s="41">
        <v>1042</v>
      </c>
      <c r="AV23" s="41">
        <v>1026</v>
      </c>
      <c r="AW23" s="41">
        <v>1030</v>
      </c>
      <c r="AX23" s="41">
        <v>999</v>
      </c>
      <c r="AY23" s="23">
        <f t="shared" si="30"/>
        <v>999</v>
      </c>
      <c r="AZ23" s="41">
        <v>1001</v>
      </c>
      <c r="BA23" s="41">
        <v>1036</v>
      </c>
      <c r="BB23" s="41">
        <v>1050</v>
      </c>
      <c r="BC23" s="41">
        <v>1048</v>
      </c>
      <c r="BD23" s="23">
        <f t="shared" si="31"/>
        <v>1048</v>
      </c>
      <c r="BE23" s="41">
        <f t="shared" ref="BE23:BG24" si="35">BD23</f>
        <v>1048</v>
      </c>
      <c r="BF23" s="41">
        <f t="shared" si="35"/>
        <v>1048</v>
      </c>
      <c r="BG23" s="41">
        <f t="shared" si="35"/>
        <v>1048</v>
      </c>
      <c r="BH23" s="41">
        <f>BG23</f>
        <v>1048</v>
      </c>
      <c r="BI23" s="23">
        <f t="shared" si="34"/>
        <v>1048</v>
      </c>
      <c r="BK23" s="109"/>
      <c r="BL23" s="476"/>
    </row>
    <row r="24" spans="1:64">
      <c r="A24" s="1" t="s">
        <v>273</v>
      </c>
      <c r="B24" s="41">
        <v>1328</v>
      </c>
      <c r="C24" s="41">
        <v>1374</v>
      </c>
      <c r="D24" s="41">
        <v>1326</v>
      </c>
      <c r="E24" s="22">
        <f t="shared" si="22"/>
        <v>1408</v>
      </c>
      <c r="F24" s="43">
        <v>1408</v>
      </c>
      <c r="G24" s="41">
        <v>1421</v>
      </c>
      <c r="H24" s="41">
        <v>1409</v>
      </c>
      <c r="I24" s="41">
        <v>1415</v>
      </c>
      <c r="J24" s="22">
        <f t="shared" si="23"/>
        <v>1416</v>
      </c>
      <c r="K24" s="43">
        <v>1416</v>
      </c>
      <c r="L24" s="41">
        <v>1444</v>
      </c>
      <c r="M24" s="41">
        <v>1470</v>
      </c>
      <c r="N24" s="41">
        <v>1679</v>
      </c>
      <c r="O24" s="22">
        <f t="shared" si="24"/>
        <v>2027</v>
      </c>
      <c r="P24" s="43">
        <v>2027</v>
      </c>
      <c r="Q24" s="41">
        <v>1969</v>
      </c>
      <c r="R24" s="41">
        <v>1800</v>
      </c>
      <c r="S24" s="41">
        <v>1852</v>
      </c>
      <c r="T24" s="22">
        <f t="shared" si="25"/>
        <v>1826</v>
      </c>
      <c r="U24" s="43">
        <v>1826</v>
      </c>
      <c r="V24" s="41">
        <v>2941</v>
      </c>
      <c r="W24" s="41">
        <v>3099</v>
      </c>
      <c r="X24" s="41">
        <v>3275</v>
      </c>
      <c r="Y24" s="22">
        <f t="shared" si="26"/>
        <v>3585</v>
      </c>
      <c r="Z24" s="43">
        <v>3585</v>
      </c>
      <c r="AA24" s="41">
        <v>4428</v>
      </c>
      <c r="AB24" s="41">
        <v>5481</v>
      </c>
      <c r="AC24" s="41">
        <v>3502</v>
      </c>
      <c r="AD24" s="41">
        <v>4712</v>
      </c>
      <c r="AE24" s="23">
        <f t="shared" si="33"/>
        <v>4712</v>
      </c>
      <c r="AF24" s="41">
        <v>4646</v>
      </c>
      <c r="AG24" s="41">
        <v>4889</v>
      </c>
      <c r="AH24" s="41">
        <v>5312</v>
      </c>
      <c r="AI24" s="41">
        <v>5591</v>
      </c>
      <c r="AJ24" s="23">
        <f t="shared" si="27"/>
        <v>5591</v>
      </c>
      <c r="AK24" s="41">
        <v>5814</v>
      </c>
      <c r="AL24" s="41">
        <v>5747</v>
      </c>
      <c r="AM24" s="41">
        <v>4814</v>
      </c>
      <c r="AN24" s="41">
        <v>4163</v>
      </c>
      <c r="AO24" s="23">
        <f t="shared" si="28"/>
        <v>4163</v>
      </c>
      <c r="AP24" s="41">
        <v>4320</v>
      </c>
      <c r="AQ24" s="41">
        <v>4456</v>
      </c>
      <c r="AR24" s="41">
        <v>4562</v>
      </c>
      <c r="AS24" s="41">
        <v>4935</v>
      </c>
      <c r="AT24" s="23">
        <f t="shared" si="29"/>
        <v>4935</v>
      </c>
      <c r="AU24" s="41">
        <v>5190</v>
      </c>
      <c r="AV24" s="41">
        <v>5319</v>
      </c>
      <c r="AW24" s="41">
        <v>5505</v>
      </c>
      <c r="AX24" s="41">
        <v>5414</v>
      </c>
      <c r="AY24" s="23">
        <f t="shared" si="30"/>
        <v>5414</v>
      </c>
      <c r="AZ24" s="41">
        <v>5932</v>
      </c>
      <c r="BA24" s="41">
        <v>5849</v>
      </c>
      <c r="BB24" s="41">
        <v>5698</v>
      </c>
      <c r="BC24" s="19">
        <v>4177</v>
      </c>
      <c r="BD24" s="23">
        <f t="shared" si="31"/>
        <v>4177</v>
      </c>
      <c r="BE24" s="41">
        <f t="shared" si="35"/>
        <v>4177</v>
      </c>
      <c r="BF24" s="41">
        <f t="shared" si="35"/>
        <v>4177</v>
      </c>
      <c r="BG24" s="41">
        <f t="shared" si="35"/>
        <v>4177</v>
      </c>
      <c r="BH24" s="19">
        <f t="shared" ref="BH24" si="36">BG24</f>
        <v>4177</v>
      </c>
      <c r="BI24" s="23">
        <f t="shared" si="34"/>
        <v>4177</v>
      </c>
      <c r="BK24" s="109"/>
      <c r="BL24" s="476"/>
    </row>
    <row r="25" spans="1:64">
      <c r="A25" s="9" t="s">
        <v>85</v>
      </c>
      <c r="B25" s="24">
        <f t="shared" ref="B25:Z25" si="37">SUM(B18:B24)</f>
        <v>31354</v>
      </c>
      <c r="C25" s="24">
        <f t="shared" si="37"/>
        <v>31296</v>
      </c>
      <c r="D25" s="24">
        <f t="shared" si="37"/>
        <v>31422</v>
      </c>
      <c r="E25" s="24">
        <f t="shared" si="37"/>
        <v>26174</v>
      </c>
      <c r="F25" s="25">
        <f t="shared" si="37"/>
        <v>26174</v>
      </c>
      <c r="G25" s="24">
        <f t="shared" si="37"/>
        <v>25960</v>
      </c>
      <c r="H25" s="24">
        <f t="shared" si="37"/>
        <v>26102</v>
      </c>
      <c r="I25" s="24">
        <f t="shared" si="37"/>
        <v>26713</v>
      </c>
      <c r="J25" s="24">
        <f t="shared" si="37"/>
        <v>27509</v>
      </c>
      <c r="K25" s="25">
        <f t="shared" si="37"/>
        <v>27509</v>
      </c>
      <c r="L25" s="24">
        <f t="shared" si="37"/>
        <v>27306</v>
      </c>
      <c r="M25" s="24">
        <f t="shared" si="37"/>
        <v>27205</v>
      </c>
      <c r="N25" s="24">
        <f t="shared" si="37"/>
        <v>26865</v>
      </c>
      <c r="O25" s="24">
        <f t="shared" si="37"/>
        <v>27172</v>
      </c>
      <c r="P25" s="25">
        <f t="shared" si="37"/>
        <v>27172</v>
      </c>
      <c r="Q25" s="24">
        <f t="shared" si="37"/>
        <v>27006</v>
      </c>
      <c r="R25" s="24">
        <f t="shared" si="37"/>
        <v>26794</v>
      </c>
      <c r="S25" s="24">
        <f t="shared" si="37"/>
        <v>26973</v>
      </c>
      <c r="T25" s="24">
        <f t="shared" si="37"/>
        <v>29529</v>
      </c>
      <c r="U25" s="25">
        <f t="shared" si="37"/>
        <v>29529</v>
      </c>
      <c r="V25" s="24">
        <f t="shared" si="37"/>
        <v>30700</v>
      </c>
      <c r="W25" s="24">
        <f t="shared" si="37"/>
        <v>31150</v>
      </c>
      <c r="X25" s="24">
        <f t="shared" si="37"/>
        <v>30942</v>
      </c>
      <c r="Y25" s="24">
        <f t="shared" si="37"/>
        <v>31396</v>
      </c>
      <c r="Z25" s="25">
        <f t="shared" si="37"/>
        <v>31396</v>
      </c>
      <c r="AA25" s="24">
        <f t="shared" ref="AA25:AM25" si="38">SUM(AA18:AA24)</f>
        <v>32064</v>
      </c>
      <c r="AB25" s="24">
        <f t="shared" si="38"/>
        <v>32595</v>
      </c>
      <c r="AC25" s="24">
        <f t="shared" si="38"/>
        <v>30249</v>
      </c>
      <c r="AD25" s="24">
        <f t="shared" si="38"/>
        <v>30494</v>
      </c>
      <c r="AE25" s="25">
        <f t="shared" si="38"/>
        <v>30494</v>
      </c>
      <c r="AF25" s="24">
        <f t="shared" si="38"/>
        <v>30090</v>
      </c>
      <c r="AG25" s="24">
        <f t="shared" si="38"/>
        <v>29840</v>
      </c>
      <c r="AH25" s="24">
        <f t="shared" si="38"/>
        <v>29958</v>
      </c>
      <c r="AI25" s="24">
        <f t="shared" si="38"/>
        <v>29886</v>
      </c>
      <c r="AJ25" s="25">
        <f t="shared" si="38"/>
        <v>29886</v>
      </c>
      <c r="AK25" s="24">
        <f t="shared" si="38"/>
        <v>29789</v>
      </c>
      <c r="AL25" s="24">
        <f t="shared" si="38"/>
        <v>29479</v>
      </c>
      <c r="AM25" s="24">
        <f t="shared" si="38"/>
        <v>28307</v>
      </c>
      <c r="AN25" s="24">
        <f t="shared" ref="AN25:AR25" si="39">SUM(AN18:AN24)</f>
        <v>27577</v>
      </c>
      <c r="AO25" s="25">
        <f t="shared" si="39"/>
        <v>27577</v>
      </c>
      <c r="AP25" s="24">
        <f t="shared" si="39"/>
        <v>27536</v>
      </c>
      <c r="AQ25" s="24">
        <f t="shared" si="39"/>
        <v>27362</v>
      </c>
      <c r="AR25" s="24">
        <f t="shared" si="39"/>
        <v>27346</v>
      </c>
      <c r="AS25" s="24">
        <f t="shared" ref="AS25:AW25" si="40">SUM(AS18:AS24)</f>
        <v>27737</v>
      </c>
      <c r="AT25" s="25">
        <f t="shared" si="40"/>
        <v>27737</v>
      </c>
      <c r="AU25" s="24">
        <f t="shared" si="40"/>
        <v>27952</v>
      </c>
      <c r="AV25" s="24">
        <f t="shared" si="40"/>
        <v>28281</v>
      </c>
      <c r="AW25" s="24">
        <f t="shared" si="40"/>
        <v>28259</v>
      </c>
      <c r="AX25" s="24">
        <f t="shared" ref="AX25:BB25" si="41">SUM(AX18:AX24)</f>
        <v>28365</v>
      </c>
      <c r="AY25" s="25">
        <f t="shared" si="41"/>
        <v>28365</v>
      </c>
      <c r="AZ25" s="24">
        <f t="shared" si="41"/>
        <v>28832</v>
      </c>
      <c r="BA25" s="24">
        <f t="shared" si="41"/>
        <v>27819</v>
      </c>
      <c r="BB25" s="24">
        <f t="shared" si="41"/>
        <v>27891</v>
      </c>
      <c r="BC25" s="24">
        <f t="shared" ref="BC25:BG25" si="42">SUM(BC18:BC24)</f>
        <v>39776</v>
      </c>
      <c r="BD25" s="25">
        <f t="shared" si="42"/>
        <v>39776</v>
      </c>
      <c r="BE25" s="24">
        <f t="shared" si="42"/>
        <v>40265.338727458045</v>
      </c>
      <c r="BF25" s="24">
        <f t="shared" si="42"/>
        <v>40747.034872864388</v>
      </c>
      <c r="BG25" s="24">
        <f t="shared" si="42"/>
        <v>41216.096073363253</v>
      </c>
      <c r="BH25" s="24">
        <f t="shared" ref="BH25:BI25" si="43">SUM(BH18:BH24)</f>
        <v>41760.664609832187</v>
      </c>
      <c r="BI25" s="25">
        <f t="shared" si="43"/>
        <v>41760.664609832187</v>
      </c>
      <c r="BK25" s="109"/>
      <c r="BL25" s="476"/>
    </row>
    <row r="26" spans="1:64">
      <c r="B26" s="22"/>
      <c r="C26" s="22"/>
      <c r="D26" s="22"/>
      <c r="E26" s="22"/>
      <c r="F26" s="23"/>
      <c r="G26" s="22"/>
      <c r="H26" s="22"/>
      <c r="I26" s="22"/>
      <c r="J26" s="22"/>
      <c r="K26" s="23"/>
      <c r="L26" s="22"/>
      <c r="M26" s="22"/>
      <c r="N26" s="22"/>
      <c r="O26" s="22"/>
      <c r="P26" s="23"/>
      <c r="Q26" s="22"/>
      <c r="R26" s="22"/>
      <c r="S26" s="22"/>
      <c r="T26" s="22"/>
      <c r="U26" s="23"/>
      <c r="V26" s="22"/>
      <c r="W26" s="22"/>
      <c r="X26" s="22"/>
      <c r="Y26" s="22"/>
      <c r="Z26" s="23"/>
      <c r="AA26" s="22"/>
      <c r="AB26" s="22"/>
      <c r="AC26" s="22"/>
      <c r="AD26" s="22"/>
      <c r="AE26" s="23"/>
      <c r="AF26" s="22"/>
      <c r="AG26" s="22"/>
      <c r="AH26" s="22"/>
      <c r="AI26" s="22"/>
      <c r="AJ26" s="23"/>
      <c r="AK26" s="22"/>
      <c r="AL26" s="22"/>
      <c r="AM26" s="22"/>
      <c r="AN26" s="22"/>
      <c r="AO26" s="23"/>
      <c r="AP26" s="22"/>
      <c r="AQ26" s="22"/>
      <c r="AR26" s="22"/>
      <c r="AS26" s="22"/>
      <c r="AT26" s="23"/>
      <c r="AU26" s="22"/>
      <c r="AV26" s="22"/>
      <c r="AW26" s="22"/>
      <c r="AX26" s="22"/>
      <c r="AY26" s="23"/>
      <c r="AZ26" s="22"/>
      <c r="BA26" s="22"/>
      <c r="BB26" s="22"/>
      <c r="BC26" s="22"/>
      <c r="BD26" s="23"/>
      <c r="BE26" s="22"/>
      <c r="BF26" s="22"/>
      <c r="BG26" s="22"/>
      <c r="BH26" s="22"/>
      <c r="BI26" s="23"/>
      <c r="BK26" s="109"/>
      <c r="BL26" s="476"/>
    </row>
    <row r="27" spans="1:64">
      <c r="A27" s="9" t="s">
        <v>86</v>
      </c>
      <c r="B27" s="24">
        <f t="shared" ref="B27:T27" si="44">+B25+B15</f>
        <v>97775</v>
      </c>
      <c r="C27" s="24">
        <f t="shared" si="44"/>
        <v>98102</v>
      </c>
      <c r="D27" s="24">
        <f t="shared" si="44"/>
        <v>98998</v>
      </c>
      <c r="E27" s="24">
        <f t="shared" si="44"/>
        <v>94408</v>
      </c>
      <c r="F27" s="25">
        <f t="shared" si="44"/>
        <v>94408</v>
      </c>
      <c r="G27" s="24">
        <f t="shared" si="44"/>
        <v>91547</v>
      </c>
      <c r="H27" s="24">
        <f t="shared" si="44"/>
        <v>89609</v>
      </c>
      <c r="I27" s="24">
        <f t="shared" si="44"/>
        <v>88950</v>
      </c>
      <c r="J27" s="24">
        <f t="shared" si="44"/>
        <v>89997</v>
      </c>
      <c r="K27" s="25">
        <f t="shared" si="44"/>
        <v>89997</v>
      </c>
      <c r="L27" s="24">
        <f t="shared" si="44"/>
        <v>89673</v>
      </c>
      <c r="M27" s="24">
        <f t="shared" si="44"/>
        <v>90036</v>
      </c>
      <c r="N27" s="24">
        <f t="shared" si="44"/>
        <v>91007</v>
      </c>
      <c r="O27" s="24">
        <f t="shared" si="44"/>
        <v>92333</v>
      </c>
      <c r="P27" s="25">
        <f t="shared" si="44"/>
        <v>92333</v>
      </c>
      <c r="Q27" s="24">
        <f t="shared" si="44"/>
        <v>113549</v>
      </c>
      <c r="R27" s="24">
        <f t="shared" si="44"/>
        <v>113195</v>
      </c>
      <c r="S27" s="24">
        <f t="shared" si="44"/>
        <v>114659</v>
      </c>
      <c r="T27" s="24">
        <f t="shared" si="44"/>
        <v>117359</v>
      </c>
      <c r="U27" s="25">
        <f t="shared" ref="U27:AA27" si="45">+U25+U15</f>
        <v>117359</v>
      </c>
      <c r="V27" s="24">
        <f t="shared" si="45"/>
        <v>120209</v>
      </c>
      <c r="W27" s="24">
        <f t="shared" si="45"/>
        <v>126261</v>
      </c>
      <c r="X27" s="24">
        <f t="shared" si="45"/>
        <v>132598</v>
      </c>
      <c r="Y27" s="24">
        <f t="shared" si="45"/>
        <v>133625</v>
      </c>
      <c r="Z27" s="25">
        <f t="shared" si="45"/>
        <v>133625</v>
      </c>
      <c r="AA27" s="24">
        <f t="shared" si="45"/>
        <v>143075</v>
      </c>
      <c r="AB27" s="24">
        <f t="shared" ref="AB27:AM27" si="46">+AB25+AB15</f>
        <v>162872</v>
      </c>
      <c r="AC27" s="24">
        <f t="shared" si="46"/>
        <v>161261</v>
      </c>
      <c r="AD27" s="24">
        <f t="shared" si="46"/>
        <v>152136</v>
      </c>
      <c r="AE27" s="25">
        <f t="shared" si="46"/>
        <v>152136</v>
      </c>
      <c r="AF27" s="24">
        <f t="shared" si="46"/>
        <v>150035</v>
      </c>
      <c r="AG27" s="24">
        <f t="shared" si="46"/>
        <v>148935</v>
      </c>
      <c r="AH27" s="24">
        <f t="shared" si="46"/>
        <v>146846</v>
      </c>
      <c r="AI27" s="24">
        <f t="shared" si="46"/>
        <v>138552</v>
      </c>
      <c r="AJ27" s="25">
        <f t="shared" si="46"/>
        <v>138552</v>
      </c>
      <c r="AK27" s="24">
        <f t="shared" si="46"/>
        <v>135801</v>
      </c>
      <c r="AL27" s="24">
        <f t="shared" si="46"/>
        <v>135479</v>
      </c>
      <c r="AM27" s="24">
        <f t="shared" si="46"/>
        <v>137558</v>
      </c>
      <c r="AN27" s="24">
        <f t="shared" ref="AN27:AR27" si="47">+AN25+AN15</f>
        <v>137100</v>
      </c>
      <c r="AO27" s="25">
        <f t="shared" si="47"/>
        <v>137100</v>
      </c>
      <c r="AP27" s="24">
        <f t="shared" si="47"/>
        <v>136347</v>
      </c>
      <c r="AQ27" s="24">
        <f t="shared" si="47"/>
        <v>134774</v>
      </c>
      <c r="AR27" s="24">
        <f t="shared" si="47"/>
        <v>134281</v>
      </c>
      <c r="AS27" s="24">
        <f t="shared" ref="AS27:AW27" si="48">+AS25+AS15</f>
        <v>137012</v>
      </c>
      <c r="AT27" s="25">
        <f t="shared" si="48"/>
        <v>137012</v>
      </c>
      <c r="AU27" s="24">
        <f t="shared" si="48"/>
        <v>134484</v>
      </c>
      <c r="AV27" s="24">
        <f t="shared" si="48"/>
        <v>142720</v>
      </c>
      <c r="AW27" s="24">
        <f t="shared" si="48"/>
        <v>137695</v>
      </c>
      <c r="AX27" s="24">
        <f t="shared" ref="AX27:BB27" si="49">+AX25+AX15</f>
        <v>156363</v>
      </c>
      <c r="AY27" s="25">
        <f t="shared" si="49"/>
        <v>156363</v>
      </c>
      <c r="AZ27" s="24">
        <f t="shared" si="49"/>
        <v>156494</v>
      </c>
      <c r="BA27" s="24">
        <f t="shared" si="49"/>
        <v>155120</v>
      </c>
      <c r="BB27" s="24">
        <f t="shared" si="49"/>
        <v>150023</v>
      </c>
      <c r="BC27" s="24">
        <f t="shared" ref="BC27:BG27" si="50">+BC25+BC15</f>
        <v>168235</v>
      </c>
      <c r="BD27" s="25">
        <f t="shared" si="50"/>
        <v>168235</v>
      </c>
      <c r="BE27" s="24">
        <f t="shared" ca="1" si="50"/>
        <v>167526.04208831751</v>
      </c>
      <c r="BF27" s="24">
        <f t="shared" ca="1" si="50"/>
        <v>164833.11721423955</v>
      </c>
      <c r="BG27" s="24">
        <f t="shared" ca="1" si="50"/>
        <v>164020.29805558018</v>
      </c>
      <c r="BH27" s="24">
        <f t="shared" ref="BH27:BI27" ca="1" si="51">+BH25+BH15</f>
        <v>165220.98789985001</v>
      </c>
      <c r="BI27" s="25">
        <f t="shared" ca="1" si="51"/>
        <v>165220.98789985001</v>
      </c>
      <c r="BK27" s="109"/>
      <c r="BL27" s="476"/>
    </row>
    <row r="28" spans="1:64">
      <c r="B28" s="22"/>
      <c r="C28" s="22"/>
      <c r="D28" s="22"/>
      <c r="E28" s="22"/>
      <c r="F28" s="23"/>
      <c r="G28" s="22"/>
      <c r="H28" s="22"/>
      <c r="I28" s="22"/>
      <c r="J28" s="22"/>
      <c r="K28" s="23"/>
      <c r="L28" s="22"/>
      <c r="M28" s="22"/>
      <c r="N28" s="22"/>
      <c r="O28" s="22"/>
      <c r="P28" s="23"/>
      <c r="Q28" s="22"/>
      <c r="R28" s="22"/>
      <c r="S28" s="22"/>
      <c r="T28" s="22"/>
      <c r="U28" s="23"/>
      <c r="V28" s="22"/>
      <c r="W28" s="22"/>
      <c r="X28" s="22"/>
      <c r="Y28" s="22"/>
      <c r="Z28" s="23"/>
      <c r="AA28" s="22"/>
      <c r="AB28" s="22"/>
      <c r="AC28" s="22"/>
      <c r="AD28" s="22"/>
      <c r="AE28" s="23"/>
      <c r="AF28" s="22"/>
      <c r="AG28" s="22"/>
      <c r="AH28" s="22"/>
      <c r="AI28" s="22"/>
      <c r="AJ28" s="23"/>
      <c r="AK28" s="22"/>
      <c r="AL28" s="22"/>
      <c r="AM28" s="22"/>
      <c r="AN28" s="22"/>
      <c r="AO28" s="23"/>
      <c r="AP28" s="22"/>
      <c r="AQ28" s="22"/>
      <c r="AR28" s="22"/>
      <c r="AS28" s="22"/>
      <c r="AT28" s="23"/>
      <c r="AU28" s="22"/>
      <c r="AV28" s="22"/>
      <c r="AW28" s="22"/>
      <c r="AX28" s="22"/>
      <c r="AY28" s="23"/>
      <c r="AZ28" s="22"/>
      <c r="BA28" s="22"/>
      <c r="BB28" s="22"/>
      <c r="BC28" s="22"/>
      <c r="BD28" s="23"/>
      <c r="BE28" s="22"/>
      <c r="BF28" s="22"/>
      <c r="BG28" s="22"/>
      <c r="BH28" s="22"/>
      <c r="BI28" s="23"/>
      <c r="BK28" s="109"/>
    </row>
    <row r="29" spans="1:64">
      <c r="A29" s="5" t="s">
        <v>34</v>
      </c>
      <c r="B29" s="22"/>
      <c r="C29" s="22"/>
      <c r="D29" s="22"/>
      <c r="E29" s="22"/>
      <c r="F29" s="23"/>
      <c r="G29" s="22"/>
      <c r="H29" s="22"/>
      <c r="I29" s="22"/>
      <c r="J29" s="22"/>
      <c r="K29" s="23"/>
      <c r="L29" s="22"/>
      <c r="M29" s="22"/>
      <c r="N29" s="22"/>
      <c r="O29" s="22"/>
      <c r="P29" s="23"/>
      <c r="Q29" s="22"/>
      <c r="R29" s="22"/>
      <c r="S29" s="22"/>
      <c r="T29" s="22"/>
      <c r="U29" s="23"/>
      <c r="V29" s="22"/>
      <c r="W29" s="22"/>
      <c r="X29" s="22"/>
      <c r="Y29" s="22"/>
      <c r="Z29" s="23"/>
      <c r="AA29" s="22"/>
      <c r="AB29" s="22"/>
      <c r="AC29" s="22"/>
      <c r="AD29" s="22"/>
      <c r="AE29" s="23"/>
      <c r="AF29" s="22"/>
      <c r="AG29" s="22"/>
      <c r="AH29" s="22"/>
      <c r="AI29" s="22"/>
      <c r="AJ29" s="23"/>
      <c r="AK29" s="22"/>
      <c r="AL29" s="22"/>
      <c r="AM29" s="22"/>
      <c r="AN29" s="22"/>
      <c r="AO29" s="23"/>
      <c r="AP29" s="22"/>
      <c r="AQ29" s="22"/>
      <c r="AR29" s="22"/>
      <c r="AS29" s="22"/>
      <c r="AT29" s="23"/>
      <c r="AU29" s="22"/>
      <c r="AV29" s="22"/>
      <c r="AW29" s="22"/>
      <c r="AX29" s="22"/>
      <c r="AY29" s="23"/>
      <c r="AZ29" s="22"/>
      <c r="BA29" s="22"/>
      <c r="BB29" s="22"/>
      <c r="BC29" s="22"/>
      <c r="BD29" s="23"/>
      <c r="BE29" s="22"/>
      <c r="BF29" s="22"/>
      <c r="BG29" s="22"/>
      <c r="BH29" s="22"/>
      <c r="BI29" s="23"/>
      <c r="BK29" s="109"/>
    </row>
    <row r="30" spans="1:64">
      <c r="A30" t="s">
        <v>87</v>
      </c>
      <c r="B30" s="22"/>
      <c r="C30" s="22"/>
      <c r="D30" s="22"/>
      <c r="E30" s="22"/>
      <c r="F30" s="23"/>
      <c r="G30" s="22"/>
      <c r="H30" s="22"/>
      <c r="I30" s="22"/>
      <c r="J30" s="22"/>
      <c r="K30" s="23"/>
      <c r="L30" s="22"/>
      <c r="M30" s="22"/>
      <c r="N30" s="22"/>
      <c r="O30" s="22"/>
      <c r="P30" s="23"/>
      <c r="Q30" s="22"/>
      <c r="R30" s="22"/>
      <c r="S30" s="22"/>
      <c r="T30" s="22"/>
      <c r="U30" s="23"/>
      <c r="V30" s="22"/>
      <c r="W30" s="22"/>
      <c r="X30" s="22"/>
      <c r="Y30" s="22"/>
      <c r="Z30" s="23"/>
      <c r="AA30" s="22"/>
      <c r="AB30" s="22"/>
      <c r="AC30" s="22"/>
      <c r="AD30" s="22"/>
      <c r="AE30" s="23"/>
      <c r="AF30" s="22"/>
      <c r="AG30" s="22"/>
      <c r="AH30" s="22"/>
      <c r="AI30" s="22"/>
      <c r="AJ30" s="23"/>
      <c r="AK30" s="22"/>
      <c r="AL30" s="22"/>
      <c r="AM30" s="22"/>
      <c r="AN30" s="22"/>
      <c r="AO30" s="23"/>
      <c r="AP30" s="22"/>
      <c r="AQ30" s="22"/>
      <c r="AR30" s="22"/>
      <c r="AS30" s="22"/>
      <c r="AT30" s="23"/>
      <c r="AU30" s="22"/>
      <c r="AV30" s="22"/>
      <c r="AW30" s="22"/>
      <c r="AX30" s="22"/>
      <c r="AY30" s="23"/>
      <c r="AZ30" s="22"/>
      <c r="BA30" s="22"/>
      <c r="BB30" s="22"/>
      <c r="BC30" s="22"/>
      <c r="BD30" s="23"/>
      <c r="BE30" s="22"/>
      <c r="BF30" s="22"/>
      <c r="BG30" s="22"/>
      <c r="BH30" s="22"/>
      <c r="BI30" s="23"/>
      <c r="BK30" s="109"/>
    </row>
    <row r="31" spans="1:64">
      <c r="A31" s="1" t="s">
        <v>69</v>
      </c>
      <c r="B31" s="41">
        <v>11497</v>
      </c>
      <c r="C31" s="41">
        <v>11531</v>
      </c>
      <c r="D31" s="41">
        <v>11777</v>
      </c>
      <c r="E31" s="22">
        <f t="shared" ref="E31:E36" si="52">+F31</f>
        <v>10800</v>
      </c>
      <c r="F31" s="43">
        <v>10800</v>
      </c>
      <c r="G31" s="41">
        <v>11558</v>
      </c>
      <c r="H31" s="41">
        <v>11748</v>
      </c>
      <c r="I31" s="41">
        <v>11968</v>
      </c>
      <c r="J31" s="22">
        <f t="shared" ref="J31:J36" si="53">+K31</f>
        <v>11190</v>
      </c>
      <c r="K31" s="43">
        <v>11190</v>
      </c>
      <c r="L31" s="41">
        <v>11964</v>
      </c>
      <c r="M31" s="41">
        <v>12093</v>
      </c>
      <c r="N31" s="41">
        <v>12718</v>
      </c>
      <c r="O31" s="22">
        <f t="shared" ref="O31:O36" si="54">+P31</f>
        <v>12202</v>
      </c>
      <c r="P31" s="43">
        <v>12202</v>
      </c>
      <c r="Q31" s="41">
        <v>12613</v>
      </c>
      <c r="R31" s="41">
        <v>12904</v>
      </c>
      <c r="S31" s="41">
        <v>13663</v>
      </c>
      <c r="T31" s="22">
        <f t="shared" ref="T31:T36" si="55">+U31</f>
        <v>12916</v>
      </c>
      <c r="U31" s="43">
        <v>12916</v>
      </c>
      <c r="V31" s="41">
        <v>14693</v>
      </c>
      <c r="W31" s="41">
        <v>15267</v>
      </c>
      <c r="X31" s="41">
        <v>15101</v>
      </c>
      <c r="Y31" s="22">
        <f t="shared" ref="Y31:Y36" si="56">+Z31</f>
        <v>15553</v>
      </c>
      <c r="Z31" s="43">
        <v>15553</v>
      </c>
      <c r="AA31" s="41">
        <v>14963</v>
      </c>
      <c r="AB31" s="41">
        <v>13700</v>
      </c>
      <c r="AC31" s="41">
        <v>14479</v>
      </c>
      <c r="AD31" s="41">
        <v>12928</v>
      </c>
      <c r="AE31" s="23">
        <f t="shared" ref="AE31:AE36" si="57">AD31</f>
        <v>12928</v>
      </c>
      <c r="AF31" s="41">
        <v>12410</v>
      </c>
      <c r="AG31" s="41">
        <v>11450</v>
      </c>
      <c r="AH31" s="41">
        <v>10151</v>
      </c>
      <c r="AI31" s="41">
        <v>9261</v>
      </c>
      <c r="AJ31" s="23">
        <f t="shared" ref="AJ31:AJ36" si="58">AI31</f>
        <v>9261</v>
      </c>
      <c r="AK31" s="41">
        <v>8779</v>
      </c>
      <c r="AL31" s="41">
        <v>9575</v>
      </c>
      <c r="AM31" s="41">
        <v>9793</v>
      </c>
      <c r="AN31" s="41">
        <v>10200</v>
      </c>
      <c r="AO31" s="23">
        <f t="shared" ref="AO31:AO36" si="59">AN31</f>
        <v>10200</v>
      </c>
      <c r="AP31" s="41">
        <v>10274</v>
      </c>
      <c r="AQ31" s="41">
        <v>10936</v>
      </c>
      <c r="AR31" s="41">
        <v>11143</v>
      </c>
      <c r="AS31" s="41">
        <v>11964</v>
      </c>
      <c r="AT31" s="23">
        <f t="shared" ref="AT31:AT36" si="60">AS31</f>
        <v>11964</v>
      </c>
      <c r="AU31" s="41">
        <v>11616</v>
      </c>
      <c r="AV31" s="41">
        <v>11864</v>
      </c>
      <c r="AW31" s="41">
        <v>12267</v>
      </c>
      <c r="AX31" s="41">
        <v>11364</v>
      </c>
      <c r="AY31" s="23">
        <f t="shared" ref="AY31:AY36" si="61">AX31</f>
        <v>11364</v>
      </c>
      <c r="AZ31" s="41">
        <v>11034</v>
      </c>
      <c r="BA31" s="41">
        <v>11238</v>
      </c>
      <c r="BB31" s="41">
        <v>11732</v>
      </c>
      <c r="BC31" s="41">
        <v>13109</v>
      </c>
      <c r="BD31" s="23">
        <f>BC31</f>
        <v>13109</v>
      </c>
      <c r="BE31" s="22">
        <f>BE70*(-Income_Statement_Qtr!BE100/(365/4))</f>
        <v>12984.25850260645</v>
      </c>
      <c r="BF31" s="22">
        <f>BF70*(-Income_Statement_Qtr!BF100/(365/4))</f>
        <v>12646.899149422572</v>
      </c>
      <c r="BG31" s="22">
        <f>BG70*(-Income_Statement_Qtr!BG100/(365/4))</f>
        <v>12691.959971340379</v>
      </c>
      <c r="BH31" s="22">
        <f>BI31</f>
        <v>13522.990184557453</v>
      </c>
      <c r="BI31" s="23">
        <f>BI70*(-Income_Statement_Qtr!BI100/(365))</f>
        <v>13522.990184557453</v>
      </c>
      <c r="BK31" s="109"/>
      <c r="BL31" s="109"/>
    </row>
    <row r="32" spans="1:64">
      <c r="A32" s="1" t="s">
        <v>249</v>
      </c>
      <c r="B32" s="41">
        <v>11958</v>
      </c>
      <c r="C32" s="41">
        <v>13226</v>
      </c>
      <c r="D32" s="41">
        <v>12770</v>
      </c>
      <c r="E32" s="22">
        <f t="shared" si="52"/>
        <v>14014</v>
      </c>
      <c r="F32" s="43">
        <v>14014</v>
      </c>
      <c r="G32" s="41">
        <v>12790</v>
      </c>
      <c r="H32" s="41">
        <v>13534</v>
      </c>
      <c r="I32" s="41">
        <v>13243</v>
      </c>
      <c r="J32" s="22">
        <f t="shared" si="53"/>
        <v>14691</v>
      </c>
      <c r="K32" s="43">
        <v>14691</v>
      </c>
      <c r="L32" s="41">
        <v>13332</v>
      </c>
      <c r="M32" s="41">
        <v>14294</v>
      </c>
      <c r="N32" s="41">
        <v>14008</v>
      </c>
      <c r="O32" s="22">
        <f t="shared" si="54"/>
        <v>15292</v>
      </c>
      <c r="P32" s="43">
        <v>15292</v>
      </c>
      <c r="Q32" s="41">
        <v>10983</v>
      </c>
      <c r="R32" s="41">
        <v>12240</v>
      </c>
      <c r="S32" s="41">
        <v>12869</v>
      </c>
      <c r="T32" s="22">
        <f t="shared" si="55"/>
        <v>14808</v>
      </c>
      <c r="U32" s="43">
        <v>14808</v>
      </c>
      <c r="V32" s="41">
        <v>13007</v>
      </c>
      <c r="W32" s="41">
        <v>20042</v>
      </c>
      <c r="X32" s="41">
        <v>19224</v>
      </c>
      <c r="Y32" s="22">
        <f t="shared" si="56"/>
        <v>22868</v>
      </c>
      <c r="Z32" s="43">
        <v>22868</v>
      </c>
      <c r="AA32" s="41">
        <v>21483</v>
      </c>
      <c r="AB32" s="41">
        <v>22493</v>
      </c>
      <c r="AC32" s="41">
        <v>22220</v>
      </c>
      <c r="AD32" s="41">
        <v>22171</v>
      </c>
      <c r="AE32" s="23">
        <f t="shared" si="57"/>
        <v>22171</v>
      </c>
      <c r="AF32" s="41">
        <v>20553</v>
      </c>
      <c r="AG32" s="41">
        <v>19502</v>
      </c>
      <c r="AH32" s="41">
        <v>18974</v>
      </c>
      <c r="AI32" s="41">
        <v>18455</v>
      </c>
      <c r="AJ32" s="23">
        <f t="shared" si="58"/>
        <v>18455</v>
      </c>
      <c r="AK32" s="41">
        <v>17864</v>
      </c>
      <c r="AL32" s="41">
        <v>17752</v>
      </c>
      <c r="AM32" s="41">
        <v>21217</v>
      </c>
      <c r="AN32" s="41">
        <v>21581</v>
      </c>
      <c r="AO32" s="23">
        <f t="shared" si="59"/>
        <v>21581</v>
      </c>
      <c r="AP32" s="41">
        <v>20812</v>
      </c>
      <c r="AQ32" s="41">
        <v>21221</v>
      </c>
      <c r="AR32" s="41">
        <v>21104</v>
      </c>
      <c r="AS32" s="41">
        <v>22331</v>
      </c>
      <c r="AT32" s="23">
        <f t="shared" si="60"/>
        <v>22331</v>
      </c>
      <c r="AU32" s="41">
        <v>21607</v>
      </c>
      <c r="AV32" s="41">
        <v>21850</v>
      </c>
      <c r="AW32" s="41">
        <v>22628</v>
      </c>
      <c r="AX32" s="41">
        <v>24103</v>
      </c>
      <c r="AY32" s="23">
        <f t="shared" si="61"/>
        <v>24103</v>
      </c>
      <c r="AZ32" s="41">
        <v>23576</v>
      </c>
      <c r="BA32" s="41">
        <v>23508</v>
      </c>
      <c r="BB32" s="41">
        <v>24364</v>
      </c>
      <c r="BC32" s="41">
        <v>27141</v>
      </c>
      <c r="BD32" s="23">
        <f t="shared" ref="BD32:BD36" si="62">BC32</f>
        <v>27141</v>
      </c>
      <c r="BE32" s="543">
        <f>BD32-400</f>
        <v>26741</v>
      </c>
      <c r="BF32" s="543">
        <f t="shared" ref="BF32:BG32" si="63">BE32-400</f>
        <v>26341</v>
      </c>
      <c r="BG32" s="543">
        <f t="shared" si="63"/>
        <v>25941</v>
      </c>
      <c r="BH32" s="576">
        <f>BI32</f>
        <v>25472</v>
      </c>
      <c r="BI32" s="23">
        <f>BD32-500-(((2600+700)*0.79)/3)-300</f>
        <v>25472</v>
      </c>
      <c r="BK32" s="109">
        <f>1700*0.79</f>
        <v>1343</v>
      </c>
      <c r="BL32" s="109"/>
    </row>
    <row r="33" spans="1:68">
      <c r="A33" s="1" t="s">
        <v>274</v>
      </c>
      <c r="B33" s="41">
        <v>22752</v>
      </c>
      <c r="C33" s="41">
        <v>23373</v>
      </c>
      <c r="D33" s="41">
        <v>23442</v>
      </c>
      <c r="E33" s="22">
        <f t="shared" si="52"/>
        <v>24364</v>
      </c>
      <c r="F33" s="43">
        <v>24364</v>
      </c>
      <c r="G33" s="41">
        <v>23926</v>
      </c>
      <c r="H33" s="41">
        <v>23409</v>
      </c>
      <c r="I33" s="41">
        <v>22646</v>
      </c>
      <c r="J33" s="22">
        <f t="shared" si="53"/>
        <v>23869</v>
      </c>
      <c r="K33" s="43">
        <v>23869</v>
      </c>
      <c r="L33" s="41">
        <v>24118</v>
      </c>
      <c r="M33" s="41">
        <v>25802</v>
      </c>
      <c r="N33" s="41">
        <v>26695</v>
      </c>
      <c r="O33" s="22">
        <f t="shared" si="54"/>
        <v>27440</v>
      </c>
      <c r="P33" s="43">
        <v>27440</v>
      </c>
      <c r="Q33" s="41">
        <v>49955</v>
      </c>
      <c r="R33" s="41">
        <v>50970</v>
      </c>
      <c r="S33" s="41">
        <v>51496</v>
      </c>
      <c r="T33" s="22">
        <f t="shared" si="55"/>
        <v>50676</v>
      </c>
      <c r="U33" s="43">
        <v>50676</v>
      </c>
      <c r="V33" s="41">
        <v>52534</v>
      </c>
      <c r="W33" s="41">
        <v>52523</v>
      </c>
      <c r="X33" s="41">
        <v>53167</v>
      </c>
      <c r="Y33" s="22">
        <f t="shared" si="56"/>
        <v>51551</v>
      </c>
      <c r="Z33" s="43">
        <v>51551</v>
      </c>
      <c r="AA33" s="41">
        <v>52883</v>
      </c>
      <c r="AB33" s="41">
        <v>53367</v>
      </c>
      <c r="AC33" s="41">
        <v>51974</v>
      </c>
      <c r="AD33" s="41">
        <v>50488</v>
      </c>
      <c r="AE33" s="23">
        <f t="shared" si="57"/>
        <v>50488</v>
      </c>
      <c r="AF33" s="41">
        <v>50908</v>
      </c>
      <c r="AG33" s="41">
        <v>50738</v>
      </c>
      <c r="AH33" s="41">
        <v>51269</v>
      </c>
      <c r="AI33" s="41">
        <v>52980</v>
      </c>
      <c r="AJ33" s="23">
        <f t="shared" si="58"/>
        <v>52980</v>
      </c>
      <c r="AK33" s="41">
        <v>52458</v>
      </c>
      <c r="AL33" s="41">
        <v>52066</v>
      </c>
      <c r="AM33" s="41">
        <v>53177</v>
      </c>
      <c r="AN33" s="41">
        <v>53081</v>
      </c>
      <c r="AO33" s="23">
        <f t="shared" si="59"/>
        <v>53081</v>
      </c>
      <c r="AP33" s="41">
        <v>54498</v>
      </c>
      <c r="AQ33" s="41">
        <v>55310</v>
      </c>
      <c r="AR33" s="41">
        <v>55924</v>
      </c>
      <c r="AS33" s="41">
        <v>56328</v>
      </c>
      <c r="AT33" s="23">
        <f t="shared" si="60"/>
        <v>56328</v>
      </c>
      <c r="AU33" s="41">
        <v>58972</v>
      </c>
      <c r="AV33" s="41">
        <v>58151</v>
      </c>
      <c r="AW33" s="41">
        <v>57931</v>
      </c>
      <c r="AX33" s="41">
        <v>60333</v>
      </c>
      <c r="AY33" s="23">
        <f t="shared" si="61"/>
        <v>60333</v>
      </c>
      <c r="AZ33" s="41">
        <v>61114</v>
      </c>
      <c r="BA33" s="41">
        <v>59407</v>
      </c>
      <c r="BB33" s="41">
        <v>57962</v>
      </c>
      <c r="BC33" s="41">
        <v>59404</v>
      </c>
      <c r="BD33" s="23">
        <f t="shared" si="62"/>
        <v>59404</v>
      </c>
      <c r="BE33" s="543">
        <f>BD33</f>
        <v>59404</v>
      </c>
      <c r="BF33" s="543">
        <f t="shared" ref="BF33:BG33" si="64">BE33</f>
        <v>59404</v>
      </c>
      <c r="BG33" s="543">
        <f t="shared" si="64"/>
        <v>59404</v>
      </c>
      <c r="BH33" s="42">
        <f>+BI33</f>
        <v>59214.936760563389</v>
      </c>
      <c r="BI33" s="38">
        <f>'Customer Advances'!$R$61</f>
        <v>59214.936760563389</v>
      </c>
      <c r="BK33" s="109"/>
      <c r="BL33" s="109"/>
    </row>
    <row r="34" spans="1:68">
      <c r="A34" s="1" t="s">
        <v>275</v>
      </c>
      <c r="B34" s="41">
        <v>133</v>
      </c>
      <c r="C34" s="41">
        <v>112</v>
      </c>
      <c r="D34" s="41">
        <v>614</v>
      </c>
      <c r="E34" s="22">
        <f t="shared" si="52"/>
        <v>1234</v>
      </c>
      <c r="F34" s="43">
        <v>1234</v>
      </c>
      <c r="G34" s="41">
        <v>1243</v>
      </c>
      <c r="H34" s="41">
        <v>1168</v>
      </c>
      <c r="I34" s="41">
        <v>632</v>
      </c>
      <c r="J34" s="22">
        <f t="shared" si="53"/>
        <v>384</v>
      </c>
      <c r="K34" s="43">
        <v>384</v>
      </c>
      <c r="L34" s="41">
        <v>367</v>
      </c>
      <c r="M34" s="41">
        <v>720</v>
      </c>
      <c r="N34" s="41">
        <v>988</v>
      </c>
      <c r="O34" s="22">
        <f t="shared" si="54"/>
        <v>1335</v>
      </c>
      <c r="P34" s="43">
        <v>1335</v>
      </c>
      <c r="Q34" s="41">
        <v>1981</v>
      </c>
      <c r="R34" s="41">
        <v>1611</v>
      </c>
      <c r="S34" s="41">
        <v>1389</v>
      </c>
      <c r="T34" s="22">
        <f t="shared" si="55"/>
        <v>3190</v>
      </c>
      <c r="U34" s="43">
        <v>3190</v>
      </c>
      <c r="V34" s="41">
        <v>3381</v>
      </c>
      <c r="W34" s="41">
        <v>4357</v>
      </c>
      <c r="X34" s="41">
        <v>4354</v>
      </c>
      <c r="Y34" s="22">
        <f t="shared" si="56"/>
        <v>7340</v>
      </c>
      <c r="Z34" s="43">
        <v>7340</v>
      </c>
      <c r="AA34" s="41">
        <v>5173</v>
      </c>
      <c r="AB34" s="41">
        <v>2922</v>
      </c>
      <c r="AC34" s="41">
        <v>3634</v>
      </c>
      <c r="AD34" s="41">
        <v>1693</v>
      </c>
      <c r="AE34" s="23">
        <f t="shared" si="57"/>
        <v>1693</v>
      </c>
      <c r="AF34" s="41">
        <v>6021</v>
      </c>
      <c r="AG34" s="41">
        <v>6534</v>
      </c>
      <c r="AH34" s="41">
        <v>5377</v>
      </c>
      <c r="AI34" s="41">
        <v>1296</v>
      </c>
      <c r="AJ34" s="23">
        <f t="shared" si="58"/>
        <v>1296</v>
      </c>
      <c r="AK34" s="41">
        <v>2591</v>
      </c>
      <c r="AL34" s="41">
        <v>5406</v>
      </c>
      <c r="AM34" s="41">
        <v>5431</v>
      </c>
      <c r="AN34" s="41">
        <v>5190</v>
      </c>
      <c r="AO34" s="23">
        <f t="shared" si="59"/>
        <v>5190</v>
      </c>
      <c r="AP34" s="41">
        <v>7926</v>
      </c>
      <c r="AQ34" s="41">
        <v>4609</v>
      </c>
      <c r="AR34" s="41">
        <v>4891</v>
      </c>
      <c r="AS34" s="41">
        <v>5204</v>
      </c>
      <c r="AT34" s="23">
        <f t="shared" si="60"/>
        <v>5204</v>
      </c>
      <c r="AU34" s="41">
        <v>1063</v>
      </c>
      <c r="AV34" s="41">
        <v>4765</v>
      </c>
      <c r="AW34" s="41">
        <v>4474</v>
      </c>
      <c r="AX34" s="41">
        <v>1278</v>
      </c>
      <c r="AY34" s="23">
        <f t="shared" si="61"/>
        <v>1278</v>
      </c>
      <c r="AZ34" s="41">
        <v>7930</v>
      </c>
      <c r="BA34" s="41">
        <v>8719</v>
      </c>
      <c r="BB34" s="41">
        <v>8742</v>
      </c>
      <c r="BC34" s="41">
        <v>8461</v>
      </c>
      <c r="BD34" s="23">
        <f t="shared" si="62"/>
        <v>8461</v>
      </c>
      <c r="BE34" s="37">
        <f>'Debt_Qtr '!BE67</f>
        <v>1300</v>
      </c>
      <c r="BF34" s="37">
        <f>'Debt_Qtr '!BF67</f>
        <v>1300</v>
      </c>
      <c r="BG34" s="37">
        <f>'Debt_Qtr '!BG67</f>
        <v>1300</v>
      </c>
      <c r="BH34" s="37">
        <f>'Debt_Qtr '!BH67</f>
        <v>1300</v>
      </c>
      <c r="BI34" s="23">
        <f>BH34</f>
        <v>1300</v>
      </c>
      <c r="BK34" s="109"/>
      <c r="BL34" s="109"/>
    </row>
    <row r="35" spans="1:68">
      <c r="A35" s="1" t="s">
        <v>276</v>
      </c>
      <c r="B35" s="41">
        <v>8916</v>
      </c>
      <c r="C35" s="41">
        <v>8894</v>
      </c>
      <c r="D35" s="41">
        <v>9205</v>
      </c>
      <c r="E35" s="22">
        <f>+F35</f>
        <v>0</v>
      </c>
      <c r="F35" s="43">
        <v>0</v>
      </c>
      <c r="G35" s="41">
        <v>0</v>
      </c>
      <c r="H35" s="41">
        <v>0</v>
      </c>
      <c r="I35" s="41">
        <v>0</v>
      </c>
      <c r="J35" s="22">
        <f>+K35</f>
        <v>0</v>
      </c>
      <c r="K35" s="43">
        <v>0</v>
      </c>
      <c r="L35" s="41">
        <v>0</v>
      </c>
      <c r="M35" s="41">
        <v>0</v>
      </c>
      <c r="N35" s="41">
        <v>0</v>
      </c>
      <c r="O35" s="22">
        <f>+P35</f>
        <v>0</v>
      </c>
      <c r="P35" s="43">
        <v>0</v>
      </c>
      <c r="Q35" s="41">
        <v>0</v>
      </c>
      <c r="R35" s="41">
        <v>0</v>
      </c>
      <c r="S35" s="41">
        <v>0</v>
      </c>
      <c r="T35" s="22">
        <f>+U35</f>
        <v>0</v>
      </c>
      <c r="U35" s="43">
        <v>0</v>
      </c>
      <c r="V35" s="41">
        <v>0</v>
      </c>
      <c r="W35" s="41">
        <v>0</v>
      </c>
      <c r="X35" s="41">
        <v>0</v>
      </c>
      <c r="Y35" s="22">
        <f>+Z35</f>
        <v>0</v>
      </c>
      <c r="Z35" s="43">
        <v>0</v>
      </c>
      <c r="AA35" s="41">
        <v>0</v>
      </c>
      <c r="AB35" s="41">
        <v>0</v>
      </c>
      <c r="AC35" s="41">
        <v>0</v>
      </c>
      <c r="AD35" s="41">
        <v>0</v>
      </c>
      <c r="AE35" s="23">
        <f t="shared" si="57"/>
        <v>0</v>
      </c>
      <c r="AF35" s="41">
        <v>0</v>
      </c>
      <c r="AG35" s="41">
        <v>0</v>
      </c>
      <c r="AH35" s="41">
        <v>0</v>
      </c>
      <c r="AI35" s="41">
        <v>0</v>
      </c>
      <c r="AJ35" s="23">
        <f t="shared" si="58"/>
        <v>0</v>
      </c>
      <c r="AK35" s="41">
        <v>0</v>
      </c>
      <c r="AL35" s="41">
        <v>0</v>
      </c>
      <c r="AM35" s="41">
        <v>0</v>
      </c>
      <c r="AN35" s="41">
        <v>0</v>
      </c>
      <c r="AO35" s="23">
        <f t="shared" si="59"/>
        <v>0</v>
      </c>
      <c r="AP35" s="41">
        <v>0</v>
      </c>
      <c r="AQ35" s="41">
        <v>0</v>
      </c>
      <c r="AR35" s="41">
        <v>0</v>
      </c>
      <c r="AS35" s="41">
        <v>0</v>
      </c>
      <c r="AT35" s="23">
        <f t="shared" si="60"/>
        <v>0</v>
      </c>
      <c r="AU35" s="41">
        <v>0</v>
      </c>
      <c r="AV35" s="41">
        <v>0</v>
      </c>
      <c r="AW35" s="41">
        <v>0</v>
      </c>
      <c r="AX35" s="41">
        <v>0</v>
      </c>
      <c r="AY35" s="23">
        <f t="shared" si="61"/>
        <v>0</v>
      </c>
      <c r="AZ35" s="41">
        <v>0</v>
      </c>
      <c r="BA35" s="41">
        <v>0</v>
      </c>
      <c r="BB35" s="41">
        <v>0</v>
      </c>
      <c r="BC35" s="41">
        <f>BB35</f>
        <v>0</v>
      </c>
      <c r="BD35" s="23">
        <f t="shared" si="62"/>
        <v>0</v>
      </c>
      <c r="BE35" s="41">
        <f t="shared" ref="BE35:BG36" si="65">BD35</f>
        <v>0</v>
      </c>
      <c r="BF35" s="41">
        <f t="shared" si="65"/>
        <v>0</v>
      </c>
      <c r="BG35" s="41">
        <f t="shared" si="65"/>
        <v>0</v>
      </c>
      <c r="BH35" s="41">
        <f>BG35</f>
        <v>0</v>
      </c>
      <c r="BI35" s="23">
        <f>BH35</f>
        <v>0</v>
      </c>
      <c r="BK35" s="109"/>
      <c r="BL35" s="109"/>
    </row>
    <row r="36" spans="1:68">
      <c r="A36" s="1" t="s">
        <v>88</v>
      </c>
      <c r="B36" s="41">
        <v>0</v>
      </c>
      <c r="C36" s="41">
        <v>0</v>
      </c>
      <c r="D36" s="41">
        <v>0</v>
      </c>
      <c r="E36" s="22">
        <f t="shared" si="52"/>
        <v>0</v>
      </c>
      <c r="F36" s="43">
        <v>0</v>
      </c>
      <c r="G36" s="41">
        <v>0</v>
      </c>
      <c r="H36" s="41">
        <v>0</v>
      </c>
      <c r="I36" s="41">
        <v>0</v>
      </c>
      <c r="J36" s="22">
        <f t="shared" si="53"/>
        <v>0</v>
      </c>
      <c r="K36" s="43">
        <v>0</v>
      </c>
      <c r="L36" s="41">
        <v>0</v>
      </c>
      <c r="M36" s="41">
        <v>0</v>
      </c>
      <c r="N36" s="41">
        <v>0</v>
      </c>
      <c r="O36" s="22">
        <f t="shared" si="54"/>
        <v>0</v>
      </c>
      <c r="P36" s="43">
        <v>0</v>
      </c>
      <c r="Q36" s="41">
        <v>0</v>
      </c>
      <c r="R36" s="41">
        <v>0</v>
      </c>
      <c r="S36" s="41">
        <v>0</v>
      </c>
      <c r="T36" s="22">
        <f t="shared" si="55"/>
        <v>0</v>
      </c>
      <c r="U36" s="43">
        <v>0</v>
      </c>
      <c r="V36" s="41">
        <v>0</v>
      </c>
      <c r="W36" s="41">
        <v>0</v>
      </c>
      <c r="X36" s="41">
        <v>0</v>
      </c>
      <c r="Y36" s="22">
        <f t="shared" si="56"/>
        <v>0</v>
      </c>
      <c r="Z36" s="43">
        <v>0</v>
      </c>
      <c r="AA36" s="41">
        <v>0</v>
      </c>
      <c r="AB36" s="41">
        <v>0</v>
      </c>
      <c r="AC36" s="41">
        <v>0</v>
      </c>
      <c r="AD36" s="41">
        <v>0</v>
      </c>
      <c r="AE36" s="23">
        <f t="shared" si="57"/>
        <v>0</v>
      </c>
      <c r="AF36" s="41">
        <v>0</v>
      </c>
      <c r="AG36" s="41">
        <v>0</v>
      </c>
      <c r="AH36" s="41">
        <v>0</v>
      </c>
      <c r="AI36" s="41">
        <v>0</v>
      </c>
      <c r="AJ36" s="23">
        <f t="shared" si="58"/>
        <v>0</v>
      </c>
      <c r="AK36" s="41">
        <v>0</v>
      </c>
      <c r="AL36" s="41">
        <v>0</v>
      </c>
      <c r="AM36" s="41">
        <v>0</v>
      </c>
      <c r="AN36" s="41">
        <v>0</v>
      </c>
      <c r="AO36" s="23">
        <f t="shared" si="59"/>
        <v>0</v>
      </c>
      <c r="AP36" s="41">
        <v>0</v>
      </c>
      <c r="AQ36" s="41">
        <v>0</v>
      </c>
      <c r="AR36" s="41">
        <v>0</v>
      </c>
      <c r="AS36" s="41">
        <v>0</v>
      </c>
      <c r="AT36" s="23">
        <f t="shared" si="60"/>
        <v>0</v>
      </c>
      <c r="AU36" s="41">
        <v>0</v>
      </c>
      <c r="AV36" s="41">
        <v>0</v>
      </c>
      <c r="AW36" s="41">
        <v>0</v>
      </c>
      <c r="AX36" s="41">
        <v>0</v>
      </c>
      <c r="AY36" s="23">
        <f t="shared" si="61"/>
        <v>0</v>
      </c>
      <c r="AZ36" s="41">
        <v>0</v>
      </c>
      <c r="BA36" s="41">
        <v>504</v>
      </c>
      <c r="BB36" s="41">
        <v>524</v>
      </c>
      <c r="BC36" s="41">
        <v>0</v>
      </c>
      <c r="BD36" s="23">
        <f t="shared" si="62"/>
        <v>0</v>
      </c>
      <c r="BE36" s="41">
        <f t="shared" si="65"/>
        <v>0</v>
      </c>
      <c r="BF36" s="41">
        <f t="shared" si="65"/>
        <v>0</v>
      </c>
      <c r="BG36" s="41">
        <f t="shared" si="65"/>
        <v>0</v>
      </c>
      <c r="BH36" s="41">
        <f>BG36</f>
        <v>0</v>
      </c>
      <c r="BI36" s="23">
        <f>BH36</f>
        <v>0</v>
      </c>
      <c r="BK36" s="109"/>
      <c r="BL36" s="109"/>
    </row>
    <row r="37" spans="1:68">
      <c r="A37" s="9" t="s">
        <v>89</v>
      </c>
      <c r="B37" s="24">
        <f t="shared" ref="B37:T37" si="66">SUM(B31:B36)</f>
        <v>55256</v>
      </c>
      <c r="C37" s="24">
        <f t="shared" si="66"/>
        <v>57136</v>
      </c>
      <c r="D37" s="24">
        <f t="shared" si="66"/>
        <v>57808</v>
      </c>
      <c r="E37" s="24">
        <f t="shared" si="66"/>
        <v>50412</v>
      </c>
      <c r="F37" s="25">
        <f t="shared" si="66"/>
        <v>50412</v>
      </c>
      <c r="G37" s="24">
        <f t="shared" si="66"/>
        <v>49517</v>
      </c>
      <c r="H37" s="24">
        <f t="shared" si="66"/>
        <v>49859</v>
      </c>
      <c r="I37" s="24">
        <f t="shared" si="66"/>
        <v>48489</v>
      </c>
      <c r="J37" s="24">
        <f t="shared" si="66"/>
        <v>50134</v>
      </c>
      <c r="K37" s="25">
        <f t="shared" si="66"/>
        <v>50134</v>
      </c>
      <c r="L37" s="24">
        <f t="shared" si="66"/>
        <v>49781</v>
      </c>
      <c r="M37" s="24">
        <f t="shared" si="66"/>
        <v>52909</v>
      </c>
      <c r="N37" s="24">
        <f t="shared" si="66"/>
        <v>54409</v>
      </c>
      <c r="O37" s="24">
        <f t="shared" si="66"/>
        <v>56269</v>
      </c>
      <c r="P37" s="25">
        <f t="shared" si="66"/>
        <v>56269</v>
      </c>
      <c r="Q37" s="24">
        <f t="shared" si="66"/>
        <v>75532</v>
      </c>
      <c r="R37" s="24">
        <f t="shared" si="66"/>
        <v>77725</v>
      </c>
      <c r="S37" s="24">
        <f t="shared" si="66"/>
        <v>79417</v>
      </c>
      <c r="T37" s="24">
        <f t="shared" si="66"/>
        <v>81590</v>
      </c>
      <c r="U37" s="25">
        <f t="shared" ref="U37:AA37" si="67">SUM(U31:U36)</f>
        <v>81590</v>
      </c>
      <c r="V37" s="24">
        <f t="shared" si="67"/>
        <v>83615</v>
      </c>
      <c r="W37" s="24">
        <f t="shared" si="67"/>
        <v>92189</v>
      </c>
      <c r="X37" s="24">
        <f t="shared" si="67"/>
        <v>91846</v>
      </c>
      <c r="Y37" s="24">
        <f t="shared" si="67"/>
        <v>97312</v>
      </c>
      <c r="Z37" s="25">
        <f t="shared" si="67"/>
        <v>97312</v>
      </c>
      <c r="AA37" s="24">
        <f t="shared" si="67"/>
        <v>94502</v>
      </c>
      <c r="AB37" s="24">
        <f>SUM(AB31:AB36)</f>
        <v>92482</v>
      </c>
      <c r="AC37" s="24">
        <f>SUM(AC31:AC36)</f>
        <v>92307</v>
      </c>
      <c r="AD37" s="24">
        <f>SUM(AD31:AD36)</f>
        <v>87280</v>
      </c>
      <c r="AE37" s="25">
        <f>SUM(AE31:AE36)</f>
        <v>87280</v>
      </c>
      <c r="AF37" s="24">
        <f>SUM(AF31:AF36)</f>
        <v>89892</v>
      </c>
      <c r="AG37" s="24">
        <f t="shared" ref="AG37:AK37" si="68">SUM(AG31:AG36)</f>
        <v>88224</v>
      </c>
      <c r="AH37" s="24">
        <f t="shared" si="68"/>
        <v>85771</v>
      </c>
      <c r="AI37" s="24">
        <f t="shared" si="68"/>
        <v>81992</v>
      </c>
      <c r="AJ37" s="25">
        <f t="shared" si="68"/>
        <v>81992</v>
      </c>
      <c r="AK37" s="24">
        <f t="shared" si="68"/>
        <v>81692</v>
      </c>
      <c r="AL37" s="24">
        <f>SUM(AL31:AL36)</f>
        <v>84799</v>
      </c>
      <c r="AM37" s="24">
        <f>SUM(AM31:AM36)</f>
        <v>89618</v>
      </c>
      <c r="AN37" s="24">
        <f t="shared" ref="AN37:AP37" si="69">SUM(AN31:AN36)</f>
        <v>90052</v>
      </c>
      <c r="AO37" s="25">
        <f t="shared" si="69"/>
        <v>90052</v>
      </c>
      <c r="AP37" s="24">
        <f t="shared" si="69"/>
        <v>93510</v>
      </c>
      <c r="AQ37" s="24">
        <f>SUM(AQ31:AQ36)</f>
        <v>92076</v>
      </c>
      <c r="AR37" s="24">
        <f>SUM(AR31:AR36)</f>
        <v>93062</v>
      </c>
      <c r="AS37" s="24">
        <f t="shared" ref="AS37:AU37" si="70">SUM(AS31:AS36)</f>
        <v>95827</v>
      </c>
      <c r="AT37" s="25">
        <f t="shared" si="70"/>
        <v>95827</v>
      </c>
      <c r="AU37" s="24">
        <f t="shared" si="70"/>
        <v>93258</v>
      </c>
      <c r="AV37" s="24">
        <f>SUM(AV31:AV36)</f>
        <v>96630</v>
      </c>
      <c r="AW37" s="24">
        <f>SUM(AW31:AW36)</f>
        <v>97300</v>
      </c>
      <c r="AX37" s="24">
        <f t="shared" ref="AX37:AZ37" si="71">SUM(AX31:AX36)</f>
        <v>97078</v>
      </c>
      <c r="AY37" s="25">
        <f t="shared" si="71"/>
        <v>97078</v>
      </c>
      <c r="AZ37" s="24">
        <f t="shared" si="71"/>
        <v>103654</v>
      </c>
      <c r="BA37" s="24">
        <f>SUM(BA31:BA36)</f>
        <v>103376</v>
      </c>
      <c r="BB37" s="24">
        <f>SUM(BB31:BB36)</f>
        <v>103324</v>
      </c>
      <c r="BC37" s="24">
        <f t="shared" ref="BC37" si="72">SUM(BC31:BC36)</f>
        <v>108115</v>
      </c>
      <c r="BD37" s="25">
        <f>SUM(BD31:BD36)</f>
        <v>108115</v>
      </c>
      <c r="BE37" s="24">
        <f t="shared" ref="BE37:BG37" si="73">SUM(BE31:BE36)</f>
        <v>100429.25850260645</v>
      </c>
      <c r="BF37" s="24">
        <f t="shared" si="73"/>
        <v>99691.899149422563</v>
      </c>
      <c r="BG37" s="24">
        <f t="shared" si="73"/>
        <v>99336.959971340373</v>
      </c>
      <c r="BH37" s="24">
        <f t="shared" ref="BH37" si="74">SUM(BH31:BH36)</f>
        <v>99509.926945120838</v>
      </c>
      <c r="BI37" s="25">
        <f>SUM(BI31:BI36)</f>
        <v>99509.926945120838</v>
      </c>
      <c r="BK37" s="109"/>
      <c r="BL37" s="109"/>
    </row>
    <row r="38" spans="1:68">
      <c r="B38" s="22"/>
      <c r="C38" s="22"/>
      <c r="D38" s="22"/>
      <c r="E38" s="22"/>
      <c r="F38" s="23"/>
      <c r="G38" s="22"/>
      <c r="H38" s="22"/>
      <c r="I38" s="22"/>
      <c r="J38" s="22"/>
      <c r="K38" s="23"/>
      <c r="L38" s="22"/>
      <c r="M38" s="22"/>
      <c r="N38" s="22"/>
      <c r="O38" s="22"/>
      <c r="P38" s="23"/>
      <c r="Q38" s="22"/>
      <c r="R38" s="22"/>
      <c r="S38" s="22"/>
      <c r="T38" s="22"/>
      <c r="U38" s="23"/>
      <c r="V38" s="22"/>
      <c r="W38" s="22"/>
      <c r="X38" s="22"/>
      <c r="Y38" s="22"/>
      <c r="Z38" s="23"/>
      <c r="AA38" s="22"/>
      <c r="AB38" s="22"/>
      <c r="AC38" s="22"/>
      <c r="AD38" s="22"/>
      <c r="AE38" s="23"/>
      <c r="AF38" s="22"/>
      <c r="AG38" s="22"/>
      <c r="AH38" s="22"/>
      <c r="AI38" s="22"/>
      <c r="AJ38" s="23"/>
      <c r="AK38" s="22"/>
      <c r="AL38" s="22"/>
      <c r="AM38" s="22"/>
      <c r="AN38" s="22"/>
      <c r="AO38" s="23"/>
      <c r="AP38" s="22"/>
      <c r="AQ38" s="22"/>
      <c r="AR38" s="22"/>
      <c r="AS38" s="22"/>
      <c r="AT38" s="23"/>
      <c r="AU38" s="22"/>
      <c r="AV38" s="22"/>
      <c r="AW38" s="22"/>
      <c r="AX38" s="22"/>
      <c r="AY38" s="23"/>
      <c r="AZ38" s="22"/>
      <c r="BA38" s="22"/>
      <c r="BB38" s="22"/>
      <c r="BC38" s="22"/>
      <c r="BD38" s="23"/>
      <c r="BE38" s="22"/>
      <c r="BF38" s="22"/>
      <c r="BG38" s="22"/>
      <c r="BH38" s="22"/>
      <c r="BI38" s="23"/>
      <c r="BK38" s="109"/>
      <c r="BL38" s="109"/>
    </row>
    <row r="39" spans="1:68">
      <c r="A39" s="14" t="s">
        <v>90</v>
      </c>
      <c r="B39" s="22"/>
      <c r="C39" s="22"/>
      <c r="D39" s="22"/>
      <c r="E39" s="22"/>
      <c r="F39" s="23"/>
      <c r="G39" s="22"/>
      <c r="H39" s="22"/>
      <c r="I39" s="22"/>
      <c r="J39" s="22"/>
      <c r="K39" s="23"/>
      <c r="L39" s="22"/>
      <c r="M39" s="22"/>
      <c r="N39" s="22"/>
      <c r="O39" s="22"/>
      <c r="P39" s="23"/>
      <c r="Q39" s="22"/>
      <c r="R39" s="22"/>
      <c r="S39" s="22"/>
      <c r="T39" s="22"/>
      <c r="U39" s="23"/>
      <c r="V39" s="22"/>
      <c r="W39" s="22"/>
      <c r="X39" s="22"/>
      <c r="Y39" s="22"/>
      <c r="Z39" s="23"/>
      <c r="AA39" s="22"/>
      <c r="AB39" s="22"/>
      <c r="AC39" s="22"/>
      <c r="AD39" s="22"/>
      <c r="AE39" s="23"/>
      <c r="AF39" s="22"/>
      <c r="AG39" s="22"/>
      <c r="AH39" s="22"/>
      <c r="AI39" s="22"/>
      <c r="AJ39" s="23"/>
      <c r="AK39" s="22"/>
      <c r="AL39" s="22"/>
      <c r="AM39" s="22"/>
      <c r="AN39" s="22"/>
      <c r="AO39" s="23"/>
      <c r="AP39" s="22"/>
      <c r="AQ39" s="22"/>
      <c r="AR39" s="22"/>
      <c r="AS39" s="22"/>
      <c r="AT39" s="23"/>
      <c r="AU39" s="22"/>
      <c r="AV39" s="22"/>
      <c r="AW39" s="22"/>
      <c r="AX39" s="22"/>
      <c r="AY39" s="23"/>
      <c r="AZ39" s="22"/>
      <c r="BA39" s="22"/>
      <c r="BB39" s="22"/>
      <c r="BC39" s="22"/>
      <c r="BD39" s="23"/>
      <c r="BE39" s="22"/>
      <c r="BF39" s="22"/>
      <c r="BG39" s="22"/>
      <c r="BH39" s="22"/>
      <c r="BI39" s="23"/>
      <c r="BK39" s="109"/>
      <c r="BL39" s="109"/>
    </row>
    <row r="40" spans="1:68">
      <c r="A40" s="1" t="s">
        <v>67</v>
      </c>
      <c r="B40" s="41">
        <v>0</v>
      </c>
      <c r="C40" s="41">
        <v>0</v>
      </c>
      <c r="D40" s="41">
        <v>0</v>
      </c>
      <c r="E40" s="22">
        <f t="shared" ref="E40:E45" si="75">+F40</f>
        <v>2392</v>
      </c>
      <c r="F40" s="43">
        <v>2392</v>
      </c>
      <c r="G40" s="41">
        <v>2297</v>
      </c>
      <c r="H40" s="41">
        <v>2422</v>
      </c>
      <c r="I40" s="41">
        <v>2211</v>
      </c>
      <c r="J40" s="22">
        <f t="shared" ref="J40:J45" si="76">+K40</f>
        <v>1338</v>
      </c>
      <c r="K40" s="43">
        <v>1338</v>
      </c>
      <c r="L40" s="41">
        <v>1339</v>
      </c>
      <c r="M40" s="41">
        <v>1415</v>
      </c>
      <c r="N40" s="41">
        <v>2884</v>
      </c>
      <c r="O40" s="22">
        <f t="shared" ref="O40:O45" si="77">+P40</f>
        <v>1839</v>
      </c>
      <c r="P40" s="43">
        <v>1839</v>
      </c>
      <c r="Q40" s="41">
        <v>2001</v>
      </c>
      <c r="R40" s="41">
        <v>1900</v>
      </c>
      <c r="S40" s="41">
        <v>1738</v>
      </c>
      <c r="T40" s="22">
        <f t="shared" ref="T40:T45" si="78">+U40</f>
        <v>1736</v>
      </c>
      <c r="U40" s="43">
        <v>1736</v>
      </c>
      <c r="V40" s="41">
        <v>1656</v>
      </c>
      <c r="W40" s="41">
        <v>0</v>
      </c>
      <c r="X40" s="41">
        <v>1615</v>
      </c>
      <c r="Y40" s="22">
        <f t="shared" ref="Y40:Y45" si="79">+Z40</f>
        <v>413</v>
      </c>
      <c r="Z40" s="43">
        <v>413</v>
      </c>
      <c r="AA40" s="41">
        <v>336</v>
      </c>
      <c r="AB40" s="41">
        <v>404</v>
      </c>
      <c r="AC40" s="41">
        <v>503</v>
      </c>
      <c r="AD40" s="41">
        <v>1010</v>
      </c>
      <c r="AE40" s="23">
        <f t="shared" ref="AE40:AE45" si="80">AD40</f>
        <v>1010</v>
      </c>
      <c r="AF40" s="41">
        <v>908</v>
      </c>
      <c r="AG40" s="41">
        <v>1064</v>
      </c>
      <c r="AH40" s="41">
        <v>1185</v>
      </c>
      <c r="AI40" s="41">
        <v>218</v>
      </c>
      <c r="AJ40" s="23">
        <f t="shared" ref="AJ40:AJ45" si="81">AI40</f>
        <v>218</v>
      </c>
      <c r="AK40" s="41">
        <v>158</v>
      </c>
      <c r="AL40" s="41">
        <v>38</v>
      </c>
      <c r="AM40" s="41">
        <v>230</v>
      </c>
      <c r="AN40" s="41">
        <v>230</v>
      </c>
      <c r="AO40" s="23">
        <f t="shared" ref="AO40:AO45" si="82">AN40</f>
        <v>230</v>
      </c>
      <c r="AP40" s="41">
        <v>194</v>
      </c>
      <c r="AQ40" s="41">
        <v>95</v>
      </c>
      <c r="AR40" s="41">
        <v>218</v>
      </c>
      <c r="AS40" s="41">
        <v>229</v>
      </c>
      <c r="AT40" s="23">
        <f t="shared" ref="AT40:AT45" si="83">AS40</f>
        <v>229</v>
      </c>
      <c r="AU40" s="41">
        <v>223</v>
      </c>
      <c r="AV40" s="41">
        <v>291</v>
      </c>
      <c r="AW40" s="41">
        <v>249</v>
      </c>
      <c r="AX40" s="41">
        <v>122</v>
      </c>
      <c r="AY40" s="23">
        <f t="shared" ref="AY40:AY45" si="84">AX40</f>
        <v>122</v>
      </c>
      <c r="AZ40" s="41">
        <v>162</v>
      </c>
      <c r="BA40" s="41">
        <v>193</v>
      </c>
      <c r="BB40" s="41">
        <v>191</v>
      </c>
      <c r="BC40" s="41">
        <v>216</v>
      </c>
      <c r="BD40" s="23">
        <f t="shared" ref="BD40:BD45" si="85">BC40</f>
        <v>216</v>
      </c>
      <c r="BE40" s="41">
        <f t="shared" ref="BE40:BG40" si="86">BD40</f>
        <v>216</v>
      </c>
      <c r="BF40" s="41">
        <f t="shared" si="86"/>
        <v>216</v>
      </c>
      <c r="BG40" s="41">
        <f t="shared" si="86"/>
        <v>216</v>
      </c>
      <c r="BH40" s="41">
        <f>BG40</f>
        <v>216</v>
      </c>
      <c r="BI40" s="23">
        <f>BH40</f>
        <v>216</v>
      </c>
      <c r="BK40" s="109"/>
      <c r="BL40" s="109"/>
    </row>
    <row r="41" spans="1:68">
      <c r="A41" s="1" t="s">
        <v>277</v>
      </c>
      <c r="B41" s="41">
        <v>6789</v>
      </c>
      <c r="C41" s="41">
        <v>6777</v>
      </c>
      <c r="D41" s="41">
        <v>6746</v>
      </c>
      <c r="E41" s="22">
        <f t="shared" si="75"/>
        <v>6616</v>
      </c>
      <c r="F41" s="43">
        <v>6616</v>
      </c>
      <c r="G41" s="41">
        <v>6614</v>
      </c>
      <c r="H41" s="41">
        <v>6586</v>
      </c>
      <c r="I41" s="41">
        <v>6544</v>
      </c>
      <c r="J41" s="22">
        <f t="shared" si="76"/>
        <v>5916</v>
      </c>
      <c r="K41" s="43">
        <v>5916</v>
      </c>
      <c r="L41" s="41">
        <v>5885</v>
      </c>
      <c r="M41" s="41">
        <v>5856</v>
      </c>
      <c r="N41" s="41">
        <v>5826</v>
      </c>
      <c r="O41" s="22">
        <f t="shared" si="77"/>
        <v>5545</v>
      </c>
      <c r="P41" s="43">
        <v>5545</v>
      </c>
      <c r="Q41" s="41">
        <v>5494</v>
      </c>
      <c r="R41" s="41">
        <v>5444</v>
      </c>
      <c r="S41" s="41">
        <v>5394</v>
      </c>
      <c r="T41" s="22">
        <f t="shared" si="78"/>
        <v>4584</v>
      </c>
      <c r="U41" s="43">
        <v>4584</v>
      </c>
      <c r="V41" s="41">
        <v>4535</v>
      </c>
      <c r="W41" s="41">
        <v>4486</v>
      </c>
      <c r="X41" s="41">
        <v>4437</v>
      </c>
      <c r="Y41" s="22">
        <f t="shared" si="79"/>
        <v>4540</v>
      </c>
      <c r="Z41" s="43">
        <v>4540</v>
      </c>
      <c r="AA41" s="41">
        <v>4483</v>
      </c>
      <c r="AB41" s="41">
        <v>4427</v>
      </c>
      <c r="AC41" s="41">
        <v>4429</v>
      </c>
      <c r="AD41" s="41">
        <v>4137</v>
      </c>
      <c r="AE41" s="23">
        <f t="shared" si="80"/>
        <v>4137</v>
      </c>
      <c r="AF41" s="41">
        <v>4077</v>
      </c>
      <c r="AG41" s="41">
        <v>4017</v>
      </c>
      <c r="AH41" s="41">
        <v>3957</v>
      </c>
      <c r="AI41" s="41">
        <v>3528</v>
      </c>
      <c r="AJ41" s="23">
        <f t="shared" si="81"/>
        <v>3528</v>
      </c>
      <c r="AK41" s="41">
        <v>3471</v>
      </c>
      <c r="AL41" s="41">
        <v>3413</v>
      </c>
      <c r="AM41" s="41">
        <v>3356</v>
      </c>
      <c r="AN41" s="41">
        <v>2503</v>
      </c>
      <c r="AO41" s="23">
        <f t="shared" si="82"/>
        <v>2503</v>
      </c>
      <c r="AP41" s="41">
        <v>2466</v>
      </c>
      <c r="AQ41" s="41">
        <v>2424</v>
      </c>
      <c r="AR41" s="41">
        <v>2385</v>
      </c>
      <c r="AS41" s="41">
        <v>2233</v>
      </c>
      <c r="AT41" s="23">
        <f t="shared" si="83"/>
        <v>2233</v>
      </c>
      <c r="AU41" s="41">
        <v>2196</v>
      </c>
      <c r="AV41" s="41">
        <v>2159</v>
      </c>
      <c r="AW41" s="41">
        <v>2121</v>
      </c>
      <c r="AX41" s="41">
        <v>2176</v>
      </c>
      <c r="AY41" s="23">
        <f t="shared" si="84"/>
        <v>2176</v>
      </c>
      <c r="AZ41" s="41">
        <v>2146</v>
      </c>
      <c r="BA41" s="41">
        <v>2116</v>
      </c>
      <c r="BB41" s="41">
        <v>2086</v>
      </c>
      <c r="BC41" s="41">
        <v>2091</v>
      </c>
      <c r="BD41" s="23">
        <f t="shared" si="85"/>
        <v>2091</v>
      </c>
      <c r="BE41" s="22">
        <f>BD41-Cash_Flow_Qtr!BE89</f>
        <v>2086</v>
      </c>
      <c r="BF41" s="22">
        <f>BE41-Cash_Flow_Qtr!BF89</f>
        <v>2081</v>
      </c>
      <c r="BG41" s="22">
        <f>BF41-Cash_Flow_Qtr!BG89</f>
        <v>2076</v>
      </c>
      <c r="BH41" s="22">
        <f>BG41-Cash_Flow_Qtr!BH89</f>
        <v>2071</v>
      </c>
      <c r="BI41" s="23">
        <f>BH41</f>
        <v>2071</v>
      </c>
      <c r="BK41" s="109"/>
      <c r="BL41" s="109"/>
    </row>
    <row r="42" spans="1:68">
      <c r="A42" s="1" t="s">
        <v>92</v>
      </c>
      <c r="B42" s="41">
        <v>17362</v>
      </c>
      <c r="C42" s="41">
        <v>17537</v>
      </c>
      <c r="D42" s="41">
        <v>17795</v>
      </c>
      <c r="E42" s="22">
        <f t="shared" si="75"/>
        <v>17783</v>
      </c>
      <c r="F42" s="43">
        <v>17783</v>
      </c>
      <c r="G42" s="41">
        <v>18196</v>
      </c>
      <c r="H42" s="41">
        <v>18200</v>
      </c>
      <c r="I42" s="41">
        <v>18003</v>
      </c>
      <c r="J42" s="22">
        <f t="shared" si="76"/>
        <v>19943</v>
      </c>
      <c r="K42" s="43">
        <v>19943</v>
      </c>
      <c r="L42" s="41">
        <v>19796</v>
      </c>
      <c r="M42" s="41">
        <v>19651</v>
      </c>
      <c r="N42" s="41">
        <v>15514</v>
      </c>
      <c r="O42" s="22">
        <f t="shared" si="77"/>
        <v>16471</v>
      </c>
      <c r="P42" s="43">
        <v>16471</v>
      </c>
      <c r="Q42" s="41">
        <v>16279</v>
      </c>
      <c r="R42" s="41">
        <v>16118</v>
      </c>
      <c r="S42" s="41">
        <v>15927</v>
      </c>
      <c r="T42" s="22">
        <f t="shared" si="78"/>
        <v>15323</v>
      </c>
      <c r="U42" s="43">
        <v>15323</v>
      </c>
      <c r="V42" s="41">
        <v>15077</v>
      </c>
      <c r="W42" s="41">
        <v>14831</v>
      </c>
      <c r="X42" s="41">
        <v>14590</v>
      </c>
      <c r="Y42" s="22">
        <f t="shared" si="79"/>
        <v>16276</v>
      </c>
      <c r="Z42" s="43">
        <v>16276</v>
      </c>
      <c r="AA42" s="41">
        <v>15962</v>
      </c>
      <c r="AB42" s="41">
        <v>15663</v>
      </c>
      <c r="AC42" s="41">
        <v>15343</v>
      </c>
      <c r="AD42" s="41">
        <v>14408</v>
      </c>
      <c r="AE42" s="23">
        <f t="shared" si="80"/>
        <v>14408</v>
      </c>
      <c r="AF42" s="41">
        <v>13968</v>
      </c>
      <c r="AG42" s="41">
        <v>13519</v>
      </c>
      <c r="AH42" s="41">
        <v>11435</v>
      </c>
      <c r="AI42" s="41">
        <v>9104</v>
      </c>
      <c r="AJ42" s="23">
        <f t="shared" si="81"/>
        <v>9104</v>
      </c>
      <c r="AK42" s="41">
        <v>8719</v>
      </c>
      <c r="AL42" s="41">
        <v>8335</v>
      </c>
      <c r="AM42" s="41">
        <v>7951</v>
      </c>
      <c r="AN42" s="41">
        <v>6141</v>
      </c>
      <c r="AO42" s="23">
        <f t="shared" si="82"/>
        <v>6141</v>
      </c>
      <c r="AP42" s="41">
        <v>5998</v>
      </c>
      <c r="AQ42" s="41">
        <v>5855</v>
      </c>
      <c r="AR42" s="41">
        <v>5713</v>
      </c>
      <c r="AS42" s="41">
        <v>6516</v>
      </c>
      <c r="AT42" s="23">
        <f t="shared" si="83"/>
        <v>6516</v>
      </c>
      <c r="AU42" s="41">
        <v>6400</v>
      </c>
      <c r="AV42" s="41">
        <v>6248</v>
      </c>
      <c r="AW42" s="41">
        <v>6097</v>
      </c>
      <c r="AX42" s="41">
        <v>5997</v>
      </c>
      <c r="AY42" s="23">
        <f t="shared" si="84"/>
        <v>5997</v>
      </c>
      <c r="AZ42" s="41">
        <v>5909</v>
      </c>
      <c r="BA42" s="41">
        <v>5803</v>
      </c>
      <c r="BB42" s="41">
        <v>5714</v>
      </c>
      <c r="BC42" s="41">
        <v>4287</v>
      </c>
      <c r="BD42" s="23">
        <f t="shared" si="85"/>
        <v>4287</v>
      </c>
      <c r="BE42" s="22">
        <f>BD42-Cash_Flow_Qtr!BE88</f>
        <v>4162</v>
      </c>
      <c r="BF42" s="22">
        <f>BE42-Cash_Flow_Qtr!BF88</f>
        <v>4037</v>
      </c>
      <c r="BG42" s="22">
        <f>BF42-Cash_Flow_Qtr!BG88</f>
        <v>3912</v>
      </c>
      <c r="BH42" s="22">
        <f>BG42-Cash_Flow_Qtr!BH88</f>
        <v>3787</v>
      </c>
      <c r="BI42" s="23">
        <f>BH42</f>
        <v>3787</v>
      </c>
      <c r="BK42" s="109"/>
      <c r="BL42" s="109"/>
    </row>
    <row r="43" spans="1:68">
      <c r="A43" s="1" t="s">
        <v>278</v>
      </c>
      <c r="B43" s="41">
        <v>352</v>
      </c>
      <c r="C43" s="41">
        <v>389</v>
      </c>
      <c r="D43" s="41">
        <v>378</v>
      </c>
      <c r="E43" s="22">
        <f t="shared" si="75"/>
        <v>0</v>
      </c>
      <c r="F43" s="43">
        <v>0</v>
      </c>
      <c r="G43" s="41">
        <v>0</v>
      </c>
      <c r="H43" s="41">
        <v>0</v>
      </c>
      <c r="I43" s="41">
        <v>0</v>
      </c>
      <c r="J43" s="22">
        <f t="shared" si="76"/>
        <v>0</v>
      </c>
      <c r="K43" s="43">
        <v>0</v>
      </c>
      <c r="L43" s="41">
        <v>0</v>
      </c>
      <c r="M43" s="41">
        <v>0</v>
      </c>
      <c r="N43" s="41">
        <v>0</v>
      </c>
      <c r="O43" s="22">
        <f t="shared" si="77"/>
        <v>0</v>
      </c>
      <c r="P43" s="43">
        <v>0</v>
      </c>
      <c r="Q43" s="41">
        <v>0</v>
      </c>
      <c r="R43" s="41">
        <v>0</v>
      </c>
      <c r="S43" s="41">
        <v>0</v>
      </c>
      <c r="T43" s="22">
        <f t="shared" si="78"/>
        <v>0</v>
      </c>
      <c r="U43" s="43">
        <v>0</v>
      </c>
      <c r="V43" s="41">
        <v>0</v>
      </c>
      <c r="W43" s="41">
        <v>0</v>
      </c>
      <c r="X43" s="41">
        <v>0</v>
      </c>
      <c r="Y43" s="22">
        <f t="shared" si="79"/>
        <v>0</v>
      </c>
      <c r="Z43" s="43">
        <v>0</v>
      </c>
      <c r="AA43" s="41">
        <v>0</v>
      </c>
      <c r="AB43" s="41">
        <v>0</v>
      </c>
      <c r="AC43" s="41">
        <v>0</v>
      </c>
      <c r="AD43" s="41">
        <v>0</v>
      </c>
      <c r="AE43" s="23">
        <f t="shared" si="80"/>
        <v>0</v>
      </c>
      <c r="AF43" s="41">
        <v>0</v>
      </c>
      <c r="AG43" s="41">
        <v>0</v>
      </c>
      <c r="AH43" s="41">
        <v>0</v>
      </c>
      <c r="AI43" s="41">
        <v>0</v>
      </c>
      <c r="AJ43" s="23">
        <f t="shared" si="81"/>
        <v>0</v>
      </c>
      <c r="AK43" s="41">
        <v>0</v>
      </c>
      <c r="AL43" s="41">
        <v>0</v>
      </c>
      <c r="AM43" s="41">
        <v>0</v>
      </c>
      <c r="AN43" s="41">
        <v>0</v>
      </c>
      <c r="AO43" s="23">
        <f t="shared" si="82"/>
        <v>0</v>
      </c>
      <c r="AP43" s="41">
        <v>0</v>
      </c>
      <c r="AQ43" s="41">
        <v>0</v>
      </c>
      <c r="AR43" s="41">
        <v>0</v>
      </c>
      <c r="AS43" s="41">
        <v>0</v>
      </c>
      <c r="AT43" s="23">
        <f t="shared" si="83"/>
        <v>0</v>
      </c>
      <c r="AU43" s="41">
        <v>0</v>
      </c>
      <c r="AV43" s="41">
        <v>0</v>
      </c>
      <c r="AW43" s="41">
        <v>0</v>
      </c>
      <c r="AX43" s="41">
        <v>0</v>
      </c>
      <c r="AY43" s="23">
        <f t="shared" si="84"/>
        <v>0</v>
      </c>
      <c r="AZ43" s="41">
        <v>0</v>
      </c>
      <c r="BA43" s="41">
        <v>0</v>
      </c>
      <c r="BB43" s="41">
        <v>0</v>
      </c>
      <c r="BC43" s="41">
        <f t="shared" ref="BC43" si="87">BB43</f>
        <v>0</v>
      </c>
      <c r="BD43" s="23">
        <f t="shared" si="85"/>
        <v>0</v>
      </c>
      <c r="BE43" s="41">
        <f t="shared" ref="BE43:BG43" si="88">BD43</f>
        <v>0</v>
      </c>
      <c r="BF43" s="41">
        <f t="shared" si="88"/>
        <v>0</v>
      </c>
      <c r="BG43" s="41">
        <f t="shared" si="88"/>
        <v>0</v>
      </c>
      <c r="BH43" s="41">
        <f t="shared" ref="BH43" si="89">BG43</f>
        <v>0</v>
      </c>
      <c r="BI43" s="23">
        <f>BH43</f>
        <v>0</v>
      </c>
      <c r="BK43" s="109"/>
      <c r="BL43" s="109"/>
    </row>
    <row r="44" spans="1:68">
      <c r="A44" s="1" t="s">
        <v>91</v>
      </c>
      <c r="B44" s="41">
        <v>8905</v>
      </c>
      <c r="C44" s="41">
        <v>8904</v>
      </c>
      <c r="D44" s="41">
        <v>8402</v>
      </c>
      <c r="E44" s="22">
        <f t="shared" si="75"/>
        <v>8730</v>
      </c>
      <c r="F44" s="43">
        <v>8730</v>
      </c>
      <c r="G44" s="41">
        <v>8721</v>
      </c>
      <c r="H44" s="41">
        <v>9847</v>
      </c>
      <c r="I44" s="41">
        <v>9824</v>
      </c>
      <c r="J44" s="22">
        <f t="shared" si="76"/>
        <v>9568</v>
      </c>
      <c r="K44" s="43">
        <v>9568</v>
      </c>
      <c r="L44" s="41">
        <v>10432</v>
      </c>
      <c r="M44" s="41">
        <v>10055</v>
      </c>
      <c r="N44" s="41">
        <v>9780</v>
      </c>
      <c r="O44" s="22">
        <f t="shared" si="77"/>
        <v>9782</v>
      </c>
      <c r="P44" s="43">
        <v>9782</v>
      </c>
      <c r="Q44" s="41">
        <v>10471</v>
      </c>
      <c r="R44" s="41">
        <v>10507</v>
      </c>
      <c r="S44" s="41">
        <v>10487</v>
      </c>
      <c r="T44" s="22">
        <f t="shared" si="78"/>
        <v>10657</v>
      </c>
      <c r="U44" s="43">
        <v>10657</v>
      </c>
      <c r="V44" s="41">
        <v>11363</v>
      </c>
      <c r="W44" s="41">
        <v>14859</v>
      </c>
      <c r="X44" s="41">
        <v>20298</v>
      </c>
      <c r="Y44" s="22">
        <f t="shared" si="79"/>
        <v>19962</v>
      </c>
      <c r="Z44" s="43">
        <v>19962</v>
      </c>
      <c r="AA44" s="41">
        <v>33754</v>
      </c>
      <c r="AB44" s="41">
        <v>58457</v>
      </c>
      <c r="AC44" s="41">
        <v>57325</v>
      </c>
      <c r="AD44" s="41">
        <v>61890</v>
      </c>
      <c r="AE44" s="23">
        <f t="shared" si="80"/>
        <v>61890</v>
      </c>
      <c r="AF44" s="41">
        <v>57554</v>
      </c>
      <c r="AG44" s="41">
        <v>57025</v>
      </c>
      <c r="AH44" s="41">
        <v>57042</v>
      </c>
      <c r="AI44" s="41">
        <v>56806</v>
      </c>
      <c r="AJ44" s="23">
        <f t="shared" si="81"/>
        <v>56806</v>
      </c>
      <c r="AK44" s="41">
        <v>55150</v>
      </c>
      <c r="AL44" s="41">
        <v>51794</v>
      </c>
      <c r="AM44" s="41">
        <v>51788</v>
      </c>
      <c r="AN44" s="41">
        <v>51811</v>
      </c>
      <c r="AO44" s="23">
        <f t="shared" si="82"/>
        <v>51811</v>
      </c>
      <c r="AP44" s="41">
        <v>47465</v>
      </c>
      <c r="AQ44" s="41">
        <v>47659</v>
      </c>
      <c r="AR44" s="41">
        <v>47381</v>
      </c>
      <c r="AS44" s="41">
        <v>47103</v>
      </c>
      <c r="AT44" s="23">
        <f t="shared" si="83"/>
        <v>47103</v>
      </c>
      <c r="AU44" s="41">
        <v>46877</v>
      </c>
      <c r="AV44" s="41">
        <v>53162</v>
      </c>
      <c r="AW44" s="41">
        <v>53176</v>
      </c>
      <c r="AX44" s="41">
        <v>52586</v>
      </c>
      <c r="AY44" s="23">
        <f t="shared" si="84"/>
        <v>52586</v>
      </c>
      <c r="AZ44" s="41">
        <v>45688</v>
      </c>
      <c r="BA44" s="41">
        <v>44604</v>
      </c>
      <c r="BB44" s="41">
        <v>44611</v>
      </c>
      <c r="BC44" s="41">
        <v>45637</v>
      </c>
      <c r="BD44" s="23">
        <f t="shared" si="85"/>
        <v>45637</v>
      </c>
      <c r="BE44" s="37">
        <f>'Debt_Qtr '!BE68</f>
        <v>52248</v>
      </c>
      <c r="BF44" s="37">
        <f>'Debt_Qtr '!BF68</f>
        <v>49648</v>
      </c>
      <c r="BG44" s="37">
        <f>'Debt_Qtr '!BG68</f>
        <v>48348</v>
      </c>
      <c r="BH44" s="37">
        <f>'Debt_Qtr '!BH68</f>
        <v>48348</v>
      </c>
      <c r="BI44" s="23">
        <f>BH44</f>
        <v>48348</v>
      </c>
      <c r="BK44" s="109"/>
      <c r="BL44" s="109"/>
    </row>
    <row r="45" spans="1:68">
      <c r="A45" s="1" t="s">
        <v>252</v>
      </c>
      <c r="B45" s="41">
        <v>1081</v>
      </c>
      <c r="C45" s="41">
        <v>1052</v>
      </c>
      <c r="D45" s="41">
        <v>1083</v>
      </c>
      <c r="E45" s="22">
        <f t="shared" si="75"/>
        <v>2078</v>
      </c>
      <c r="F45" s="43">
        <v>2078</v>
      </c>
      <c r="G45" s="41">
        <v>2096</v>
      </c>
      <c r="H45" s="41">
        <v>2048</v>
      </c>
      <c r="I45" s="41">
        <v>1729</v>
      </c>
      <c r="J45" s="22">
        <f t="shared" si="76"/>
        <v>2221</v>
      </c>
      <c r="K45" s="43">
        <v>2221</v>
      </c>
      <c r="L45" s="41">
        <v>2285</v>
      </c>
      <c r="M45" s="41">
        <v>2128</v>
      </c>
      <c r="N45" s="41">
        <v>1449</v>
      </c>
      <c r="O45" s="22">
        <f t="shared" si="77"/>
        <v>2015</v>
      </c>
      <c r="P45" s="43">
        <v>2015</v>
      </c>
      <c r="Q45" s="41">
        <v>2474</v>
      </c>
      <c r="R45" s="41">
        <v>2875</v>
      </c>
      <c r="S45" s="41">
        <v>2905</v>
      </c>
      <c r="T45" s="22">
        <f t="shared" si="78"/>
        <v>3059</v>
      </c>
      <c r="U45" s="43">
        <v>3059</v>
      </c>
      <c r="V45" s="41">
        <v>3731</v>
      </c>
      <c r="W45" s="41">
        <v>4839</v>
      </c>
      <c r="X45" s="41">
        <v>3621</v>
      </c>
      <c r="Y45" s="22">
        <f t="shared" si="79"/>
        <v>3422</v>
      </c>
      <c r="Z45" s="43">
        <v>3422</v>
      </c>
      <c r="AA45" s="41">
        <v>3398</v>
      </c>
      <c r="AB45" s="41">
        <v>2821</v>
      </c>
      <c r="AC45" s="41">
        <v>2907</v>
      </c>
      <c r="AD45" s="41">
        <v>1486</v>
      </c>
      <c r="AE45" s="23">
        <f t="shared" si="80"/>
        <v>1486</v>
      </c>
      <c r="AF45" s="41">
        <v>1477</v>
      </c>
      <c r="AG45" s="41">
        <v>1571</v>
      </c>
      <c r="AH45" s="41">
        <v>1722</v>
      </c>
      <c r="AI45" s="41">
        <v>1750</v>
      </c>
      <c r="AJ45" s="23">
        <f t="shared" si="81"/>
        <v>1750</v>
      </c>
      <c r="AK45" s="41">
        <v>1879</v>
      </c>
      <c r="AL45" s="41">
        <v>1891</v>
      </c>
      <c r="AM45" s="41">
        <v>2250</v>
      </c>
      <c r="AN45" s="41">
        <v>2211</v>
      </c>
      <c r="AO45" s="23">
        <f t="shared" si="82"/>
        <v>2211</v>
      </c>
      <c r="AP45" s="41">
        <v>2198</v>
      </c>
      <c r="AQ45" s="41">
        <v>2158</v>
      </c>
      <c r="AR45" s="41">
        <v>2239</v>
      </c>
      <c r="AS45" s="41">
        <v>2332</v>
      </c>
      <c r="AT45" s="23">
        <f t="shared" si="83"/>
        <v>2332</v>
      </c>
      <c r="AU45" s="41">
        <v>2546</v>
      </c>
      <c r="AV45" s="41">
        <v>2212</v>
      </c>
      <c r="AW45" s="41">
        <v>2314</v>
      </c>
      <c r="AX45" s="41">
        <v>2318</v>
      </c>
      <c r="AY45" s="23">
        <f t="shared" si="84"/>
        <v>2318</v>
      </c>
      <c r="AZ45" s="41">
        <v>2260</v>
      </c>
      <c r="BA45" s="41">
        <v>2324</v>
      </c>
      <c r="BB45" s="41">
        <v>2350</v>
      </c>
      <c r="BC45" s="41">
        <v>2432</v>
      </c>
      <c r="BD45" s="23">
        <f t="shared" si="85"/>
        <v>2432</v>
      </c>
      <c r="BE45" s="22">
        <f>BD45+Cash_Flow_Qtr!BE8+Cash_Flow_Qtr!BE9+Cash_Flow_Qtr!BE10+Cash_Flow_Qtr!BE12+Cash_Flow_Qtr!BE13+Cash_Flow_Qtr!BE27+Cash_Flow_Qtr!BE40+Cash_Flow_Qtr!BE49+Cash_Flow_Qtr!BE50+Cash_Flow_Qtr!BE54+Cash_Flow_Qtr!BE58</f>
        <v>3057</v>
      </c>
      <c r="BF45" s="22">
        <f>BE45+Cash_Flow_Qtr!BF8+Cash_Flow_Qtr!BF9+Cash_Flow_Qtr!BF10+Cash_Flow_Qtr!BF12+Cash_Flow_Qtr!BF13+Cash_Flow_Qtr!BF27+Cash_Flow_Qtr!BF40+Cash_Flow_Qtr!BF49+Cash_Flow_Qtr!BF50+Cash_Flow_Qtr!BF54+Cash_Flow_Qtr!BF58</f>
        <v>3682</v>
      </c>
      <c r="BG45" s="22">
        <f>BF45+Cash_Flow_Qtr!BG8+Cash_Flow_Qtr!BG9+Cash_Flow_Qtr!BG10+Cash_Flow_Qtr!BG12+Cash_Flow_Qtr!BG13+Cash_Flow_Qtr!BG27+Cash_Flow_Qtr!BG40+Cash_Flow_Qtr!BG49+Cash_Flow_Qtr!BG50+Cash_Flow_Qtr!BG54+Cash_Flow_Qtr!BG58</f>
        <v>4307</v>
      </c>
      <c r="BH45" s="22">
        <f>BG45+Cash_Flow_Qtr!BH8+Cash_Flow_Qtr!BH9+Cash_Flow_Qtr!BH10+Cash_Flow_Qtr!BH12+Cash_Flow_Qtr!BH13+Cash_Flow_Qtr!BH27+Cash_Flow_Qtr!BH40+Cash_Flow_Qtr!BH49+Cash_Flow_Qtr!BH50+Cash_Flow_Qtr!BH54+Cash_Flow_Qtr!BH58</f>
        <v>4932</v>
      </c>
      <c r="BI45" s="23">
        <f>BH45</f>
        <v>4932</v>
      </c>
      <c r="BK45" s="109"/>
      <c r="BL45" s="109"/>
    </row>
    <row r="46" spans="1:68">
      <c r="A46" s="9" t="s">
        <v>93</v>
      </c>
      <c r="B46" s="24">
        <f t="shared" ref="B46:AF46" si="90">SUM(B40:B45)</f>
        <v>34489</v>
      </c>
      <c r="C46" s="24">
        <f t="shared" si="90"/>
        <v>34659</v>
      </c>
      <c r="D46" s="24">
        <f t="shared" si="90"/>
        <v>34404</v>
      </c>
      <c r="E46" s="24">
        <f t="shared" si="90"/>
        <v>37599</v>
      </c>
      <c r="F46" s="25">
        <f t="shared" si="90"/>
        <v>37599</v>
      </c>
      <c r="G46" s="24">
        <f t="shared" si="90"/>
        <v>37924</v>
      </c>
      <c r="H46" s="24">
        <f t="shared" si="90"/>
        <v>39103</v>
      </c>
      <c r="I46" s="24">
        <f t="shared" si="90"/>
        <v>38311</v>
      </c>
      <c r="J46" s="24">
        <f t="shared" si="90"/>
        <v>38986</v>
      </c>
      <c r="K46" s="25">
        <f t="shared" si="90"/>
        <v>38986</v>
      </c>
      <c r="L46" s="24">
        <f t="shared" si="90"/>
        <v>39737</v>
      </c>
      <c r="M46" s="24">
        <f t="shared" si="90"/>
        <v>39105</v>
      </c>
      <c r="N46" s="24">
        <f t="shared" si="90"/>
        <v>35453</v>
      </c>
      <c r="O46" s="24">
        <f t="shared" si="90"/>
        <v>35652</v>
      </c>
      <c r="P46" s="25">
        <f t="shared" si="90"/>
        <v>35652</v>
      </c>
      <c r="Q46" s="24">
        <f t="shared" si="90"/>
        <v>36719</v>
      </c>
      <c r="R46" s="24">
        <f t="shared" si="90"/>
        <v>36844</v>
      </c>
      <c r="S46" s="24">
        <f t="shared" si="90"/>
        <v>36451</v>
      </c>
      <c r="T46" s="24">
        <f t="shared" si="90"/>
        <v>35359</v>
      </c>
      <c r="U46" s="25">
        <f t="shared" si="90"/>
        <v>35359</v>
      </c>
      <c r="V46" s="24">
        <f t="shared" si="90"/>
        <v>36362</v>
      </c>
      <c r="W46" s="24">
        <f t="shared" si="90"/>
        <v>39015</v>
      </c>
      <c r="X46" s="24">
        <f t="shared" si="90"/>
        <v>44561</v>
      </c>
      <c r="Y46" s="24">
        <f t="shared" si="90"/>
        <v>44613</v>
      </c>
      <c r="Z46" s="25">
        <f t="shared" si="90"/>
        <v>44613</v>
      </c>
      <c r="AA46" s="24">
        <f t="shared" si="90"/>
        <v>57933</v>
      </c>
      <c r="AB46" s="24">
        <f>SUM(AB40:AB45)</f>
        <v>81772</v>
      </c>
      <c r="AC46" s="24">
        <f>SUM(AC40:AC45)</f>
        <v>80507</v>
      </c>
      <c r="AD46" s="24">
        <f>SUM(AD40:AD45)</f>
        <v>82931</v>
      </c>
      <c r="AE46" s="25">
        <f t="shared" si="90"/>
        <v>82931</v>
      </c>
      <c r="AF46" s="24">
        <f t="shared" si="90"/>
        <v>77984</v>
      </c>
      <c r="AG46" s="24">
        <f t="shared" ref="AG46:AM46" si="91">SUM(AG40:AG45)</f>
        <v>77196</v>
      </c>
      <c r="AH46" s="24">
        <f t="shared" si="91"/>
        <v>75341</v>
      </c>
      <c r="AI46" s="24">
        <f t="shared" si="91"/>
        <v>71406</v>
      </c>
      <c r="AJ46" s="25">
        <f t="shared" si="91"/>
        <v>71406</v>
      </c>
      <c r="AK46" s="24">
        <f t="shared" si="91"/>
        <v>69377</v>
      </c>
      <c r="AL46" s="24">
        <f t="shared" si="91"/>
        <v>65471</v>
      </c>
      <c r="AM46" s="24">
        <f t="shared" si="91"/>
        <v>65575</v>
      </c>
      <c r="AN46" s="24">
        <f t="shared" ref="AN46:AR46" si="92">SUM(AN40:AN45)</f>
        <v>62896</v>
      </c>
      <c r="AO46" s="25">
        <f t="shared" si="92"/>
        <v>62896</v>
      </c>
      <c r="AP46" s="24">
        <f t="shared" si="92"/>
        <v>58321</v>
      </c>
      <c r="AQ46" s="24">
        <f t="shared" si="92"/>
        <v>58191</v>
      </c>
      <c r="AR46" s="24">
        <f t="shared" si="92"/>
        <v>57936</v>
      </c>
      <c r="AS46" s="24">
        <f t="shared" ref="AS46:AW46" si="93">SUM(AS40:AS45)</f>
        <v>58413</v>
      </c>
      <c r="AT46" s="25">
        <f t="shared" si="93"/>
        <v>58413</v>
      </c>
      <c r="AU46" s="24">
        <f t="shared" si="93"/>
        <v>58242</v>
      </c>
      <c r="AV46" s="24">
        <f t="shared" si="93"/>
        <v>64072</v>
      </c>
      <c r="AW46" s="24">
        <f t="shared" si="93"/>
        <v>63957</v>
      </c>
      <c r="AX46" s="24">
        <f t="shared" ref="AX46:BB46" si="94">SUM(AX40:AX45)</f>
        <v>63199</v>
      </c>
      <c r="AY46" s="25">
        <f t="shared" si="94"/>
        <v>63199</v>
      </c>
      <c r="AZ46" s="24">
        <f t="shared" si="94"/>
        <v>56165</v>
      </c>
      <c r="BA46" s="24">
        <f t="shared" si="94"/>
        <v>55040</v>
      </c>
      <c r="BB46" s="24">
        <f t="shared" si="94"/>
        <v>54952</v>
      </c>
      <c r="BC46" s="24">
        <f t="shared" ref="BC46:BG46" si="95">SUM(BC40:BC45)</f>
        <v>54663</v>
      </c>
      <c r="BD46" s="25">
        <f t="shared" si="95"/>
        <v>54663</v>
      </c>
      <c r="BE46" s="24">
        <f t="shared" si="95"/>
        <v>61769</v>
      </c>
      <c r="BF46" s="24">
        <f t="shared" si="95"/>
        <v>59664</v>
      </c>
      <c r="BG46" s="24">
        <f t="shared" si="95"/>
        <v>58859</v>
      </c>
      <c r="BH46" s="24">
        <f t="shared" ref="BH46:BI46" si="96">SUM(BH40:BH45)</f>
        <v>59354</v>
      </c>
      <c r="BI46" s="25">
        <f t="shared" si="96"/>
        <v>59354</v>
      </c>
      <c r="BK46" s="109"/>
      <c r="BL46" s="109"/>
    </row>
    <row r="47" spans="1:68">
      <c r="B47" s="22"/>
      <c r="C47" s="22"/>
      <c r="D47" s="22"/>
      <c r="E47" s="22"/>
      <c r="F47" s="23"/>
      <c r="G47" s="22"/>
      <c r="H47" s="22"/>
      <c r="I47" s="22"/>
      <c r="J47" s="22"/>
      <c r="K47" s="23"/>
      <c r="L47" s="22"/>
      <c r="M47" s="22"/>
      <c r="N47" s="22"/>
      <c r="O47" s="22"/>
      <c r="P47" s="23"/>
      <c r="Q47" s="22"/>
      <c r="R47" s="22"/>
      <c r="S47" s="22"/>
      <c r="T47" s="22"/>
      <c r="U47" s="23"/>
      <c r="V47" s="22"/>
      <c r="W47" s="22"/>
      <c r="X47" s="22"/>
      <c r="Y47" s="22"/>
      <c r="Z47" s="23"/>
      <c r="AA47" s="22"/>
      <c r="AB47" s="22"/>
      <c r="AC47" s="22"/>
      <c r="AD47" s="22"/>
      <c r="AE47" s="23"/>
      <c r="AF47" s="22"/>
      <c r="AG47" s="22"/>
      <c r="AH47" s="22"/>
      <c r="AI47" s="22"/>
      <c r="AJ47" s="23"/>
      <c r="AK47" s="22"/>
      <c r="AL47" s="22"/>
      <c r="AM47" s="22"/>
      <c r="AN47" s="22"/>
      <c r="AO47" s="23"/>
      <c r="AP47" s="22"/>
      <c r="AQ47" s="22"/>
      <c r="AR47" s="22"/>
      <c r="AS47" s="22"/>
      <c r="AT47" s="23"/>
      <c r="AU47" s="22"/>
      <c r="AV47" s="22"/>
      <c r="AW47" s="22"/>
      <c r="AX47" s="22"/>
      <c r="AY47" s="23"/>
      <c r="AZ47" s="22"/>
      <c r="BA47" s="22"/>
      <c r="BB47" s="22"/>
      <c r="BC47" s="22"/>
      <c r="BD47" s="23"/>
      <c r="BE47" s="22"/>
      <c r="BF47" s="22"/>
      <c r="BG47" s="22"/>
      <c r="BH47" s="22"/>
      <c r="BI47" s="23"/>
      <c r="BK47" s="109"/>
      <c r="BL47" s="419"/>
      <c r="BM47" s="419"/>
      <c r="BN47" s="419"/>
      <c r="BO47" s="419"/>
      <c r="BP47" s="419"/>
    </row>
    <row r="48" spans="1:68">
      <c r="A48" s="9" t="s">
        <v>94</v>
      </c>
      <c r="B48" s="24">
        <f t="shared" ref="B48:AA48" si="97">+B46+B37</f>
        <v>89745</v>
      </c>
      <c r="C48" s="24">
        <f t="shared" si="97"/>
        <v>91795</v>
      </c>
      <c r="D48" s="24">
        <f t="shared" si="97"/>
        <v>92212</v>
      </c>
      <c r="E48" s="24">
        <f t="shared" si="97"/>
        <v>88011</v>
      </c>
      <c r="F48" s="25">
        <f t="shared" si="97"/>
        <v>88011</v>
      </c>
      <c r="G48" s="24">
        <f t="shared" si="97"/>
        <v>87441</v>
      </c>
      <c r="H48" s="24">
        <f t="shared" si="97"/>
        <v>88962</v>
      </c>
      <c r="I48" s="24">
        <f t="shared" si="97"/>
        <v>86800</v>
      </c>
      <c r="J48" s="24">
        <f t="shared" si="97"/>
        <v>89120</v>
      </c>
      <c r="K48" s="25">
        <f t="shared" si="97"/>
        <v>89120</v>
      </c>
      <c r="L48" s="24">
        <f t="shared" si="97"/>
        <v>89518</v>
      </c>
      <c r="M48" s="24">
        <f t="shared" si="97"/>
        <v>92014</v>
      </c>
      <c r="N48" s="24">
        <f t="shared" si="97"/>
        <v>89862</v>
      </c>
      <c r="O48" s="24">
        <f t="shared" si="97"/>
        <v>91921</v>
      </c>
      <c r="P48" s="25">
        <f t="shared" si="97"/>
        <v>91921</v>
      </c>
      <c r="Q48" s="24">
        <f t="shared" si="97"/>
        <v>112251</v>
      </c>
      <c r="R48" s="24">
        <f t="shared" si="97"/>
        <v>114569</v>
      </c>
      <c r="S48" s="24">
        <f t="shared" si="97"/>
        <v>115868</v>
      </c>
      <c r="T48" s="24">
        <f t="shared" si="97"/>
        <v>116949</v>
      </c>
      <c r="U48" s="25">
        <f t="shared" si="97"/>
        <v>116949</v>
      </c>
      <c r="V48" s="24">
        <f t="shared" si="97"/>
        <v>119977</v>
      </c>
      <c r="W48" s="24">
        <f t="shared" si="97"/>
        <v>131204</v>
      </c>
      <c r="X48" s="24">
        <f t="shared" si="97"/>
        <v>136407</v>
      </c>
      <c r="Y48" s="24">
        <f t="shared" si="97"/>
        <v>141925</v>
      </c>
      <c r="Z48" s="25">
        <f t="shared" si="97"/>
        <v>141925</v>
      </c>
      <c r="AA48" s="24">
        <f t="shared" si="97"/>
        <v>152435</v>
      </c>
      <c r="AB48" s="24">
        <f>+AB46+AB37</f>
        <v>174254</v>
      </c>
      <c r="AC48" s="24">
        <f>+AC46+AC37</f>
        <v>172814</v>
      </c>
      <c r="AD48" s="24">
        <f>+AD46+AD37</f>
        <v>170211</v>
      </c>
      <c r="AE48" s="25">
        <f>+AE46+AE37</f>
        <v>170211</v>
      </c>
      <c r="AF48" s="24">
        <f>+AF46+AF37</f>
        <v>167876</v>
      </c>
      <c r="AG48" s="24">
        <f t="shared" ref="AG48:AK48" si="98">+AG46+AG37</f>
        <v>165420</v>
      </c>
      <c r="AH48" s="24">
        <f t="shared" si="98"/>
        <v>161112</v>
      </c>
      <c r="AI48" s="24">
        <f t="shared" si="98"/>
        <v>153398</v>
      </c>
      <c r="AJ48" s="25">
        <f t="shared" si="98"/>
        <v>153398</v>
      </c>
      <c r="AK48" s="24">
        <f t="shared" si="98"/>
        <v>151069</v>
      </c>
      <c r="AL48" s="24">
        <f>+AL46+AL37</f>
        <v>150270</v>
      </c>
      <c r="AM48" s="24">
        <f>+AM46+AM37</f>
        <v>155193</v>
      </c>
      <c r="AN48" s="24">
        <f t="shared" ref="AN48:AP48" si="99">+AN46+AN37</f>
        <v>152948</v>
      </c>
      <c r="AO48" s="25">
        <f t="shared" si="99"/>
        <v>152948</v>
      </c>
      <c r="AP48" s="24">
        <f t="shared" si="99"/>
        <v>151831</v>
      </c>
      <c r="AQ48" s="24">
        <f>+AQ46+AQ37</f>
        <v>150267</v>
      </c>
      <c r="AR48" s="24">
        <f>+AR46+AR37</f>
        <v>150998</v>
      </c>
      <c r="AS48" s="24">
        <f t="shared" ref="AS48:AU48" si="100">+AS46+AS37</f>
        <v>154240</v>
      </c>
      <c r="AT48" s="25">
        <f t="shared" si="100"/>
        <v>154240</v>
      </c>
      <c r="AU48" s="24">
        <f t="shared" si="100"/>
        <v>151500</v>
      </c>
      <c r="AV48" s="24">
        <f>+AV46+AV37</f>
        <v>160702</v>
      </c>
      <c r="AW48" s="24">
        <f>+AW46+AW37</f>
        <v>161257</v>
      </c>
      <c r="AX48" s="24">
        <f t="shared" ref="AX48:AZ48" si="101">+AX46+AX37</f>
        <v>160277</v>
      </c>
      <c r="AY48" s="25">
        <f t="shared" si="101"/>
        <v>160277</v>
      </c>
      <c r="AZ48" s="24">
        <f t="shared" si="101"/>
        <v>159819</v>
      </c>
      <c r="BA48" s="24">
        <f>+BA46+BA37</f>
        <v>158416</v>
      </c>
      <c r="BB48" s="24">
        <f>+BB46+BB37</f>
        <v>158276</v>
      </c>
      <c r="BC48" s="24">
        <f t="shared" ref="BC48" si="102">+BC46+BC37</f>
        <v>162778</v>
      </c>
      <c r="BD48" s="25">
        <f>+BD46+BD37</f>
        <v>162778</v>
      </c>
      <c r="BE48" s="24">
        <f t="shared" ref="BE48:BG48" si="103">+BE46+BE37</f>
        <v>162198.25850260645</v>
      </c>
      <c r="BF48" s="24">
        <f t="shared" si="103"/>
        <v>159355.89914942256</v>
      </c>
      <c r="BG48" s="24">
        <f t="shared" si="103"/>
        <v>158195.95997134037</v>
      </c>
      <c r="BH48" s="24">
        <f t="shared" ref="BH48" si="104">+BH46+BH37</f>
        <v>158863.92694512085</v>
      </c>
      <c r="BI48" s="25">
        <f>+BI46+BI37</f>
        <v>158863.92694512085</v>
      </c>
      <c r="BK48" s="109"/>
      <c r="BL48" s="109"/>
      <c r="BM48" s="109"/>
      <c r="BN48" s="109"/>
      <c r="BO48" s="109"/>
      <c r="BP48" s="109"/>
    </row>
    <row r="49" spans="1:74">
      <c r="B49" s="22"/>
      <c r="C49" s="22"/>
      <c r="D49" s="22"/>
      <c r="E49" s="22"/>
      <c r="F49" s="23"/>
      <c r="G49" s="22"/>
      <c r="H49" s="22"/>
      <c r="I49" s="22"/>
      <c r="J49" s="22"/>
      <c r="K49" s="23"/>
      <c r="L49" s="22"/>
      <c r="M49" s="22"/>
      <c r="N49" s="22"/>
      <c r="O49" s="22"/>
      <c r="P49" s="23"/>
      <c r="Q49" s="22"/>
      <c r="R49" s="22"/>
      <c r="S49" s="22"/>
      <c r="T49" s="22"/>
      <c r="U49" s="23"/>
      <c r="V49" s="22"/>
      <c r="W49" s="22"/>
      <c r="X49" s="22"/>
      <c r="Y49" s="22"/>
      <c r="Z49" s="23"/>
      <c r="AA49" s="22"/>
      <c r="AB49" s="22"/>
      <c r="AC49" s="22"/>
      <c r="AD49" s="22"/>
      <c r="AE49" s="23"/>
      <c r="AF49" s="22"/>
      <c r="AG49" s="22"/>
      <c r="AH49" s="22"/>
      <c r="AI49" s="22"/>
      <c r="AJ49" s="23"/>
      <c r="AK49" s="22"/>
      <c r="AL49" s="22"/>
      <c r="AM49" s="22"/>
      <c r="AN49" s="22"/>
      <c r="AO49" s="23"/>
      <c r="AP49" s="22"/>
      <c r="AQ49" s="22"/>
      <c r="AR49" s="22"/>
      <c r="AS49" s="22"/>
      <c r="AT49" s="23"/>
      <c r="AU49" s="22"/>
      <c r="AV49" s="22"/>
      <c r="AW49" s="22"/>
      <c r="AX49" s="22"/>
      <c r="AY49" s="23"/>
      <c r="AZ49" s="22"/>
      <c r="BA49" s="22"/>
      <c r="BB49" s="22"/>
      <c r="BC49" s="22"/>
      <c r="BD49" s="23"/>
      <c r="BE49" s="22"/>
      <c r="BF49" s="22"/>
      <c r="BG49" s="22"/>
      <c r="BH49" s="22"/>
      <c r="BI49" s="23"/>
      <c r="BK49" s="109"/>
      <c r="BL49" s="109"/>
      <c r="BM49" s="109"/>
      <c r="BN49" s="109"/>
      <c r="BO49" s="109"/>
      <c r="BP49" s="109"/>
    </row>
    <row r="50" spans="1:74">
      <c r="A50" s="5" t="s">
        <v>36</v>
      </c>
      <c r="B50" s="22"/>
      <c r="C50" s="22"/>
      <c r="D50" s="22"/>
      <c r="E50" s="22"/>
      <c r="F50" s="23"/>
      <c r="G50" s="22"/>
      <c r="H50" s="22"/>
      <c r="I50" s="22"/>
      <c r="J50" s="22"/>
      <c r="K50" s="23"/>
      <c r="L50" s="22"/>
      <c r="M50" s="22"/>
      <c r="N50" s="22"/>
      <c r="O50" s="22"/>
      <c r="P50" s="23"/>
      <c r="Q50" s="22"/>
      <c r="R50" s="22"/>
      <c r="S50" s="22"/>
      <c r="T50" s="22"/>
      <c r="U50" s="23"/>
      <c r="V50" s="22"/>
      <c r="W50" s="22"/>
      <c r="X50" s="22"/>
      <c r="Y50" s="22"/>
      <c r="Z50" s="23"/>
      <c r="AA50" s="22"/>
      <c r="AB50" s="22"/>
      <c r="AC50" s="22"/>
      <c r="AD50" s="22"/>
      <c r="AE50" s="23"/>
      <c r="AF50" s="22"/>
      <c r="AG50" s="22"/>
      <c r="AH50" s="22"/>
      <c r="AI50" s="22"/>
      <c r="AJ50" s="23"/>
      <c r="AK50" s="22"/>
      <c r="AL50" s="22"/>
      <c r="AM50" s="22"/>
      <c r="AN50" s="22"/>
      <c r="AO50" s="23"/>
      <c r="AP50" s="22"/>
      <c r="AQ50" s="22"/>
      <c r="AR50" s="22"/>
      <c r="AS50" s="22"/>
      <c r="AT50" s="23"/>
      <c r="AU50" s="22"/>
      <c r="AV50" s="22"/>
      <c r="AW50" s="22"/>
      <c r="AX50" s="22"/>
      <c r="AY50" s="23"/>
      <c r="AZ50" s="22"/>
      <c r="BA50" s="22"/>
      <c r="BB50" s="22"/>
      <c r="BC50" s="22"/>
      <c r="BD50" s="23"/>
      <c r="BE50" s="22"/>
      <c r="BF50" s="22"/>
      <c r="BG50" s="22"/>
      <c r="BH50" s="22"/>
      <c r="BI50" s="23"/>
      <c r="BK50" s="109"/>
      <c r="BL50" s="109"/>
      <c r="BM50" s="109"/>
      <c r="BN50" s="109"/>
      <c r="BO50" s="109"/>
      <c r="BP50" s="109"/>
    </row>
    <row r="51" spans="1:74">
      <c r="A51" s="1" t="s">
        <v>95</v>
      </c>
      <c r="B51" s="22"/>
      <c r="C51" s="22"/>
      <c r="D51" s="22"/>
      <c r="E51" s="22"/>
      <c r="F51" s="23"/>
      <c r="G51" s="22"/>
      <c r="H51" s="22"/>
      <c r="I51" s="22"/>
      <c r="J51" s="22"/>
      <c r="K51" s="23"/>
      <c r="L51" s="22"/>
      <c r="M51" s="22"/>
      <c r="N51" s="22"/>
      <c r="O51" s="22"/>
      <c r="P51" s="23"/>
      <c r="Q51" s="22"/>
      <c r="R51" s="22"/>
      <c r="S51" s="22"/>
      <c r="T51" s="22"/>
      <c r="U51" s="23"/>
      <c r="V51" s="22"/>
      <c r="W51" s="22"/>
      <c r="X51" s="22"/>
      <c r="Y51" s="22"/>
      <c r="Z51" s="23"/>
      <c r="AA51" s="22"/>
      <c r="AB51" s="22"/>
      <c r="AC51" s="22"/>
      <c r="AD51" s="22"/>
      <c r="AE51" s="23"/>
      <c r="AF51" s="22"/>
      <c r="AG51" s="22"/>
      <c r="AH51" s="22"/>
      <c r="AI51" s="22"/>
      <c r="AJ51" s="23"/>
      <c r="AK51" s="22"/>
      <c r="AL51" s="22"/>
      <c r="AM51" s="22"/>
      <c r="AN51" s="22"/>
      <c r="AO51" s="23"/>
      <c r="AP51" s="22"/>
      <c r="AQ51" s="22"/>
      <c r="AR51" s="22"/>
      <c r="AS51" s="22"/>
      <c r="AT51" s="23"/>
      <c r="AU51" s="22"/>
      <c r="AV51" s="22"/>
      <c r="AW51" s="22"/>
      <c r="AX51" s="22"/>
      <c r="AY51" s="23"/>
      <c r="AZ51" s="22"/>
      <c r="BA51" s="22"/>
      <c r="BB51" s="22"/>
      <c r="BC51" s="22"/>
      <c r="BD51" s="23"/>
      <c r="BE51" s="22"/>
      <c r="BF51" s="22"/>
      <c r="BG51" s="22"/>
      <c r="BH51" s="22"/>
      <c r="BI51" s="23"/>
      <c r="BK51" s="109"/>
      <c r="BL51" s="109"/>
      <c r="BM51" s="109"/>
      <c r="BN51" s="109"/>
      <c r="BO51" s="109"/>
      <c r="BP51" s="109"/>
    </row>
    <row r="52" spans="1:74">
      <c r="A52" s="1" t="s">
        <v>279</v>
      </c>
      <c r="B52" s="41">
        <v>5061</v>
      </c>
      <c r="C52" s="41">
        <v>5061</v>
      </c>
      <c r="D52" s="41">
        <v>5061</v>
      </c>
      <c r="E52" s="22">
        <f t="shared" ref="E52:E57" si="105">+F52</f>
        <v>5061</v>
      </c>
      <c r="F52" s="43">
        <v>5061</v>
      </c>
      <c r="G52" s="41">
        <v>5061</v>
      </c>
      <c r="H52" s="41">
        <v>5061</v>
      </c>
      <c r="I52" s="41">
        <v>5061</v>
      </c>
      <c r="J52" s="22">
        <f t="shared" ref="J52:J57" si="106">+K52</f>
        <v>5061</v>
      </c>
      <c r="K52" s="43">
        <v>5061</v>
      </c>
      <c r="L52" s="41">
        <v>5061</v>
      </c>
      <c r="M52" s="41">
        <v>5061</v>
      </c>
      <c r="N52" s="41">
        <v>5061</v>
      </c>
      <c r="O52" s="22">
        <f t="shared" ref="O52:O57" si="107">+P52</f>
        <v>5061</v>
      </c>
      <c r="P52" s="43">
        <v>5061</v>
      </c>
      <c r="Q52" s="41">
        <v>5061</v>
      </c>
      <c r="R52" s="41">
        <v>5061</v>
      </c>
      <c r="S52" s="41">
        <v>5061</v>
      </c>
      <c r="T52" s="22">
        <f t="shared" ref="T52:T57" si="108">+U52</f>
        <v>5061</v>
      </c>
      <c r="U52" s="43">
        <v>5061</v>
      </c>
      <c r="V52" s="41">
        <v>5061</v>
      </c>
      <c r="W52" s="41">
        <v>5061</v>
      </c>
      <c r="X52" s="41">
        <v>5061</v>
      </c>
      <c r="Y52" s="22">
        <f t="shared" ref="Y52:Y57" si="109">+Z52</f>
        <v>5061</v>
      </c>
      <c r="Z52" s="43">
        <v>5061</v>
      </c>
      <c r="AA52" s="41">
        <v>5061</v>
      </c>
      <c r="AB52" s="41">
        <v>5061</v>
      </c>
      <c r="AC52" s="41">
        <v>5061</v>
      </c>
      <c r="AD52" s="41">
        <v>5061</v>
      </c>
      <c r="AE52" s="23">
        <f t="shared" ref="AE52:AE57" si="110">AD52</f>
        <v>5061</v>
      </c>
      <c r="AF52" s="41">
        <v>5061</v>
      </c>
      <c r="AG52" s="41">
        <v>5061</v>
      </c>
      <c r="AH52" s="41">
        <v>5061</v>
      </c>
      <c r="AI52" s="41">
        <v>5061</v>
      </c>
      <c r="AJ52" s="23">
        <f t="shared" ref="AJ52:AJ57" si="111">AI52</f>
        <v>5061</v>
      </c>
      <c r="AK52" s="41">
        <v>5061</v>
      </c>
      <c r="AL52" s="41">
        <v>5061</v>
      </c>
      <c r="AM52" s="41">
        <v>5061</v>
      </c>
      <c r="AN52" s="41">
        <v>5061</v>
      </c>
      <c r="AO52" s="23">
        <f t="shared" ref="AO52:AO57" si="112">AN52</f>
        <v>5061</v>
      </c>
      <c r="AP52" s="41">
        <v>5061</v>
      </c>
      <c r="AQ52" s="41">
        <v>5061</v>
      </c>
      <c r="AR52" s="41">
        <v>5061</v>
      </c>
      <c r="AS52" s="41">
        <v>5061</v>
      </c>
      <c r="AT52" s="23">
        <f t="shared" ref="AT52:AT57" si="113">AS52</f>
        <v>5061</v>
      </c>
      <c r="AU52" s="41">
        <v>5061</v>
      </c>
      <c r="AV52" s="41">
        <v>5061</v>
      </c>
      <c r="AW52" s="41">
        <v>5061</v>
      </c>
      <c r="AX52" s="41">
        <v>5061</v>
      </c>
      <c r="AY52" s="23">
        <f t="shared" ref="AY52:AY57" si="114">AX52</f>
        <v>5061</v>
      </c>
      <c r="AZ52" s="41">
        <v>5061</v>
      </c>
      <c r="BA52" s="41">
        <v>5061</v>
      </c>
      <c r="BB52" s="41">
        <v>5061</v>
      </c>
      <c r="BC52" s="41">
        <f>BB52</f>
        <v>5061</v>
      </c>
      <c r="BD52" s="23">
        <f>BC52</f>
        <v>5061</v>
      </c>
      <c r="BE52" s="41">
        <f t="shared" ref="BE52:BG52" si="115">BD52</f>
        <v>5061</v>
      </c>
      <c r="BF52" s="41">
        <f t="shared" si="115"/>
        <v>5061</v>
      </c>
      <c r="BG52" s="41">
        <f t="shared" si="115"/>
        <v>5061</v>
      </c>
      <c r="BH52" s="41">
        <f>BG52</f>
        <v>5061</v>
      </c>
      <c r="BI52" s="23">
        <f>BH52</f>
        <v>5061</v>
      </c>
      <c r="BK52" s="109"/>
      <c r="BL52" s="109"/>
      <c r="BM52" s="109"/>
      <c r="BN52" s="109"/>
      <c r="BO52" s="109"/>
      <c r="BP52" s="109"/>
    </row>
    <row r="53" spans="1:74">
      <c r="A53" s="1" t="s">
        <v>96</v>
      </c>
      <c r="B53" s="41">
        <v>4657</v>
      </c>
      <c r="C53" s="41">
        <v>4721</v>
      </c>
      <c r="D53" s="41">
        <v>4771</v>
      </c>
      <c r="E53" s="22">
        <f t="shared" si="105"/>
        <v>4834</v>
      </c>
      <c r="F53" s="43">
        <v>4834</v>
      </c>
      <c r="G53" s="41">
        <v>4784</v>
      </c>
      <c r="H53" s="41">
        <v>4778</v>
      </c>
      <c r="I53" s="41">
        <v>4808</v>
      </c>
      <c r="J53" s="22">
        <f t="shared" si="106"/>
        <v>4762</v>
      </c>
      <c r="K53" s="43">
        <v>4762</v>
      </c>
      <c r="L53" s="41">
        <v>4604</v>
      </c>
      <c r="M53" s="41">
        <v>4644</v>
      </c>
      <c r="N53" s="41">
        <v>6754</v>
      </c>
      <c r="O53" s="22">
        <f t="shared" si="107"/>
        <v>6804</v>
      </c>
      <c r="P53" s="43">
        <v>6804</v>
      </c>
      <c r="Q53" s="41">
        <v>6624</v>
      </c>
      <c r="R53" s="41">
        <v>6676</v>
      </c>
      <c r="S53" s="41">
        <v>6714</v>
      </c>
      <c r="T53" s="22">
        <f t="shared" si="108"/>
        <v>6768</v>
      </c>
      <c r="U53" s="43">
        <v>6768</v>
      </c>
      <c r="V53" s="41">
        <v>6573</v>
      </c>
      <c r="W53" s="41">
        <v>6638</v>
      </c>
      <c r="X53" s="41">
        <v>6688</v>
      </c>
      <c r="Y53" s="22">
        <f t="shared" si="109"/>
        <v>6745</v>
      </c>
      <c r="Z53" s="43">
        <v>6745</v>
      </c>
      <c r="AA53" s="41">
        <v>6595</v>
      </c>
      <c r="AB53" s="41">
        <v>6648</v>
      </c>
      <c r="AC53" s="41">
        <v>6687</v>
      </c>
      <c r="AD53" s="41">
        <v>7787</v>
      </c>
      <c r="AE53" s="23">
        <f t="shared" si="110"/>
        <v>7787</v>
      </c>
      <c r="AF53" s="41">
        <v>8155</v>
      </c>
      <c r="AG53" s="41">
        <v>8481</v>
      </c>
      <c r="AH53" s="41">
        <v>8796</v>
      </c>
      <c r="AI53" s="41">
        <v>9052</v>
      </c>
      <c r="AJ53" s="23">
        <f t="shared" si="111"/>
        <v>9052</v>
      </c>
      <c r="AK53" s="41">
        <v>9295</v>
      </c>
      <c r="AL53" s="41">
        <v>9475</v>
      </c>
      <c r="AM53" s="41">
        <v>9705</v>
      </c>
      <c r="AN53" s="41">
        <v>9947</v>
      </c>
      <c r="AO53" s="23">
        <f t="shared" si="112"/>
        <v>9947</v>
      </c>
      <c r="AP53" s="41">
        <v>10298</v>
      </c>
      <c r="AQ53" s="41">
        <v>10310</v>
      </c>
      <c r="AR53" s="41">
        <v>10616</v>
      </c>
      <c r="AS53" s="41">
        <v>10309</v>
      </c>
      <c r="AT53" s="23">
        <f t="shared" si="113"/>
        <v>10309</v>
      </c>
      <c r="AU53" s="41">
        <v>10539</v>
      </c>
      <c r="AV53" s="41">
        <v>10727</v>
      </c>
      <c r="AW53" s="41">
        <v>10925</v>
      </c>
      <c r="AX53" s="41">
        <v>18964</v>
      </c>
      <c r="AY53" s="23">
        <f t="shared" si="114"/>
        <v>18964</v>
      </c>
      <c r="AZ53" s="41">
        <v>19008</v>
      </c>
      <c r="BA53" s="41">
        <v>19238</v>
      </c>
      <c r="BB53" s="41">
        <v>19218</v>
      </c>
      <c r="BC53" s="41">
        <v>21441</v>
      </c>
      <c r="BD53" s="23">
        <f>BC53</f>
        <v>21441</v>
      </c>
      <c r="BE53" s="22">
        <f>BD53+Cash_Flow_Qtr!BE48+Cash_Flow_Qtr!BE6</f>
        <v>21547.25</v>
      </c>
      <c r="BF53" s="22">
        <f>BE53+Cash_Flow_Qtr!BF48+Cash_Flow_Qtr!BF6</f>
        <v>21653.5</v>
      </c>
      <c r="BG53" s="22">
        <f>BF53+Cash_Flow_Qtr!BG48+Cash_Flow_Qtr!BG6</f>
        <v>21759.75</v>
      </c>
      <c r="BH53" s="22">
        <f>BG53+Cash_Flow_Qtr!BH48+Cash_Flow_Qtr!BH6</f>
        <v>21866</v>
      </c>
      <c r="BI53" s="23">
        <f>BH53</f>
        <v>21866</v>
      </c>
      <c r="BK53" s="109"/>
      <c r="BL53" s="109"/>
      <c r="BM53" s="109"/>
      <c r="BN53" s="109"/>
      <c r="BO53" s="109"/>
      <c r="BP53" s="109"/>
    </row>
    <row r="54" spans="1:74">
      <c r="A54" s="1" t="s">
        <v>280</v>
      </c>
      <c r="B54" s="41">
        <v>-25513</v>
      </c>
      <c r="C54" s="41">
        <v>-27463</v>
      </c>
      <c r="D54" s="41">
        <v>-28898</v>
      </c>
      <c r="E54" s="22">
        <f t="shared" si="105"/>
        <v>-29568</v>
      </c>
      <c r="F54" s="43">
        <v>-29568</v>
      </c>
      <c r="G54" s="41">
        <v>-32939</v>
      </c>
      <c r="H54" s="41">
        <v>-34821</v>
      </c>
      <c r="I54" s="41">
        <v>-35763</v>
      </c>
      <c r="J54" s="22">
        <f t="shared" si="106"/>
        <v>-36097</v>
      </c>
      <c r="K54" s="43">
        <v>-36097</v>
      </c>
      <c r="L54" s="41">
        <v>-38320</v>
      </c>
      <c r="M54" s="41">
        <v>-40730</v>
      </c>
      <c r="N54" s="41">
        <v>-41745</v>
      </c>
      <c r="O54" s="22">
        <f t="shared" si="107"/>
        <v>-43454</v>
      </c>
      <c r="P54" s="43">
        <v>-43454</v>
      </c>
      <c r="Q54" s="41">
        <v>-46396</v>
      </c>
      <c r="R54" s="41">
        <v>-49342</v>
      </c>
      <c r="S54" s="41">
        <v>-51781</v>
      </c>
      <c r="T54" s="22">
        <f t="shared" si="108"/>
        <v>-52348</v>
      </c>
      <c r="U54" s="43">
        <v>-52348</v>
      </c>
      <c r="V54" s="41">
        <v>-54630</v>
      </c>
      <c r="W54" s="41">
        <v>-54932</v>
      </c>
      <c r="X54" s="41">
        <v>-54924</v>
      </c>
      <c r="Y54" s="22">
        <f t="shared" si="109"/>
        <v>-54914</v>
      </c>
      <c r="Z54" s="43">
        <v>-54914</v>
      </c>
      <c r="AA54" s="41">
        <v>-54842</v>
      </c>
      <c r="AB54" s="41">
        <v>-54829</v>
      </c>
      <c r="AC54" s="41">
        <v>-54819</v>
      </c>
      <c r="AD54" s="41">
        <v>-52641</v>
      </c>
      <c r="AE54" s="23">
        <f t="shared" si="110"/>
        <v>-52641</v>
      </c>
      <c r="AF54" s="41">
        <v>-52395</v>
      </c>
      <c r="AG54" s="41">
        <v>-52223</v>
      </c>
      <c r="AH54" s="41">
        <v>-52030</v>
      </c>
      <c r="AI54" s="41">
        <v>-51861</v>
      </c>
      <c r="AJ54" s="23">
        <f t="shared" si="111"/>
        <v>-51861</v>
      </c>
      <c r="AK54" s="41">
        <v>-51573</v>
      </c>
      <c r="AL54" s="41">
        <v>-51319</v>
      </c>
      <c r="AM54" s="41">
        <v>-51054</v>
      </c>
      <c r="AN54" s="41">
        <v>-50814</v>
      </c>
      <c r="AO54" s="23">
        <f t="shared" si="112"/>
        <v>-50814</v>
      </c>
      <c r="AP54" s="41">
        <v>-50376</v>
      </c>
      <c r="AQ54" s="41">
        <v>-50181</v>
      </c>
      <c r="AR54" s="41">
        <v>-49972</v>
      </c>
      <c r="AS54" s="41">
        <v>-49549</v>
      </c>
      <c r="AT54" s="23">
        <f t="shared" si="113"/>
        <v>-49549</v>
      </c>
      <c r="AU54" s="41">
        <v>-49105</v>
      </c>
      <c r="AV54" s="41">
        <v>-48841</v>
      </c>
      <c r="AW54" s="41">
        <v>-48564</v>
      </c>
      <c r="AX54" s="41">
        <v>-32386</v>
      </c>
      <c r="AY54" s="23">
        <f t="shared" si="114"/>
        <v>-32386</v>
      </c>
      <c r="AZ54" s="41">
        <v>-31879</v>
      </c>
      <c r="BA54" s="41">
        <v>-31603</v>
      </c>
      <c r="BB54" s="41">
        <v>-31109</v>
      </c>
      <c r="BC54" s="41">
        <v>-28029</v>
      </c>
      <c r="BD54" s="23">
        <f>BC54</f>
        <v>-28029</v>
      </c>
      <c r="BE54" s="22">
        <f>BD54+Cash_Flow_Qtr!BE51</f>
        <v>-28029</v>
      </c>
      <c r="BF54" s="22">
        <f>BE54+Cash_Flow_Qtr!BF51</f>
        <v>-28029</v>
      </c>
      <c r="BG54" s="22">
        <f>BF54+Cash_Flow_Qtr!BG51</f>
        <v>-28029</v>
      </c>
      <c r="BH54" s="22">
        <f>BG54+Cash_Flow_Qtr!BH51</f>
        <v>-28029</v>
      </c>
      <c r="BI54" s="23">
        <f>BH54</f>
        <v>-28029</v>
      </c>
      <c r="BK54" s="109"/>
      <c r="BL54" s="109"/>
      <c r="BM54" s="109"/>
      <c r="BN54" s="109"/>
      <c r="BO54" s="109"/>
      <c r="BP54" s="109"/>
    </row>
    <row r="55" spans="1:74">
      <c r="A55" s="1" t="s">
        <v>98</v>
      </c>
      <c r="B55" s="41">
        <v>37516</v>
      </c>
      <c r="C55" s="41">
        <v>37365</v>
      </c>
      <c r="D55" s="41">
        <v>39069</v>
      </c>
      <c r="E55" s="22">
        <f t="shared" si="105"/>
        <v>38756</v>
      </c>
      <c r="F55" s="43">
        <v>38756</v>
      </c>
      <c r="G55" s="41">
        <v>39975</v>
      </c>
      <c r="H55" s="41">
        <v>38362</v>
      </c>
      <c r="I55" s="41">
        <v>40641</v>
      </c>
      <c r="J55" s="22">
        <f t="shared" si="106"/>
        <v>40714</v>
      </c>
      <c r="K55" s="43">
        <v>40714</v>
      </c>
      <c r="L55" s="41">
        <v>42165</v>
      </c>
      <c r="M55" s="41">
        <v>42222</v>
      </c>
      <c r="N55" s="41">
        <v>44052</v>
      </c>
      <c r="O55" s="22">
        <f t="shared" si="107"/>
        <v>45320</v>
      </c>
      <c r="P55" s="43">
        <v>45320</v>
      </c>
      <c r="Q55" s="41">
        <v>52095</v>
      </c>
      <c r="R55" s="41">
        <v>52303</v>
      </c>
      <c r="S55" s="41">
        <v>54666</v>
      </c>
      <c r="T55" s="22">
        <f t="shared" si="108"/>
        <v>55941</v>
      </c>
      <c r="U55" s="43">
        <v>55941</v>
      </c>
      <c r="V55" s="41">
        <v>58090</v>
      </c>
      <c r="W55" s="41">
        <v>52819</v>
      </c>
      <c r="X55" s="41">
        <v>53986</v>
      </c>
      <c r="Y55" s="22">
        <f t="shared" si="109"/>
        <v>50644</v>
      </c>
      <c r="Z55" s="43">
        <v>50644</v>
      </c>
      <c r="AA55" s="41">
        <v>49854</v>
      </c>
      <c r="AB55" s="41">
        <v>47478</v>
      </c>
      <c r="AC55" s="41">
        <v>47029</v>
      </c>
      <c r="AD55" s="41">
        <v>38610</v>
      </c>
      <c r="AE55" s="23">
        <f t="shared" si="110"/>
        <v>38610</v>
      </c>
      <c r="AF55" s="41">
        <v>38073</v>
      </c>
      <c r="AG55" s="41">
        <v>38660</v>
      </c>
      <c r="AH55" s="41">
        <v>38551</v>
      </c>
      <c r="AI55" s="41">
        <v>34408</v>
      </c>
      <c r="AJ55" s="23">
        <f t="shared" si="111"/>
        <v>34408</v>
      </c>
      <c r="AK55" s="41">
        <v>33189</v>
      </c>
      <c r="AL55" s="41">
        <v>33382</v>
      </c>
      <c r="AM55" s="41">
        <v>30107</v>
      </c>
      <c r="AN55" s="41">
        <v>29473</v>
      </c>
      <c r="AO55" s="23">
        <f t="shared" si="112"/>
        <v>29473</v>
      </c>
      <c r="AP55" s="41">
        <v>29059</v>
      </c>
      <c r="AQ55" s="41">
        <v>28910</v>
      </c>
      <c r="AR55" s="41">
        <v>27274</v>
      </c>
      <c r="AS55" s="41">
        <v>27251</v>
      </c>
      <c r="AT55" s="23">
        <f t="shared" si="113"/>
        <v>27251</v>
      </c>
      <c r="AU55" s="41">
        <v>26908</v>
      </c>
      <c r="AV55" s="41">
        <v>25469</v>
      </c>
      <c r="AW55" s="41">
        <v>19299</v>
      </c>
      <c r="AX55" s="41">
        <v>15362</v>
      </c>
      <c r="AY55" s="23">
        <f t="shared" si="114"/>
        <v>15362</v>
      </c>
      <c r="AZ55" s="41">
        <v>15239</v>
      </c>
      <c r="BA55" s="41">
        <v>14542</v>
      </c>
      <c r="BB55" s="41">
        <v>9118</v>
      </c>
      <c r="BC55" s="41">
        <v>17252</v>
      </c>
      <c r="BD55" s="23">
        <f>BC55</f>
        <v>17252</v>
      </c>
      <c r="BE55" s="22">
        <f>BD55+Cash_Flow_Qtr!BE4+Cash_Flow_Qtr!BE52</f>
        <v>17016.533585711048</v>
      </c>
      <c r="BF55" s="22">
        <f>BE55+Cash_Flow_Qtr!BF4+Cash_Flow_Qtr!BF52</f>
        <v>17059.718064816978</v>
      </c>
      <c r="BG55" s="22">
        <f>BF55+Cash_Flow_Qtr!BG4+Cash_Flow_Qtr!BG52</f>
        <v>17300.588084239811</v>
      </c>
      <c r="BH55" s="22">
        <f>BG55+Cash_Flow_Qtr!BH4+Cash_Flow_Qtr!BH52</f>
        <v>17727.060954729153</v>
      </c>
      <c r="BI55" s="23">
        <f>BH55</f>
        <v>17727.060954729153</v>
      </c>
      <c r="BK55" s="109"/>
      <c r="BL55" s="109"/>
      <c r="BM55" s="109"/>
      <c r="BN55" s="109"/>
      <c r="BO55" s="109"/>
      <c r="BP55" s="109"/>
    </row>
    <row r="56" spans="1:74">
      <c r="A56" s="1" t="s">
        <v>97</v>
      </c>
      <c r="B56" s="41">
        <v>-13815</v>
      </c>
      <c r="C56" s="41">
        <v>-13420</v>
      </c>
      <c r="D56" s="41">
        <v>-13263</v>
      </c>
      <c r="E56" s="22">
        <f t="shared" si="105"/>
        <v>-12748</v>
      </c>
      <c r="F56" s="43">
        <v>-12748</v>
      </c>
      <c r="G56" s="41">
        <v>-12838</v>
      </c>
      <c r="H56" s="41">
        <v>-12795</v>
      </c>
      <c r="I56" s="41">
        <v>-12658</v>
      </c>
      <c r="J56" s="22">
        <f t="shared" si="106"/>
        <v>-13623</v>
      </c>
      <c r="K56" s="43">
        <v>-13623</v>
      </c>
      <c r="L56" s="41">
        <v>-13415</v>
      </c>
      <c r="M56" s="41">
        <v>-13234</v>
      </c>
      <c r="N56" s="41">
        <v>-13036</v>
      </c>
      <c r="O56" s="22">
        <f t="shared" si="107"/>
        <v>-13376</v>
      </c>
      <c r="P56" s="43">
        <v>-13376</v>
      </c>
      <c r="Q56" s="41">
        <v>-16162</v>
      </c>
      <c r="R56" s="41">
        <v>-16139</v>
      </c>
      <c r="S56" s="41">
        <v>-15949</v>
      </c>
      <c r="T56" s="22">
        <f t="shared" si="108"/>
        <v>-15083</v>
      </c>
      <c r="U56" s="43">
        <v>-15083</v>
      </c>
      <c r="V56" s="41">
        <v>-14969</v>
      </c>
      <c r="W56" s="41">
        <v>-14908</v>
      </c>
      <c r="X56" s="41">
        <v>-14927</v>
      </c>
      <c r="Y56" s="22">
        <f t="shared" si="109"/>
        <v>-16153</v>
      </c>
      <c r="Z56" s="43">
        <v>-16153</v>
      </c>
      <c r="AA56" s="41">
        <v>-16333</v>
      </c>
      <c r="AB56" s="41">
        <v>-16025</v>
      </c>
      <c r="AC56" s="41">
        <v>-15779</v>
      </c>
      <c r="AD56" s="41">
        <v>-17133</v>
      </c>
      <c r="AE56" s="23">
        <f t="shared" si="110"/>
        <v>-17133</v>
      </c>
      <c r="AF56" s="41">
        <v>-16952</v>
      </c>
      <c r="AG56" s="41">
        <v>-16661</v>
      </c>
      <c r="AH56" s="41">
        <v>-14818</v>
      </c>
      <c r="AI56" s="41">
        <v>-11659</v>
      </c>
      <c r="AJ56" s="23">
        <f t="shared" si="111"/>
        <v>-11659</v>
      </c>
      <c r="AK56" s="41">
        <v>-11370</v>
      </c>
      <c r="AL56" s="41">
        <v>-11487</v>
      </c>
      <c r="AM56" s="41">
        <v>-11518</v>
      </c>
      <c r="AN56" s="41">
        <v>-9550</v>
      </c>
      <c r="AO56" s="23">
        <f t="shared" si="112"/>
        <v>-9550</v>
      </c>
      <c r="AP56" s="41">
        <v>-9550</v>
      </c>
      <c r="AQ56" s="41">
        <v>-9617</v>
      </c>
      <c r="AR56" s="41">
        <v>-9708</v>
      </c>
      <c r="AS56" s="41">
        <v>-10305</v>
      </c>
      <c r="AT56" s="23">
        <f t="shared" si="113"/>
        <v>-10305</v>
      </c>
      <c r="AU56" s="41">
        <v>-10412</v>
      </c>
      <c r="AV56" s="41">
        <v>-10392</v>
      </c>
      <c r="AW56" s="41">
        <v>-10273</v>
      </c>
      <c r="AX56" s="41">
        <v>-10915</v>
      </c>
      <c r="AY56" s="23">
        <f t="shared" si="114"/>
        <v>-10915</v>
      </c>
      <c r="AZ56" s="41">
        <v>-10760</v>
      </c>
      <c r="BA56" s="41">
        <v>-10539</v>
      </c>
      <c r="BB56" s="41">
        <v>-10544</v>
      </c>
      <c r="BC56" s="41">
        <v>-10277</v>
      </c>
      <c r="BD56" s="23">
        <f>BC56</f>
        <v>-10277</v>
      </c>
      <c r="BE56" s="22">
        <f>BD56+Cash_Flow_Qtr!BE57</f>
        <v>-10277</v>
      </c>
      <c r="BF56" s="22">
        <f>BE56+Cash_Flow_Qtr!BF57</f>
        <v>-10277</v>
      </c>
      <c r="BG56" s="22">
        <f>BF56+Cash_Flow_Qtr!BG57</f>
        <v>-10277</v>
      </c>
      <c r="BH56" s="22">
        <f>BG56+Cash_Flow_Qtr!BH57</f>
        <v>-10277</v>
      </c>
      <c r="BI56" s="23">
        <f>BH56</f>
        <v>-10277</v>
      </c>
      <c r="BK56" s="109"/>
      <c r="BL56" s="109"/>
      <c r="BM56" s="109"/>
      <c r="BN56" s="109"/>
      <c r="BO56" s="109"/>
      <c r="BP56" s="109"/>
    </row>
    <row r="57" spans="1:74">
      <c r="A57" s="1" t="s">
        <v>655</v>
      </c>
      <c r="B57" s="41">
        <v>0</v>
      </c>
      <c r="C57" s="41">
        <v>0</v>
      </c>
      <c r="D57" s="41">
        <v>0</v>
      </c>
      <c r="E57" s="22">
        <f t="shared" si="105"/>
        <v>0</v>
      </c>
      <c r="F57" s="43">
        <v>0</v>
      </c>
      <c r="G57" s="41">
        <v>0</v>
      </c>
      <c r="H57" s="41">
        <v>0</v>
      </c>
      <c r="I57" s="41">
        <v>0</v>
      </c>
      <c r="J57" s="22">
        <f t="shared" si="106"/>
        <v>0</v>
      </c>
      <c r="K57" s="43">
        <v>0</v>
      </c>
      <c r="L57" s="41">
        <v>0</v>
      </c>
      <c r="M57" s="41">
        <v>0</v>
      </c>
      <c r="N57" s="41">
        <v>0</v>
      </c>
      <c r="O57" s="22">
        <f t="shared" si="107"/>
        <v>0</v>
      </c>
      <c r="P57" s="43">
        <v>0</v>
      </c>
      <c r="Q57" s="41">
        <v>0</v>
      </c>
      <c r="R57" s="41">
        <v>0</v>
      </c>
      <c r="S57" s="41">
        <v>0</v>
      </c>
      <c r="T57" s="22">
        <f t="shared" si="108"/>
        <v>0</v>
      </c>
      <c r="U57" s="43">
        <v>0</v>
      </c>
      <c r="V57" s="41">
        <v>0</v>
      </c>
      <c r="W57" s="41">
        <v>0</v>
      </c>
      <c r="X57" s="41">
        <v>0</v>
      </c>
      <c r="Y57" s="22">
        <f t="shared" si="109"/>
        <v>0</v>
      </c>
      <c r="Z57" s="43">
        <v>0</v>
      </c>
      <c r="AA57" s="41">
        <v>0</v>
      </c>
      <c r="AB57" s="41">
        <v>0</v>
      </c>
      <c r="AC57" s="41">
        <v>0</v>
      </c>
      <c r="AD57" s="41">
        <v>0</v>
      </c>
      <c r="AE57" s="23">
        <f t="shared" si="110"/>
        <v>0</v>
      </c>
      <c r="AF57" s="41">
        <v>0</v>
      </c>
      <c r="AG57" s="41">
        <v>0</v>
      </c>
      <c r="AH57" s="41">
        <v>0</v>
      </c>
      <c r="AI57" s="41">
        <v>0</v>
      </c>
      <c r="AJ57" s="23">
        <f t="shared" si="111"/>
        <v>0</v>
      </c>
      <c r="AK57" s="41">
        <v>0</v>
      </c>
      <c r="AL57" s="41">
        <v>0</v>
      </c>
      <c r="AM57" s="41">
        <v>0</v>
      </c>
      <c r="AN57" s="41">
        <v>0</v>
      </c>
      <c r="AO57" s="23">
        <f t="shared" si="112"/>
        <v>0</v>
      </c>
      <c r="AP57" s="41">
        <v>0</v>
      </c>
      <c r="AQ57" s="41">
        <v>0</v>
      </c>
      <c r="AR57" s="41">
        <v>0</v>
      </c>
      <c r="AS57" s="41">
        <v>0</v>
      </c>
      <c r="AT57" s="23">
        <f t="shared" si="113"/>
        <v>0</v>
      </c>
      <c r="AU57" s="41">
        <v>0</v>
      </c>
      <c r="AV57" s="41">
        <v>0</v>
      </c>
      <c r="AW57" s="41">
        <v>0</v>
      </c>
      <c r="AX57" s="41">
        <v>6</v>
      </c>
      <c r="AY57" s="23">
        <f t="shared" si="114"/>
        <v>6</v>
      </c>
      <c r="AZ57" s="41">
        <v>6</v>
      </c>
      <c r="BA57" s="41">
        <v>6</v>
      </c>
      <c r="BB57" s="41">
        <v>6</v>
      </c>
      <c r="BC57" s="41">
        <f>BB57+Cash_Flow_Qtr!BC53</f>
        <v>6</v>
      </c>
      <c r="BD57" s="23">
        <f>BC57</f>
        <v>6</v>
      </c>
      <c r="BE57" s="41">
        <f>BD57+Cash_Flow_Qtr!BE53</f>
        <v>6</v>
      </c>
      <c r="BF57" s="41">
        <f>BE57+Cash_Flow_Qtr!BF53</f>
        <v>6</v>
      </c>
      <c r="BG57" s="41">
        <f>BF57+Cash_Flow_Qtr!BG53</f>
        <v>6</v>
      </c>
      <c r="BH57" s="41">
        <f>BG57+Cash_Flow_Qtr!BH53</f>
        <v>6</v>
      </c>
      <c r="BI57" s="23">
        <f>BH57</f>
        <v>6</v>
      </c>
      <c r="BK57" s="109"/>
      <c r="BL57" s="109"/>
      <c r="BM57" s="109"/>
      <c r="BN57" s="109"/>
      <c r="BO57" s="109"/>
      <c r="BP57" s="109"/>
    </row>
    <row r="58" spans="1:74">
      <c r="A58" s="9" t="s">
        <v>99</v>
      </c>
      <c r="B58" s="24">
        <f t="shared" ref="B58:Z58" si="116">SUM(B52:B57)</f>
        <v>7906</v>
      </c>
      <c r="C58" s="24">
        <f t="shared" si="116"/>
        <v>6264</v>
      </c>
      <c r="D58" s="24">
        <f t="shared" si="116"/>
        <v>6740</v>
      </c>
      <c r="E58" s="24">
        <f t="shared" si="116"/>
        <v>6335</v>
      </c>
      <c r="F58" s="25">
        <f t="shared" si="116"/>
        <v>6335</v>
      </c>
      <c r="G58" s="24">
        <f t="shared" si="116"/>
        <v>4043</v>
      </c>
      <c r="H58" s="24">
        <f t="shared" si="116"/>
        <v>585</v>
      </c>
      <c r="I58" s="24">
        <f t="shared" si="116"/>
        <v>2089</v>
      </c>
      <c r="J58" s="24">
        <f t="shared" si="116"/>
        <v>817</v>
      </c>
      <c r="K58" s="25">
        <f t="shared" si="116"/>
        <v>817</v>
      </c>
      <c r="L58" s="24">
        <f t="shared" si="116"/>
        <v>95</v>
      </c>
      <c r="M58" s="24">
        <f t="shared" si="116"/>
        <v>-2037</v>
      </c>
      <c r="N58" s="24">
        <f t="shared" si="116"/>
        <v>1086</v>
      </c>
      <c r="O58" s="24">
        <f t="shared" si="116"/>
        <v>355</v>
      </c>
      <c r="P58" s="25">
        <f t="shared" si="116"/>
        <v>355</v>
      </c>
      <c r="Q58" s="24">
        <f t="shared" si="116"/>
        <v>1222</v>
      </c>
      <c r="R58" s="24">
        <f t="shared" si="116"/>
        <v>-1441</v>
      </c>
      <c r="S58" s="24">
        <f t="shared" si="116"/>
        <v>-1289</v>
      </c>
      <c r="T58" s="24">
        <f t="shared" si="116"/>
        <v>339</v>
      </c>
      <c r="U58" s="25">
        <f t="shared" si="116"/>
        <v>339</v>
      </c>
      <c r="V58" s="24">
        <f t="shared" si="116"/>
        <v>125</v>
      </c>
      <c r="W58" s="24">
        <f t="shared" si="116"/>
        <v>-5322</v>
      </c>
      <c r="X58" s="24">
        <f t="shared" si="116"/>
        <v>-4116</v>
      </c>
      <c r="Y58" s="24">
        <f t="shared" si="116"/>
        <v>-8617</v>
      </c>
      <c r="Z58" s="25">
        <f t="shared" si="116"/>
        <v>-8617</v>
      </c>
      <c r="AA58" s="24">
        <f t="shared" ref="AA58:AM58" si="117">SUM(AA52:AA57)</f>
        <v>-9665</v>
      </c>
      <c r="AB58" s="24">
        <f t="shared" si="117"/>
        <v>-11667</v>
      </c>
      <c r="AC58" s="24">
        <f t="shared" si="117"/>
        <v>-11821</v>
      </c>
      <c r="AD58" s="24">
        <f t="shared" si="117"/>
        <v>-18316</v>
      </c>
      <c r="AE58" s="25">
        <f t="shared" si="117"/>
        <v>-18316</v>
      </c>
      <c r="AF58" s="24">
        <f t="shared" si="117"/>
        <v>-18058</v>
      </c>
      <c r="AG58" s="24">
        <f t="shared" si="117"/>
        <v>-16682</v>
      </c>
      <c r="AH58" s="24">
        <f t="shared" si="117"/>
        <v>-14440</v>
      </c>
      <c r="AI58" s="24">
        <f t="shared" si="117"/>
        <v>-14999</v>
      </c>
      <c r="AJ58" s="25">
        <f t="shared" si="117"/>
        <v>-14999</v>
      </c>
      <c r="AK58" s="24">
        <f t="shared" si="117"/>
        <v>-15398</v>
      </c>
      <c r="AL58" s="24">
        <f t="shared" si="117"/>
        <v>-14888</v>
      </c>
      <c r="AM58" s="24">
        <f t="shared" si="117"/>
        <v>-17699</v>
      </c>
      <c r="AN58" s="24">
        <f t="shared" ref="AN58:AR58" si="118">SUM(AN52:AN57)</f>
        <v>-15883</v>
      </c>
      <c r="AO58" s="25">
        <f t="shared" si="118"/>
        <v>-15883</v>
      </c>
      <c r="AP58" s="24">
        <f t="shared" si="118"/>
        <v>-15508</v>
      </c>
      <c r="AQ58" s="24">
        <f t="shared" si="118"/>
        <v>-15517</v>
      </c>
      <c r="AR58" s="24">
        <f t="shared" si="118"/>
        <v>-16729</v>
      </c>
      <c r="AS58" s="24">
        <f t="shared" ref="AS58:AW58" si="119">SUM(AS52:AS57)</f>
        <v>-17233</v>
      </c>
      <c r="AT58" s="25">
        <f t="shared" si="119"/>
        <v>-17233</v>
      </c>
      <c r="AU58" s="24">
        <f t="shared" si="119"/>
        <v>-17009</v>
      </c>
      <c r="AV58" s="24">
        <f t="shared" si="119"/>
        <v>-17976</v>
      </c>
      <c r="AW58" s="24">
        <f t="shared" si="119"/>
        <v>-23552</v>
      </c>
      <c r="AX58" s="24">
        <f t="shared" ref="AX58:BB58" si="120">SUM(AX52:AX57)</f>
        <v>-3908</v>
      </c>
      <c r="AY58" s="25">
        <f t="shared" si="120"/>
        <v>-3908</v>
      </c>
      <c r="AZ58" s="24">
        <f t="shared" si="120"/>
        <v>-3325</v>
      </c>
      <c r="BA58" s="24">
        <f t="shared" si="120"/>
        <v>-3295</v>
      </c>
      <c r="BB58" s="24">
        <f t="shared" si="120"/>
        <v>-8250</v>
      </c>
      <c r="BC58" s="24">
        <f t="shared" ref="BC58:BG58" si="121">SUM(BC52:BC57)</f>
        <v>5454</v>
      </c>
      <c r="BD58" s="25">
        <f t="shared" si="121"/>
        <v>5454</v>
      </c>
      <c r="BE58" s="24">
        <f t="shared" si="121"/>
        <v>5324.7835857110476</v>
      </c>
      <c r="BF58" s="24">
        <f t="shared" si="121"/>
        <v>5474.2180648169779</v>
      </c>
      <c r="BG58" s="24">
        <f t="shared" si="121"/>
        <v>5821.338084239811</v>
      </c>
      <c r="BH58" s="24">
        <f t="shared" ref="BH58:BI58" si="122">SUM(BH52:BH57)</f>
        <v>6354.0609547291533</v>
      </c>
      <c r="BI58" s="25">
        <f t="shared" si="122"/>
        <v>6354.0609547291533</v>
      </c>
      <c r="BK58" s="109"/>
      <c r="BL58" s="109"/>
      <c r="BM58" s="109"/>
      <c r="BN58" s="109"/>
      <c r="BO58" s="109"/>
      <c r="BP58" s="109"/>
    </row>
    <row r="59" spans="1:74">
      <c r="B59" s="22"/>
      <c r="C59" s="22"/>
      <c r="D59" s="22"/>
      <c r="E59" s="22"/>
      <c r="F59" s="23"/>
      <c r="G59" s="22"/>
      <c r="H59" s="22"/>
      <c r="I59" s="22"/>
      <c r="J59" s="22"/>
      <c r="K59" s="23"/>
      <c r="L59" s="22"/>
      <c r="M59" s="22"/>
      <c r="N59" s="22"/>
      <c r="O59" s="22"/>
      <c r="P59" s="23"/>
      <c r="Q59" s="22"/>
      <c r="R59" s="22"/>
      <c r="S59" s="22"/>
      <c r="T59" s="22"/>
      <c r="U59" s="23"/>
      <c r="V59" s="22"/>
      <c r="W59" s="22"/>
      <c r="X59" s="22"/>
      <c r="Y59" s="22"/>
      <c r="Z59" s="23"/>
      <c r="AA59" s="22"/>
      <c r="AB59" s="22"/>
      <c r="AC59" s="22"/>
      <c r="AD59" s="22"/>
      <c r="AE59" s="23"/>
      <c r="AF59" s="22"/>
      <c r="AG59" s="22"/>
      <c r="AH59" s="22"/>
      <c r="AI59" s="22"/>
      <c r="AJ59" s="23"/>
      <c r="AK59" s="22"/>
      <c r="AL59" s="22"/>
      <c r="AM59" s="22"/>
      <c r="AN59" s="22"/>
      <c r="AO59" s="23"/>
      <c r="AP59" s="22"/>
      <c r="AQ59" s="22"/>
      <c r="AR59" s="22"/>
      <c r="AS59" s="22"/>
      <c r="AT59" s="23"/>
      <c r="AU59" s="22"/>
      <c r="AV59" s="22"/>
      <c r="AW59" s="22"/>
      <c r="AX59" s="22"/>
      <c r="AY59" s="23"/>
      <c r="AZ59" s="22"/>
      <c r="BA59" s="22"/>
      <c r="BB59" s="22"/>
      <c r="BC59" s="22"/>
      <c r="BD59" s="23"/>
      <c r="BE59" s="22"/>
      <c r="BF59" s="22"/>
      <c r="BG59" s="22"/>
      <c r="BH59" s="22"/>
      <c r="BI59" s="23"/>
      <c r="BK59" s="109"/>
      <c r="BL59" s="109"/>
      <c r="BM59" s="109"/>
      <c r="BN59" s="109"/>
      <c r="BO59" s="109"/>
      <c r="BP59" s="109"/>
    </row>
    <row r="60" spans="1:74" s="5" customFormat="1">
      <c r="A60" s="5" t="s">
        <v>100</v>
      </c>
      <c r="B60" s="81">
        <v>124</v>
      </c>
      <c r="C60" s="81">
        <v>43</v>
      </c>
      <c r="D60" s="81">
        <v>46</v>
      </c>
      <c r="E60" s="39">
        <f>+F60</f>
        <v>62</v>
      </c>
      <c r="F60" s="82">
        <v>62</v>
      </c>
      <c r="G60" s="81">
        <v>63</v>
      </c>
      <c r="H60" s="81">
        <v>62</v>
      </c>
      <c r="I60" s="81">
        <v>61</v>
      </c>
      <c r="J60" s="39">
        <f>+K60</f>
        <v>60</v>
      </c>
      <c r="K60" s="82">
        <v>60</v>
      </c>
      <c r="L60" s="81">
        <v>60</v>
      </c>
      <c r="M60" s="81">
        <v>59</v>
      </c>
      <c r="N60" s="81">
        <v>59</v>
      </c>
      <c r="O60" s="39">
        <f>+P60</f>
        <v>57</v>
      </c>
      <c r="P60" s="82">
        <v>57</v>
      </c>
      <c r="Q60" s="81">
        <v>76</v>
      </c>
      <c r="R60" s="81">
        <v>67</v>
      </c>
      <c r="S60" s="81">
        <v>80</v>
      </c>
      <c r="T60" s="39">
        <f>+U60</f>
        <v>71</v>
      </c>
      <c r="U60" s="82">
        <v>71</v>
      </c>
      <c r="V60" s="81">
        <v>107</v>
      </c>
      <c r="W60" s="81">
        <v>379</v>
      </c>
      <c r="X60" s="81">
        <v>307</v>
      </c>
      <c r="Y60" s="39">
        <f>+Z60</f>
        <v>317</v>
      </c>
      <c r="Z60" s="82">
        <v>317</v>
      </c>
      <c r="AA60" s="81">
        <v>305</v>
      </c>
      <c r="AB60" s="81">
        <v>285</v>
      </c>
      <c r="AC60" s="81">
        <v>268</v>
      </c>
      <c r="AD60" s="81">
        <v>241</v>
      </c>
      <c r="AE60" s="40">
        <f>AD60</f>
        <v>241</v>
      </c>
      <c r="AF60" s="81">
        <v>217</v>
      </c>
      <c r="AG60" s="81">
        <v>197</v>
      </c>
      <c r="AH60" s="81">
        <v>174</v>
      </c>
      <c r="AI60" s="81">
        <v>153</v>
      </c>
      <c r="AJ60" s="40">
        <f>AI60</f>
        <v>153</v>
      </c>
      <c r="AK60" s="81">
        <v>130</v>
      </c>
      <c r="AL60" s="81">
        <v>97</v>
      </c>
      <c r="AM60" s="81">
        <v>64</v>
      </c>
      <c r="AN60" s="81">
        <v>35</v>
      </c>
      <c r="AO60" s="40">
        <f>AN60</f>
        <v>35</v>
      </c>
      <c r="AP60" s="81">
        <v>24</v>
      </c>
      <c r="AQ60" s="81">
        <v>24</v>
      </c>
      <c r="AR60" s="81">
        <v>12</v>
      </c>
      <c r="AS60" s="81">
        <v>5</v>
      </c>
      <c r="AT60" s="40">
        <f>AS60</f>
        <v>5</v>
      </c>
      <c r="AU60" s="81">
        <v>-7</v>
      </c>
      <c r="AV60" s="81">
        <v>-6</v>
      </c>
      <c r="AW60" s="81">
        <v>-10</v>
      </c>
      <c r="AX60" s="81">
        <v>-6</v>
      </c>
      <c r="AY60" s="40">
        <f>AX60</f>
        <v>-6</v>
      </c>
      <c r="AZ60" s="81">
        <v>0</v>
      </c>
      <c r="BA60" s="81">
        <v>-1</v>
      </c>
      <c r="BB60" s="81">
        <v>-3</v>
      </c>
      <c r="BC60" s="81">
        <v>3</v>
      </c>
      <c r="BD60" s="40">
        <f>BC60</f>
        <v>3</v>
      </c>
      <c r="BE60" s="39">
        <f>BD60+Cash_Flow_Qtr!BE47</f>
        <v>3</v>
      </c>
      <c r="BF60" s="39">
        <f>BE60+Cash_Flow_Qtr!BF47</f>
        <v>3</v>
      </c>
      <c r="BG60" s="39">
        <f>BF60+Cash_Flow_Qtr!BG47</f>
        <v>3</v>
      </c>
      <c r="BH60" s="39">
        <f>BG60+Cash_Flow_Qtr!BH47</f>
        <v>3</v>
      </c>
      <c r="BI60" s="40">
        <f>BH60</f>
        <v>3</v>
      </c>
      <c r="BK60" s="109"/>
      <c r="BL60" s="109"/>
      <c r="BM60" s="109"/>
      <c r="BN60" s="109"/>
      <c r="BO60" s="109"/>
      <c r="BP60" s="109"/>
      <c r="BQ60"/>
      <c r="BR60"/>
      <c r="BS60"/>
      <c r="BT60"/>
      <c r="BU60"/>
      <c r="BV60"/>
    </row>
    <row r="61" spans="1:74">
      <c r="B61" s="22"/>
      <c r="C61" s="22"/>
      <c r="D61" s="22"/>
      <c r="E61" s="22"/>
      <c r="F61" s="23"/>
      <c r="G61" s="22"/>
      <c r="H61" s="22"/>
      <c r="I61" s="22"/>
      <c r="J61" s="22"/>
      <c r="K61" s="23"/>
      <c r="L61" s="22"/>
      <c r="M61" s="22"/>
      <c r="N61" s="22"/>
      <c r="O61" s="22"/>
      <c r="P61" s="23"/>
      <c r="Q61" s="22"/>
      <c r="R61" s="22"/>
      <c r="S61" s="22"/>
      <c r="T61" s="22"/>
      <c r="U61" s="23"/>
      <c r="V61" s="22"/>
      <c r="W61" s="22"/>
      <c r="X61" s="22"/>
      <c r="Y61" s="22"/>
      <c r="Z61" s="23"/>
      <c r="AA61" s="22"/>
      <c r="AB61" s="22"/>
      <c r="AC61" s="22"/>
      <c r="AD61" s="22"/>
      <c r="AE61" s="23"/>
      <c r="AF61" s="22"/>
      <c r="AG61" s="22"/>
      <c r="AH61" s="22"/>
      <c r="AI61" s="22"/>
      <c r="AJ61" s="23"/>
      <c r="AK61" s="22"/>
      <c r="AL61" s="22"/>
      <c r="AM61" s="22"/>
      <c r="AN61" s="22"/>
      <c r="AO61" s="23"/>
      <c r="AP61" s="22"/>
      <c r="AQ61" s="22"/>
      <c r="AR61" s="22"/>
      <c r="AS61" s="22"/>
      <c r="AT61" s="23"/>
      <c r="AU61" s="22"/>
      <c r="AV61" s="22"/>
      <c r="AW61" s="22"/>
      <c r="AX61" s="22"/>
      <c r="AY61" s="23"/>
      <c r="AZ61" s="22"/>
      <c r="BA61" s="22"/>
      <c r="BB61" s="22"/>
      <c r="BC61" s="22"/>
      <c r="BD61" s="23"/>
      <c r="BE61" s="22"/>
      <c r="BF61" s="22"/>
      <c r="BG61" s="22"/>
      <c r="BH61" s="22"/>
      <c r="BI61" s="23"/>
      <c r="BK61" s="109"/>
      <c r="BL61" s="109"/>
      <c r="BM61" s="444"/>
    </row>
    <row r="62" spans="1:74">
      <c r="A62" s="9" t="s">
        <v>101</v>
      </c>
      <c r="B62" s="24">
        <f t="shared" ref="B62:T62" si="123">+B58+B60</f>
        <v>8030</v>
      </c>
      <c r="C62" s="24">
        <f t="shared" si="123"/>
        <v>6307</v>
      </c>
      <c r="D62" s="24">
        <f t="shared" si="123"/>
        <v>6786</v>
      </c>
      <c r="E62" s="24">
        <f t="shared" si="123"/>
        <v>6397</v>
      </c>
      <c r="F62" s="25">
        <f t="shared" si="123"/>
        <v>6397</v>
      </c>
      <c r="G62" s="24">
        <f t="shared" si="123"/>
        <v>4106</v>
      </c>
      <c r="H62" s="24">
        <f t="shared" si="123"/>
        <v>647</v>
      </c>
      <c r="I62" s="24">
        <f t="shared" si="123"/>
        <v>2150</v>
      </c>
      <c r="J62" s="24">
        <f t="shared" si="123"/>
        <v>877</v>
      </c>
      <c r="K62" s="25">
        <f t="shared" si="123"/>
        <v>877</v>
      </c>
      <c r="L62" s="24">
        <f t="shared" si="123"/>
        <v>155</v>
      </c>
      <c r="M62" s="24">
        <f t="shared" si="123"/>
        <v>-1978</v>
      </c>
      <c r="N62" s="24">
        <f t="shared" si="123"/>
        <v>1145</v>
      </c>
      <c r="O62" s="24">
        <f t="shared" si="123"/>
        <v>412</v>
      </c>
      <c r="P62" s="25">
        <f t="shared" si="123"/>
        <v>412</v>
      </c>
      <c r="Q62" s="24">
        <f t="shared" si="123"/>
        <v>1298</v>
      </c>
      <c r="R62" s="24">
        <f t="shared" si="123"/>
        <v>-1374</v>
      </c>
      <c r="S62" s="24">
        <f t="shared" si="123"/>
        <v>-1209</v>
      </c>
      <c r="T62" s="24">
        <f t="shared" si="123"/>
        <v>410</v>
      </c>
      <c r="U62" s="25">
        <f t="shared" ref="U62:AF62" si="124">+U58+U60</f>
        <v>410</v>
      </c>
      <c r="V62" s="24">
        <f t="shared" si="124"/>
        <v>232</v>
      </c>
      <c r="W62" s="24">
        <f t="shared" si="124"/>
        <v>-4943</v>
      </c>
      <c r="X62" s="24">
        <f t="shared" si="124"/>
        <v>-3809</v>
      </c>
      <c r="Y62" s="24">
        <f t="shared" si="124"/>
        <v>-8300</v>
      </c>
      <c r="Z62" s="25">
        <f t="shared" si="124"/>
        <v>-8300</v>
      </c>
      <c r="AA62" s="24">
        <f t="shared" si="124"/>
        <v>-9360</v>
      </c>
      <c r="AB62" s="24">
        <f t="shared" si="124"/>
        <v>-11382</v>
      </c>
      <c r="AC62" s="24">
        <f>+AC58+AC60</f>
        <v>-11553</v>
      </c>
      <c r="AD62" s="24">
        <f t="shared" si="124"/>
        <v>-18075</v>
      </c>
      <c r="AE62" s="25">
        <f t="shared" si="124"/>
        <v>-18075</v>
      </c>
      <c r="AF62" s="24">
        <f t="shared" si="124"/>
        <v>-17841</v>
      </c>
      <c r="AG62" s="24">
        <f t="shared" ref="AG62:AM62" si="125">+AG58+AG60</f>
        <v>-16485</v>
      </c>
      <c r="AH62" s="24">
        <f t="shared" si="125"/>
        <v>-14266</v>
      </c>
      <c r="AI62" s="24">
        <f t="shared" si="125"/>
        <v>-14846</v>
      </c>
      <c r="AJ62" s="25">
        <f t="shared" si="125"/>
        <v>-14846</v>
      </c>
      <c r="AK62" s="24">
        <f t="shared" si="125"/>
        <v>-15268</v>
      </c>
      <c r="AL62" s="24">
        <f t="shared" si="125"/>
        <v>-14791</v>
      </c>
      <c r="AM62" s="24">
        <f t="shared" si="125"/>
        <v>-17635</v>
      </c>
      <c r="AN62" s="24">
        <f t="shared" ref="AN62:AR62" si="126">+AN58+AN60</f>
        <v>-15848</v>
      </c>
      <c r="AO62" s="25">
        <f t="shared" si="126"/>
        <v>-15848</v>
      </c>
      <c r="AP62" s="24">
        <f t="shared" si="126"/>
        <v>-15484</v>
      </c>
      <c r="AQ62" s="24">
        <f t="shared" si="126"/>
        <v>-15493</v>
      </c>
      <c r="AR62" s="24">
        <f t="shared" si="126"/>
        <v>-16717</v>
      </c>
      <c r="AS62" s="24">
        <f t="shared" ref="AS62:AW62" si="127">+AS58+AS60</f>
        <v>-17228</v>
      </c>
      <c r="AT62" s="25">
        <f t="shared" si="127"/>
        <v>-17228</v>
      </c>
      <c r="AU62" s="24">
        <f t="shared" si="127"/>
        <v>-17016</v>
      </c>
      <c r="AV62" s="24">
        <f t="shared" si="127"/>
        <v>-17982</v>
      </c>
      <c r="AW62" s="24">
        <f t="shared" si="127"/>
        <v>-23562</v>
      </c>
      <c r="AX62" s="24">
        <f t="shared" ref="AX62:BB62" si="128">+AX58+AX60</f>
        <v>-3914</v>
      </c>
      <c r="AY62" s="25">
        <f t="shared" si="128"/>
        <v>-3914</v>
      </c>
      <c r="AZ62" s="24">
        <f t="shared" si="128"/>
        <v>-3325</v>
      </c>
      <c r="BA62" s="24">
        <f t="shared" si="128"/>
        <v>-3296</v>
      </c>
      <c r="BB62" s="24">
        <f t="shared" si="128"/>
        <v>-8253</v>
      </c>
      <c r="BC62" s="24">
        <f t="shared" ref="BC62:BG62" si="129">+BC58+BC60</f>
        <v>5457</v>
      </c>
      <c r="BD62" s="25">
        <f t="shared" si="129"/>
        <v>5457</v>
      </c>
      <c r="BE62" s="24">
        <f t="shared" si="129"/>
        <v>5327.7835857110476</v>
      </c>
      <c r="BF62" s="24">
        <f t="shared" si="129"/>
        <v>5477.2180648169779</v>
      </c>
      <c r="BG62" s="24">
        <f t="shared" si="129"/>
        <v>5824.338084239811</v>
      </c>
      <c r="BH62" s="24">
        <f t="shared" ref="BH62:BI62" si="130">+BH58+BH60</f>
        <v>6357.0609547291533</v>
      </c>
      <c r="BI62" s="25">
        <f t="shared" si="130"/>
        <v>6357.0609547291533</v>
      </c>
      <c r="BK62" s="109"/>
      <c r="BL62" s="109"/>
      <c r="BM62" s="109"/>
      <c r="BN62" s="109"/>
      <c r="BO62" s="109"/>
      <c r="BP62" s="109"/>
    </row>
    <row r="63" spans="1:74">
      <c r="B63" s="22"/>
      <c r="C63" s="22"/>
      <c r="D63" s="22"/>
      <c r="E63" s="22"/>
      <c r="F63" s="23"/>
      <c r="G63" s="22"/>
      <c r="H63" s="22"/>
      <c r="I63" s="22"/>
      <c r="J63" s="22"/>
      <c r="K63" s="23"/>
      <c r="L63" s="22"/>
      <c r="M63" s="22"/>
      <c r="N63" s="22"/>
      <c r="O63" s="22"/>
      <c r="P63" s="23"/>
      <c r="Q63" s="22"/>
      <c r="R63" s="22"/>
      <c r="S63" s="22"/>
      <c r="T63" s="22"/>
      <c r="U63" s="23"/>
      <c r="V63" s="22"/>
      <c r="W63" s="22"/>
      <c r="X63" s="22"/>
      <c r="Y63" s="22"/>
      <c r="Z63" s="23"/>
      <c r="AA63" s="22"/>
      <c r="AB63" s="22"/>
      <c r="AC63" s="22"/>
      <c r="AD63" s="22"/>
      <c r="AE63" s="23"/>
      <c r="AF63" s="22"/>
      <c r="AG63" s="22"/>
      <c r="AH63" s="22"/>
      <c r="AI63" s="22"/>
      <c r="AJ63" s="23"/>
      <c r="AK63" s="22"/>
      <c r="AL63" s="22"/>
      <c r="AM63" s="22"/>
      <c r="AN63" s="22"/>
      <c r="AO63" s="23"/>
      <c r="AP63" s="22"/>
      <c r="AQ63" s="22"/>
      <c r="AR63" s="22"/>
      <c r="AS63" s="22"/>
      <c r="AT63" s="23"/>
      <c r="AU63" s="22"/>
      <c r="AV63" s="22"/>
      <c r="AW63" s="22"/>
      <c r="AX63" s="22"/>
      <c r="AY63" s="23"/>
      <c r="AZ63" s="22"/>
      <c r="BA63" s="22"/>
      <c r="BB63" s="22"/>
      <c r="BC63" s="22"/>
      <c r="BD63" s="23"/>
      <c r="BE63" s="22"/>
      <c r="BF63" s="22"/>
      <c r="BG63" s="22"/>
      <c r="BH63" s="22"/>
      <c r="BI63" s="23"/>
      <c r="BK63" s="109"/>
      <c r="BL63" s="297"/>
      <c r="BM63" s="297"/>
      <c r="BN63" s="297"/>
      <c r="BO63" s="297"/>
      <c r="BP63" s="297"/>
    </row>
    <row r="64" spans="1:74">
      <c r="A64" s="9" t="s">
        <v>102</v>
      </c>
      <c r="B64" s="24">
        <f t="shared" ref="B64:AF64" si="131">+B62+B48</f>
        <v>97775</v>
      </c>
      <c r="C64" s="24">
        <f t="shared" si="131"/>
        <v>98102</v>
      </c>
      <c r="D64" s="24">
        <f t="shared" si="131"/>
        <v>98998</v>
      </c>
      <c r="E64" s="24">
        <f t="shared" si="131"/>
        <v>94408</v>
      </c>
      <c r="F64" s="25">
        <f t="shared" si="131"/>
        <v>94408</v>
      </c>
      <c r="G64" s="24">
        <f t="shared" si="131"/>
        <v>91547</v>
      </c>
      <c r="H64" s="24">
        <f t="shared" si="131"/>
        <v>89609</v>
      </c>
      <c r="I64" s="24">
        <f t="shared" si="131"/>
        <v>88950</v>
      </c>
      <c r="J64" s="24">
        <f t="shared" si="131"/>
        <v>89997</v>
      </c>
      <c r="K64" s="25">
        <f t="shared" si="131"/>
        <v>89997</v>
      </c>
      <c r="L64" s="24">
        <f t="shared" si="131"/>
        <v>89673</v>
      </c>
      <c r="M64" s="24">
        <f t="shared" si="131"/>
        <v>90036</v>
      </c>
      <c r="N64" s="24">
        <f t="shared" si="131"/>
        <v>91007</v>
      </c>
      <c r="O64" s="24">
        <f t="shared" si="131"/>
        <v>92333</v>
      </c>
      <c r="P64" s="25">
        <f t="shared" si="131"/>
        <v>92333</v>
      </c>
      <c r="Q64" s="24">
        <f t="shared" si="131"/>
        <v>113549</v>
      </c>
      <c r="R64" s="24">
        <f t="shared" si="131"/>
        <v>113195</v>
      </c>
      <c r="S64" s="24">
        <f t="shared" si="131"/>
        <v>114659</v>
      </c>
      <c r="T64" s="24">
        <f t="shared" si="131"/>
        <v>117359</v>
      </c>
      <c r="U64" s="25">
        <f t="shared" si="131"/>
        <v>117359</v>
      </c>
      <c r="V64" s="24">
        <f t="shared" si="131"/>
        <v>120209</v>
      </c>
      <c r="W64" s="24">
        <f t="shared" si="131"/>
        <v>126261</v>
      </c>
      <c r="X64" s="24">
        <f t="shared" si="131"/>
        <v>132598</v>
      </c>
      <c r="Y64" s="24">
        <f t="shared" si="131"/>
        <v>133625</v>
      </c>
      <c r="Z64" s="25">
        <f t="shared" si="131"/>
        <v>133625</v>
      </c>
      <c r="AA64" s="24">
        <f t="shared" si="131"/>
        <v>143075</v>
      </c>
      <c r="AB64" s="24">
        <f t="shared" si="131"/>
        <v>162872</v>
      </c>
      <c r="AC64" s="24">
        <f>+AC62+AC48</f>
        <v>161261</v>
      </c>
      <c r="AD64" s="24">
        <f t="shared" si="131"/>
        <v>152136</v>
      </c>
      <c r="AE64" s="25">
        <f t="shared" si="131"/>
        <v>152136</v>
      </c>
      <c r="AF64" s="24">
        <f t="shared" si="131"/>
        <v>150035</v>
      </c>
      <c r="AG64" s="24">
        <f t="shared" ref="AG64:AM64" si="132">+AG62+AG48</f>
        <v>148935</v>
      </c>
      <c r="AH64" s="24">
        <f t="shared" si="132"/>
        <v>146846</v>
      </c>
      <c r="AI64" s="24">
        <f t="shared" si="132"/>
        <v>138552</v>
      </c>
      <c r="AJ64" s="25">
        <f t="shared" si="132"/>
        <v>138552</v>
      </c>
      <c r="AK64" s="24">
        <f t="shared" si="132"/>
        <v>135801</v>
      </c>
      <c r="AL64" s="24">
        <f t="shared" si="132"/>
        <v>135479</v>
      </c>
      <c r="AM64" s="24">
        <f t="shared" si="132"/>
        <v>137558</v>
      </c>
      <c r="AN64" s="24">
        <f t="shared" ref="AN64:AR64" si="133">+AN62+AN48</f>
        <v>137100</v>
      </c>
      <c r="AO64" s="25">
        <f t="shared" si="133"/>
        <v>137100</v>
      </c>
      <c r="AP64" s="24">
        <f t="shared" si="133"/>
        <v>136347</v>
      </c>
      <c r="AQ64" s="24">
        <f t="shared" si="133"/>
        <v>134774</v>
      </c>
      <c r="AR64" s="24">
        <f t="shared" si="133"/>
        <v>134281</v>
      </c>
      <c r="AS64" s="24">
        <f t="shared" ref="AS64:AW64" si="134">+AS62+AS48</f>
        <v>137012</v>
      </c>
      <c r="AT64" s="25">
        <f t="shared" si="134"/>
        <v>137012</v>
      </c>
      <c r="AU64" s="24">
        <f t="shared" si="134"/>
        <v>134484</v>
      </c>
      <c r="AV64" s="24">
        <f t="shared" si="134"/>
        <v>142720</v>
      </c>
      <c r="AW64" s="24">
        <f t="shared" si="134"/>
        <v>137695</v>
      </c>
      <c r="AX64" s="24">
        <f t="shared" ref="AX64:BB64" si="135">+AX62+AX48</f>
        <v>156363</v>
      </c>
      <c r="AY64" s="25">
        <f t="shared" si="135"/>
        <v>156363</v>
      </c>
      <c r="AZ64" s="24">
        <f t="shared" si="135"/>
        <v>156494</v>
      </c>
      <c r="BA64" s="24">
        <f t="shared" si="135"/>
        <v>155120</v>
      </c>
      <c r="BB64" s="24">
        <f t="shared" si="135"/>
        <v>150023</v>
      </c>
      <c r="BC64" s="24">
        <f t="shared" ref="BC64:BG64" si="136">+BC62+BC48</f>
        <v>168235</v>
      </c>
      <c r="BD64" s="25">
        <f t="shared" si="136"/>
        <v>168235</v>
      </c>
      <c r="BE64" s="24">
        <f t="shared" si="136"/>
        <v>167526.04208831751</v>
      </c>
      <c r="BF64" s="24">
        <f t="shared" si="136"/>
        <v>164833.11721423955</v>
      </c>
      <c r="BG64" s="24">
        <f t="shared" si="136"/>
        <v>164020.29805558018</v>
      </c>
      <c r="BH64" s="24">
        <f t="shared" ref="BH64:BI64" si="137">+BH62+BH48</f>
        <v>165220.98789985001</v>
      </c>
      <c r="BI64" s="25">
        <f t="shared" si="137"/>
        <v>165220.98789985001</v>
      </c>
      <c r="BK64" s="109"/>
    </row>
    <row r="65" spans="1:78">
      <c r="A65" s="18" t="s">
        <v>37</v>
      </c>
      <c r="B65" s="83" t="b">
        <f t="shared" ref="B65:AA65" si="138">+B64=B27</f>
        <v>1</v>
      </c>
      <c r="C65" s="83" t="b">
        <f t="shared" si="138"/>
        <v>1</v>
      </c>
      <c r="D65" s="83" t="b">
        <f t="shared" si="138"/>
        <v>1</v>
      </c>
      <c r="E65" s="83" t="b">
        <f t="shared" si="138"/>
        <v>1</v>
      </c>
      <c r="F65" s="84" t="b">
        <f t="shared" si="138"/>
        <v>1</v>
      </c>
      <c r="G65" s="83" t="b">
        <f t="shared" si="138"/>
        <v>1</v>
      </c>
      <c r="H65" s="83" t="b">
        <f t="shared" si="138"/>
        <v>1</v>
      </c>
      <c r="I65" s="83" t="b">
        <f t="shared" si="138"/>
        <v>1</v>
      </c>
      <c r="J65" s="83" t="b">
        <f t="shared" si="138"/>
        <v>1</v>
      </c>
      <c r="K65" s="84" t="b">
        <f t="shared" si="138"/>
        <v>1</v>
      </c>
      <c r="L65" s="83" t="b">
        <f t="shared" si="138"/>
        <v>1</v>
      </c>
      <c r="M65" s="83" t="b">
        <f t="shared" si="138"/>
        <v>1</v>
      </c>
      <c r="N65" s="83" t="b">
        <f t="shared" si="138"/>
        <v>1</v>
      </c>
      <c r="O65" s="83" t="b">
        <f t="shared" si="138"/>
        <v>1</v>
      </c>
      <c r="P65" s="84" t="b">
        <f t="shared" si="138"/>
        <v>1</v>
      </c>
      <c r="Q65" s="83" t="b">
        <f t="shared" si="138"/>
        <v>1</v>
      </c>
      <c r="R65" s="83" t="b">
        <f t="shared" si="138"/>
        <v>1</v>
      </c>
      <c r="S65" s="83" t="b">
        <f t="shared" si="138"/>
        <v>1</v>
      </c>
      <c r="T65" s="83" t="b">
        <f t="shared" si="138"/>
        <v>1</v>
      </c>
      <c r="U65" s="84" t="b">
        <f t="shared" si="138"/>
        <v>1</v>
      </c>
      <c r="V65" s="83" t="b">
        <f t="shared" si="138"/>
        <v>1</v>
      </c>
      <c r="W65" s="83" t="b">
        <f t="shared" si="138"/>
        <v>1</v>
      </c>
      <c r="X65" s="83" t="b">
        <f t="shared" si="138"/>
        <v>1</v>
      </c>
      <c r="Y65" s="83" t="b">
        <f t="shared" si="138"/>
        <v>1</v>
      </c>
      <c r="Z65" s="84" t="b">
        <f t="shared" si="138"/>
        <v>1</v>
      </c>
      <c r="AA65" s="83" t="b">
        <f t="shared" si="138"/>
        <v>1</v>
      </c>
      <c r="AB65" s="83" t="b">
        <f>+ROUND(AB64,8)=ROUND(AB27,8)</f>
        <v>1</v>
      </c>
      <c r="AC65" s="83" t="b">
        <f>+ROUND(AC64,8)=ROUND(AC27,8)</f>
        <v>1</v>
      </c>
      <c r="AD65" s="83" t="b">
        <f>+AD64=AD27</f>
        <v>1</v>
      </c>
      <c r="AE65" s="84" t="b">
        <f>+AE64=AE27</f>
        <v>1</v>
      </c>
      <c r="AF65" s="83" t="b">
        <f>+AF64=AF27</f>
        <v>1</v>
      </c>
      <c r="AG65" s="83" t="b">
        <f>+ROUND(AG64,8)=ROUND(AG27,8)</f>
        <v>1</v>
      </c>
      <c r="AH65" s="83" t="b">
        <f>+ROUND(AH64,8)=ROUND(AH27,8)</f>
        <v>1</v>
      </c>
      <c r="AI65" s="83" t="b">
        <f>+AI64=AI27</f>
        <v>1</v>
      </c>
      <c r="AJ65" s="84" t="b">
        <f>+AJ64=AJ27</f>
        <v>1</v>
      </c>
      <c r="AK65" s="83" t="b">
        <f>+AK64=AK27</f>
        <v>1</v>
      </c>
      <c r="AL65" s="83" t="b">
        <f>+ROUND(AL64,8)=ROUND(AL27,8)</f>
        <v>1</v>
      </c>
      <c r="AM65" s="83" t="b">
        <f>+ROUND(AM64,8)=ROUND(AM27,8)</f>
        <v>1</v>
      </c>
      <c r="AN65" s="83" t="b">
        <f>+AN64=AN27</f>
        <v>1</v>
      </c>
      <c r="AO65" s="84" t="b">
        <f>+AO64=AO27</f>
        <v>1</v>
      </c>
      <c r="AP65" s="83" t="b">
        <f>+AP64=AP27</f>
        <v>1</v>
      </c>
      <c r="AQ65" s="83" t="b">
        <f>+ROUND(AQ64,8)=ROUND(AQ27,8)</f>
        <v>1</v>
      </c>
      <c r="AR65" s="83" t="b">
        <f>+ROUND(AR64,8)=ROUND(AR27,8)</f>
        <v>1</v>
      </c>
      <c r="AS65" s="83" t="b">
        <f>+AS64=AS27</f>
        <v>1</v>
      </c>
      <c r="AT65" s="84" t="b">
        <f>+AT64=AT27</f>
        <v>1</v>
      </c>
      <c r="AU65" s="83" t="b">
        <f>+AU64=AU27</f>
        <v>1</v>
      </c>
      <c r="AV65" s="83" t="b">
        <f t="shared" ref="AV65:AW65" si="139">+AV64=AV27</f>
        <v>1</v>
      </c>
      <c r="AW65" s="83" t="b">
        <f t="shared" si="139"/>
        <v>1</v>
      </c>
      <c r="AX65" s="83" t="b">
        <f>+AX64=AX27</f>
        <v>1</v>
      </c>
      <c r="AY65" s="84" t="b">
        <f>+AY64=AY27</f>
        <v>1</v>
      </c>
      <c r="AZ65" s="83" t="b">
        <f>+AZ64=AZ27</f>
        <v>1</v>
      </c>
      <c r="BA65" s="83" t="b">
        <f t="shared" ref="BA65:BB65" si="140">+BA64=BA27</f>
        <v>1</v>
      </c>
      <c r="BB65" s="83" t="b">
        <f t="shared" si="140"/>
        <v>1</v>
      </c>
      <c r="BC65" s="83" t="b">
        <f>+BC64=BC27</f>
        <v>1</v>
      </c>
      <c r="BD65" s="84" t="b">
        <f>+BD64=BD27</f>
        <v>1</v>
      </c>
      <c r="BE65" s="83" t="b">
        <f t="shared" ref="BE65:BG65" ca="1" si="141">+BE64=BE27</f>
        <v>1</v>
      </c>
      <c r="BF65" s="83" t="b">
        <f t="shared" ca="1" si="141"/>
        <v>1</v>
      </c>
      <c r="BG65" s="83" t="b">
        <f t="shared" ca="1" si="141"/>
        <v>1</v>
      </c>
      <c r="BH65" s="83" t="b">
        <f ca="1">+BH64=BH27</f>
        <v>1</v>
      </c>
      <c r="BI65" s="84" t="b">
        <f ca="1">+BI64=BI27</f>
        <v>1</v>
      </c>
    </row>
    <row r="66" spans="1:78">
      <c r="F66" s="27"/>
      <c r="K66" s="27"/>
      <c r="P66" s="27"/>
      <c r="U66" s="27"/>
      <c r="Z66" s="27"/>
      <c r="AB66" s="74"/>
      <c r="AC66" s="74"/>
      <c r="AD66" s="74"/>
      <c r="AE66" s="27"/>
      <c r="AG66" s="74"/>
      <c r="AH66" s="74"/>
      <c r="AI66" s="74"/>
      <c r="AJ66" s="27"/>
      <c r="AK66" s="74">
        <f>AK64-AK27</f>
        <v>0</v>
      </c>
      <c r="AL66" s="74">
        <f>AL64-AL27</f>
        <v>0</v>
      </c>
      <c r="AM66" s="74"/>
      <c r="AN66" s="74"/>
      <c r="AO66" s="27"/>
      <c r="AP66" s="517">
        <f>AP64-AP27</f>
        <v>0</v>
      </c>
      <c r="AQ66" s="517">
        <f>AQ64-AQ27</f>
        <v>0</v>
      </c>
      <c r="AR66" s="517">
        <f>AR64-AR27</f>
        <v>0</v>
      </c>
      <c r="AS66" s="517">
        <f t="shared" ref="AS66:AT66" si="142">AS64-AS27</f>
        <v>0</v>
      </c>
      <c r="AT66" s="518">
        <f t="shared" si="142"/>
        <v>0</v>
      </c>
      <c r="AU66" s="517">
        <f>AU64-AU27</f>
        <v>0</v>
      </c>
      <c r="AV66" s="517">
        <f>AV64-AV27</f>
        <v>0</v>
      </c>
      <c r="AW66" s="517">
        <f>AW64-AW27</f>
        <v>0</v>
      </c>
      <c r="AX66" s="517">
        <f t="shared" ref="AX66:AY66" si="143">AX64-AX27</f>
        <v>0</v>
      </c>
      <c r="AY66" s="518">
        <f t="shared" si="143"/>
        <v>0</v>
      </c>
      <c r="AZ66" s="517">
        <f>AZ64-AZ27</f>
        <v>0</v>
      </c>
      <c r="BA66" s="517">
        <f>BA64-BA27</f>
        <v>0</v>
      </c>
      <c r="BB66" s="517">
        <f>BB64-BB27</f>
        <v>0</v>
      </c>
      <c r="BC66" s="517">
        <f>BC64-BC27</f>
        <v>0</v>
      </c>
      <c r="BD66" s="518">
        <f>BD64-BD27</f>
        <v>0</v>
      </c>
      <c r="BE66" s="517">
        <f t="shared" ref="BE66:BG66" ca="1" si="144">BE64-BE27</f>
        <v>0</v>
      </c>
      <c r="BF66" s="517">
        <f t="shared" ca="1" si="144"/>
        <v>0</v>
      </c>
      <c r="BG66" s="517">
        <f t="shared" ca="1" si="144"/>
        <v>0</v>
      </c>
      <c r="BH66" s="517">
        <f ca="1">BH64-BH27</f>
        <v>0</v>
      </c>
      <c r="BI66" s="518">
        <f ca="1">BI64-BI27</f>
        <v>0</v>
      </c>
    </row>
    <row r="67" spans="1:78">
      <c r="A67" s="113" t="s">
        <v>17</v>
      </c>
      <c r="B67" s="68"/>
      <c r="C67" s="68"/>
      <c r="D67" s="68"/>
      <c r="E67" s="68"/>
      <c r="F67" s="114"/>
      <c r="G67" s="68"/>
      <c r="H67" s="68"/>
      <c r="I67" s="68"/>
      <c r="J67" s="68"/>
      <c r="K67" s="114"/>
      <c r="L67" s="68"/>
      <c r="M67" s="68"/>
      <c r="N67" s="68"/>
      <c r="O67" s="68"/>
      <c r="P67" s="114"/>
      <c r="Q67" s="68"/>
      <c r="R67" s="68"/>
      <c r="S67" s="68"/>
      <c r="T67" s="68"/>
      <c r="U67" s="114"/>
      <c r="V67" s="68"/>
      <c r="W67" s="68"/>
      <c r="X67" s="68"/>
      <c r="Y67" s="68"/>
      <c r="Z67" s="114"/>
      <c r="AA67" s="68"/>
      <c r="AB67" s="68"/>
      <c r="AC67" s="68"/>
      <c r="AD67" s="68"/>
      <c r="AE67" s="114"/>
      <c r="AF67" s="68"/>
      <c r="AG67" s="68"/>
      <c r="AH67" s="68"/>
      <c r="AI67" s="68"/>
      <c r="AJ67" s="114"/>
      <c r="AK67" s="68"/>
      <c r="AL67" s="68"/>
      <c r="AM67" s="68"/>
      <c r="AN67" s="68"/>
      <c r="AO67" s="114"/>
      <c r="AP67" s="68"/>
      <c r="AQ67" s="68"/>
      <c r="AR67" s="68"/>
      <c r="AS67" s="68"/>
      <c r="AT67" s="114"/>
      <c r="AU67" s="68"/>
      <c r="AV67" s="68"/>
      <c r="AW67" s="68"/>
      <c r="AX67" s="68"/>
      <c r="AY67" s="114"/>
      <c r="AZ67" s="68"/>
      <c r="BA67" s="68"/>
      <c r="BB67" s="68"/>
      <c r="BC67" s="68"/>
      <c r="BD67" s="114"/>
      <c r="BE67" s="68"/>
      <c r="BF67" s="68"/>
      <c r="BG67" s="68"/>
      <c r="BH67" s="68"/>
      <c r="BI67" s="114"/>
      <c r="BK67" s="419"/>
      <c r="BL67" s="419" t="str">
        <f>Cash_Flow_Qtr!BE2</f>
        <v>1Q26E</v>
      </c>
      <c r="BM67" s="419" t="str">
        <f>Cash_Flow_Qtr!BF2</f>
        <v>2Q26E</v>
      </c>
      <c r="BN67" s="419" t="str">
        <f>Cash_Flow_Qtr!BG2</f>
        <v>3Q26E</v>
      </c>
      <c r="BO67" s="419" t="str">
        <f>Cash_Flow_Qtr!BH2</f>
        <v>4Q26E</v>
      </c>
      <c r="BP67" s="419" t="str">
        <f>Cash_Flow_Qtr!BI2</f>
        <v>CY2026E</v>
      </c>
    </row>
    <row r="68" spans="1:78">
      <c r="A68" s="1" t="s">
        <v>103</v>
      </c>
      <c r="B68" s="22">
        <f>+(B8)/Income_Statement_Qtr!B10*365/4</f>
        <v>33.3170233419116</v>
      </c>
      <c r="C68" s="22">
        <f>+(C8)/Income_Statement_Qtr!C10*365/4</f>
        <v>29.472303711852668</v>
      </c>
      <c r="D68" s="22">
        <f>+(D8)/Income_Statement_Qtr!D10*365/4</f>
        <v>31.255657859104797</v>
      </c>
      <c r="E68" s="22">
        <f>+(E8)/Income_Statement_Qtr!E10*365/4</f>
        <v>33.727622703940952</v>
      </c>
      <c r="F68" s="23">
        <f>+(F8)/Income_Statement_Qtr!F10*365</f>
        <v>33.088259774850698</v>
      </c>
      <c r="G68" s="22">
        <f>+(G8)/Income_Statement_Qtr!G10*365/4</f>
        <v>39.153797720042419</v>
      </c>
      <c r="H68" s="22">
        <f>+(H8)/Income_Statement_Qtr!H10*365/4</f>
        <v>36.157190466572409</v>
      </c>
      <c r="I68" s="22">
        <f>+(I8)/Income_Statement_Qtr!I10*365/4</f>
        <v>36.365595447317766</v>
      </c>
      <c r="J68" s="22">
        <f>+(J8)/Income_Statement_Qtr!J10*365/4</f>
        <v>34.609636691574337</v>
      </c>
      <c r="K68" s="23">
        <f>+(K8)/Income_Statement_Qtr!K10*365</f>
        <v>34.087405229933061</v>
      </c>
      <c r="L68" s="22">
        <f>+(L8)/Income_Statement_Qtr!L10*365/4</f>
        <v>38.787794271663401</v>
      </c>
      <c r="M68" s="22">
        <f>+(M8)/Income_Statement_Qtr!M10*365/4</f>
        <v>37.618704177692941</v>
      </c>
      <c r="N68" s="22">
        <f>+(N8)/Income_Statement_Qtr!N10*365/4</f>
        <v>40.096808818065476</v>
      </c>
      <c r="O68" s="22">
        <f>+(O8)/Income_Statement_Qtr!O10*365/4</f>
        <v>38.739806217198222</v>
      </c>
      <c r="P68" s="23">
        <f>+(P8)/Income_Statement_Qtr!P10*365</f>
        <v>40.831232381256321</v>
      </c>
      <c r="Q68" s="22">
        <f>+(Q8)/Income_Statement_Qtr!Q10*365/4</f>
        <v>10.93501411342058</v>
      </c>
      <c r="R68" s="22">
        <f>+(R8)/Income_Statement_Qtr!R10*365/4</f>
        <v>10.619125649270345</v>
      </c>
      <c r="S68" s="22">
        <f>+(S8)/Income_Statement_Qtr!S10*365/4</f>
        <v>10.498140857392826</v>
      </c>
      <c r="T68" s="22">
        <f>+(T8)/Income_Statement_Qtr!T10*365/4</f>
        <v>12.489282311845031</v>
      </c>
      <c r="U68" s="23">
        <f>+(U8)/Income_Statement_Qtr!U10*365</f>
        <v>14.000563647690528</v>
      </c>
      <c r="V68" s="22">
        <f>+(V8)/Income_Statement_Qtr!V10*365/4</f>
        <v>14.609078413404896</v>
      </c>
      <c r="W68" s="22">
        <f>+(W8)/Income_Statement_Qtr!W10*365/4</f>
        <v>19.065694241635452</v>
      </c>
      <c r="X68" s="22">
        <f>+(X8)/Income_Statement_Qtr!X10*365/4</f>
        <v>16.277027027027028</v>
      </c>
      <c r="Y68" s="22">
        <f>+(Y8)/Income_Statement_Qtr!Y10*365/4</f>
        <v>16.639076545139858</v>
      </c>
      <c r="Z68" s="23">
        <f>+(Z8)/Income_Statement_Qtr!Z10*365</f>
        <v>15.570866913099701</v>
      </c>
      <c r="AA68" s="22">
        <f>+(AA8)/Income_Statement_Qtr!AA10*365/4</f>
        <v>17.329296782588123</v>
      </c>
      <c r="AB68" s="22">
        <f>+(AB8)/Income_Statement_Qtr!AB10*365/4</f>
        <v>21.585605996442787</v>
      </c>
      <c r="AC68" s="22">
        <f>+(AC8)/Income_Statement_Qtr!AC10*365/4</f>
        <v>17.825341254685622</v>
      </c>
      <c r="AD68" s="423">
        <f>+(AD8)/Income_Statement_Qtr!AD10*365</f>
        <v>46.626698902247782</v>
      </c>
      <c r="AE68" s="23">
        <f>+(AE8)/Income_Statement_Qtr!AE10*365</f>
        <v>12.26959317720692</v>
      </c>
      <c r="AF68" s="22">
        <f>+(AF8)/Income_Statement_Qtr!AF10*365/4</f>
        <v>14.12794900440297</v>
      </c>
      <c r="AG68" s="22">
        <f>+(AG8)/Income_Statement_Qtr!AG10*365/4</f>
        <v>13.367013766325449</v>
      </c>
      <c r="AH68" s="22">
        <f>+(AH8)/Income_Statement_Qtr!AH10*365/4</f>
        <v>13.420522974211284</v>
      </c>
      <c r="AI68" s="423">
        <f>+(AI8)/Income_Statement_Qtr!AI10*365</f>
        <v>65.163590887581975</v>
      </c>
      <c r="AJ68" s="23">
        <f>+(AJ8)/Income_Statement_Qtr!AJ10*365</f>
        <v>15.476431300773848</v>
      </c>
      <c r="AK68" s="22">
        <f>+(AK8)/Income_Statement_Qtr!AK10*365/4</f>
        <v>15.698574083339288</v>
      </c>
      <c r="AL68" s="22">
        <f>+(AL8)/Income_Statement_Qtr!AL10*365/4</f>
        <v>16.389005455308435</v>
      </c>
      <c r="AM68" s="22">
        <f>+(AM8)/Income_Statement_Qtr!AM10*365/4</f>
        <v>15.286490975181749</v>
      </c>
      <c r="AN68" s="423">
        <f>+(AN8)/Income_Statement_Qtr!AN10*365</f>
        <v>45.981231231231234</v>
      </c>
      <c r="AO68" s="23">
        <f>+(AO8)/Income_Statement_Qtr!AO10*365</f>
        <v>13.792712587076627</v>
      </c>
      <c r="AP68" s="22">
        <f>+(AP8)/Income_Statement_Qtr!AP10*365/4</f>
        <v>14.572707996205571</v>
      </c>
      <c r="AQ68" s="22">
        <f>+(AQ8)/Income_Statement_Qtr!AQ10*365/4</f>
        <v>13.605956660422256</v>
      </c>
      <c r="AR68" s="22">
        <f>+(AR8)/Income_Statement_Qtr!AR10*365/4</f>
        <v>15.282258064516128</v>
      </c>
      <c r="AS68" s="423">
        <f>+(AS8)/Income_Statement_Qtr!AS10*365/4</f>
        <v>10.978347261331638</v>
      </c>
      <c r="AT68" s="23">
        <f>+(AT8)/Income_Statement_Qtr!AT10*365</f>
        <v>12.428786281718386</v>
      </c>
      <c r="AU68" s="22">
        <f>+(AU8)/Income_Statement_Qtr!AU10*365/4</f>
        <v>16.296019675297241</v>
      </c>
      <c r="AV68" s="22">
        <f>+(AV8)/Income_Statement_Qtr!AV10*365/4</f>
        <v>17.069474089884977</v>
      </c>
      <c r="AW68" s="22">
        <f>+(AW8)/Income_Statement_Qtr!AW10*365/4</f>
        <v>14.802550448430493</v>
      </c>
      <c r="AX68" s="423">
        <f>+(AX8)/Income_Statement_Qtr!AX10*365/4</f>
        <v>15.751131741241307</v>
      </c>
      <c r="AY68" s="23">
        <f>+(AY8)/Income_Statement_Qtr!AY10*365</f>
        <v>14.437136371153239</v>
      </c>
      <c r="AZ68" s="22">
        <f>+(AZ8)/Income_Statement_Qtr!AZ10*365/4</f>
        <v>14.996153057037342</v>
      </c>
      <c r="BA68" s="22">
        <f>+(BA8)/Income_Statement_Qtr!BA10*365/4</f>
        <v>12.795617389775375</v>
      </c>
      <c r="BB68" s="22">
        <f>+(BB8)/Income_Statement_Qtr!BB10*365/4</f>
        <v>12.995380318006017</v>
      </c>
      <c r="BC68" s="22">
        <f>+(BC8)/Income_Statement_Qtr!BC10*365/4</f>
        <v>11.130000417571404</v>
      </c>
      <c r="BD68" s="23">
        <f>+(BD8)/Income_Statement_Qtr!BD10*365</f>
        <v>11.917384840660384</v>
      </c>
      <c r="BE68" s="41">
        <v>12</v>
      </c>
      <c r="BF68" s="41">
        <v>12.5</v>
      </c>
      <c r="BG68" s="41">
        <v>12</v>
      </c>
      <c r="BH68" s="22">
        <f>+(BH8)/Income_Statement_Qtr!BH10*365/4</f>
        <v>10.509169111098704</v>
      </c>
      <c r="BI68" s="43">
        <v>10.5</v>
      </c>
      <c r="BK68" s="406" t="str">
        <f>Cash_Flow_Qtr!A15</f>
        <v>Accounts Receivables, Net</v>
      </c>
      <c r="BL68" s="406">
        <f>Cash_Flow_Qtr!BE15</f>
        <v>-335.24037682920425</v>
      </c>
      <c r="BM68" s="406">
        <f>Cash_Flow_Qtr!BF15</f>
        <v>-165.5396960665139</v>
      </c>
      <c r="BN68" s="406">
        <f>Cash_Flow_Qtr!BG15</f>
        <v>125.16709332678829</v>
      </c>
      <c r="BO68" s="406">
        <f>Cash_Flow_Qtr!BH15</f>
        <v>428.09991011734883</v>
      </c>
      <c r="BP68" s="406">
        <f>Cash_Flow_Qtr!BI15</f>
        <v>52.486930548418968</v>
      </c>
    </row>
    <row r="69" spans="1:78">
      <c r="A69" s="1" t="s">
        <v>335</v>
      </c>
      <c r="B69" s="22">
        <f>+(B9)/Income_Statement_Qtr!B10*365/4</f>
        <v>0</v>
      </c>
      <c r="C69" s="22">
        <f>+(C9)/Income_Statement_Qtr!C10*365/4</f>
        <v>0</v>
      </c>
      <c r="D69" s="22">
        <f>+(D9)/Income_Statement_Qtr!D10*365/4</f>
        <v>0</v>
      </c>
      <c r="E69" s="22">
        <f>+(E9)/Income_Statement_Qtr!E10*365/4</f>
        <v>0</v>
      </c>
      <c r="F69" s="23">
        <f>+(F9)/Income_Statement_Qtr!F10*365</f>
        <v>0</v>
      </c>
      <c r="G69" s="22">
        <f>+(G9)/Income_Statement_Qtr!G10*365/4</f>
        <v>0</v>
      </c>
      <c r="H69" s="22">
        <f>+(H9)/Income_Statement_Qtr!H10*365/4</f>
        <v>0</v>
      </c>
      <c r="I69" s="22">
        <f>+(I9)/Income_Statement_Qtr!I10*365/4</f>
        <v>0</v>
      </c>
      <c r="J69" s="22">
        <f>+(J9)/Income_Statement_Qtr!J10*365/4</f>
        <v>0</v>
      </c>
      <c r="K69" s="23">
        <f>+(K9)/Income_Statement_Qtr!K10*365</f>
        <v>0</v>
      </c>
      <c r="L69" s="22">
        <f>+(L9)/Income_Statement_Qtr!L10*365/4</f>
        <v>0</v>
      </c>
      <c r="M69" s="22">
        <f>+(M9)/Income_Statement_Qtr!M10*365/4</f>
        <v>0</v>
      </c>
      <c r="N69" s="22">
        <f>+(N9)/Income_Statement_Qtr!N10*365/4</f>
        <v>0</v>
      </c>
      <c r="O69" s="22">
        <f>+(O9)/Income_Statement_Qtr!O10*365/4</f>
        <v>0</v>
      </c>
      <c r="P69" s="23">
        <f>+(P9)/Income_Statement_Qtr!P10*365</f>
        <v>0</v>
      </c>
      <c r="Q69" s="22">
        <f>+(Q9)/Income_Statement_Qtr!Q10*365/4</f>
        <v>38.331088016422889</v>
      </c>
      <c r="R69" s="22">
        <f>+(R9)/Income_Statement_Qtr!R10*365/4</f>
        <v>37.119919201912772</v>
      </c>
      <c r="S69" s="22">
        <f>+(S9)/Income_Statement_Qtr!S10*365/4</f>
        <v>36.055833929849676</v>
      </c>
      <c r="T69" s="22">
        <f>+(T9)/Income_Statement_Qtr!T10*365/4</f>
        <v>32.277663102925089</v>
      </c>
      <c r="U69" s="23">
        <f>+(U9)/Income_Statement_Qtr!U10*365</f>
        <v>36.183462378988793</v>
      </c>
      <c r="V69" s="22">
        <f>+(V9)/Income_Statement_Qtr!V10*365/4</f>
        <v>40.645808788235804</v>
      </c>
      <c r="W69" s="22">
        <f>+(W9)/Income_Statement_Qtr!W10*365/4</f>
        <v>59.363770554250529</v>
      </c>
      <c r="X69" s="22">
        <f>+(X9)/Income_Statement_Qtr!X10*365/4</f>
        <v>50.593968968968966</v>
      </c>
      <c r="Y69" s="22">
        <f>+(Y9)/Income_Statement_Qtr!Y10*365/4</f>
        <v>46.070780525933785</v>
      </c>
      <c r="Z69" s="23">
        <f>+(Z9)/Income_Statement_Qtr!Z10*365</f>
        <v>43.113089251427006</v>
      </c>
      <c r="AA69" s="22">
        <f>+(AA9)/Income_Statement_Qtr!AA10*365/4</f>
        <v>50.54153359356517</v>
      </c>
      <c r="AB69" s="22">
        <f>+(AB9)/Income_Statement_Qtr!AB10*365/4</f>
        <v>66.232955026679093</v>
      </c>
      <c r="AC69" s="22">
        <f>+(AC9)/Income_Statement_Qtr!AC10*365/4</f>
        <v>57.18049366999081</v>
      </c>
      <c r="AD69" s="423">
        <f>+(AD9)/Income_Statement_Qtr!AD10*365</f>
        <v>190.68054103502351</v>
      </c>
      <c r="AE69" s="23">
        <f>+(AE9)/Income_Statement_Qtr!AE10*365</f>
        <v>50.176673888373053</v>
      </c>
      <c r="AF69" s="22">
        <f>+(AF9)/Income_Statement_Qtr!AF10*365/4</f>
        <v>52.679979628047576</v>
      </c>
      <c r="AG69" s="22">
        <f>+(AG9)/Income_Statement_Qtr!AG10*365/4</f>
        <v>49.404268149194017</v>
      </c>
      <c r="AH69" s="22">
        <f>+(AH9)/Income_Statement_Qtr!AH10*365/4</f>
        <v>59.780157743160103</v>
      </c>
      <c r="AI69" s="423">
        <f>+(AI9)/Income_Statement_Qtr!AI10*365</f>
        <v>212.68843371865071</v>
      </c>
      <c r="AJ69" s="23">
        <f>+(AJ9)/Income_Statement_Qtr!AJ10*365</f>
        <v>50.513759111196734</v>
      </c>
      <c r="AK69" s="22">
        <f>+(AK9)/Income_Statement_Qtr!AK10*365/4</f>
        <v>58.63975055392752</v>
      </c>
      <c r="AL69" s="22">
        <f>+(AL9)/Income_Statement_Qtr!AL10*365/4</f>
        <v>51.387956357532524</v>
      </c>
      <c r="AM69" s="22">
        <f>+(AM9)/Income_Statement_Qtr!AM10*365/4</f>
        <v>53.276823765354727</v>
      </c>
      <c r="AN69" s="423">
        <f>+(AN9)/Income_Statement_Qtr!AN10*365</f>
        <v>157.72822822822823</v>
      </c>
      <c r="AO69" s="23">
        <f>+(AO9)/Income_Statement_Qtr!AO10*365</f>
        <v>47.312785251020898</v>
      </c>
      <c r="AP69" s="22">
        <f>+(AP9)/Income_Statement_Qtr!AP10*365/4</f>
        <v>49.334370291836393</v>
      </c>
      <c r="AQ69" s="22">
        <f>+(AQ9)/Income_Statement_Qtr!AQ10*365/4</f>
        <v>43.229520024302566</v>
      </c>
      <c r="AR69" s="22">
        <f>+(AR9)/Income_Statement_Qtr!AR10*365/4</f>
        <v>46.29032258064516</v>
      </c>
      <c r="AS69" s="423">
        <f>+(AS9)/Income_Statement_Qtr!AS10*365/4</f>
        <v>34.468446271232629</v>
      </c>
      <c r="AT69" s="23">
        <f>+(AT9)/Income_Statement_Qtr!AT10*365</f>
        <v>39.022353909041826</v>
      </c>
      <c r="AU69" s="22">
        <f>+(AU9)/Income_Statement_Qtr!AU10*365/4</f>
        <v>53.271848029452592</v>
      </c>
      <c r="AV69" s="22">
        <f>+(AV9)/Income_Statement_Qtr!AV10*365/4</f>
        <v>52.263429384560659</v>
      </c>
      <c r="AW69" s="22">
        <f>+(AW9)/Income_Statement_Qtr!AW10*365/4</f>
        <v>47.855100896860989</v>
      </c>
      <c r="AX69" s="423">
        <f>+(AX9)/Income_Statement_Qtr!AX10*365/4</f>
        <v>50.067166382364519</v>
      </c>
      <c r="AY69" s="23">
        <f>+(AY9)/Income_Statement_Qtr!AY10*365</f>
        <v>45.890449058135509</v>
      </c>
      <c r="AZ69" s="22">
        <f>+(AZ9)/Income_Statement_Qtr!AZ10*365/4</f>
        <v>42.269119306524416</v>
      </c>
      <c r="BA69" s="22">
        <f>+(BA9)/Income_Statement_Qtr!BA10*365/4</f>
        <v>37.147402083608071</v>
      </c>
      <c r="BB69" s="22">
        <f>+(BB9)/Income_Statement_Qtr!BB10*365/4</f>
        <v>35.417705199828106</v>
      </c>
      <c r="BC69" s="22">
        <f>+(BC9)/Income_Statement_Qtr!BC10*365/4</f>
        <v>34.895085184566561</v>
      </c>
      <c r="BD69" s="23">
        <f>+(BD9)/Income_Statement_Qtr!BD10*365</f>
        <v>37.36371460827381</v>
      </c>
      <c r="BE69" s="41">
        <v>35</v>
      </c>
      <c r="BF69" s="41">
        <v>35</v>
      </c>
      <c r="BG69" s="41">
        <v>34.5</v>
      </c>
      <c r="BH69" s="22">
        <f>+(BH9)/Income_Statement_Qtr!BH10*365/4</f>
        <v>32.278162269803161</v>
      </c>
      <c r="BI69" s="43">
        <v>32.25</v>
      </c>
      <c r="BK69" s="406" t="str">
        <f>Cash_Flow_Qtr!A16</f>
        <v>Unbilled Receivables</v>
      </c>
      <c r="BL69" s="406">
        <f>Cash_Flow_Qtr!BE16</f>
        <v>-339.36776575184558</v>
      </c>
      <c r="BM69" s="406">
        <f>Cash_Flow_Qtr!BF16</f>
        <v>-83.616438356164508</v>
      </c>
      <c r="BN69" s="406">
        <f>Cash_Flow_Qtr!BG16</f>
        <v>103.22188784733589</v>
      </c>
      <c r="BO69" s="406">
        <f>Cash_Flow_Qtr!BH16</f>
        <v>667.32931723081856</v>
      </c>
      <c r="BP69" s="406">
        <f>Cash_Flow_Qtr!BI16</f>
        <v>347.56700097014436</v>
      </c>
    </row>
    <row r="70" spans="1:78">
      <c r="A70" s="1" t="s">
        <v>104</v>
      </c>
      <c r="B70" s="22">
        <f>+B31/-Income_Statement_Qtr!B100*365/4</f>
        <v>56.769548160173159</v>
      </c>
      <c r="C70" s="22">
        <f>+C31/-Income_Statement_Qtr!C100*365/4</f>
        <v>49.322821450335162</v>
      </c>
      <c r="D70" s="22">
        <f>+D31/-Income_Statement_Qtr!D100*365/4</f>
        <v>49.789253613787992</v>
      </c>
      <c r="E70" s="22">
        <f>+E31/-Income_Statement_Qtr!E100*365/4</f>
        <v>47.777185242643142</v>
      </c>
      <c r="F70" s="23">
        <f>+F31/-Income_Statement_Qtr!F100*365</f>
        <v>48.059104652296895</v>
      </c>
      <c r="G70" s="22">
        <f>+G31/-Income_Statement_Qtr!G100*365/4</f>
        <v>55.273177506420005</v>
      </c>
      <c r="H70" s="22">
        <f>+H31/-Income_Statement_Qtr!H100*365/4</f>
        <v>48.052579676363791</v>
      </c>
      <c r="I70" s="22">
        <f>+I31/-Income_Statement_Qtr!I100*365/4</f>
        <v>54.905982905982903</v>
      </c>
      <c r="J70" s="22">
        <f>+J31/-Income_Statement_Qtr!J100*365/4</f>
        <v>52.495372988535294</v>
      </c>
      <c r="K70" s="23">
        <f>+K31/-Income_Statement_Qtr!K100*365</f>
        <v>50.592089779638549</v>
      </c>
      <c r="L70" s="22">
        <f>+L31/-Income_Statement_Qtr!L100*365/4</f>
        <v>60.449335548172755</v>
      </c>
      <c r="M70" s="22">
        <f>+M31/-Income_Statement_Qtr!M100*365/4</f>
        <v>59.044692064850985</v>
      </c>
      <c r="N70" s="22">
        <f>+N31/-Income_Statement_Qtr!N100*365/4</f>
        <v>58.232600732600737</v>
      </c>
      <c r="O70" s="22">
        <f>+O31/-Income_Statement_Qtr!O100*365/4</f>
        <v>56.052783930728957</v>
      </c>
      <c r="P70" s="23">
        <f>+P31/-Income_Statement_Qtr!P100*365</f>
        <v>58.186747145358098</v>
      </c>
      <c r="Q70" s="22">
        <f>+Q31/-Income_Statement_Qtr!Q100*365/4</f>
        <v>61.193973309230117</v>
      </c>
      <c r="R70" s="22">
        <f>+R31/-Income_Statement_Qtr!R100*365/4</f>
        <v>60.325324043239917</v>
      </c>
      <c r="S70" s="22">
        <f>+S31/-Income_Statement_Qtr!S100*365/4</f>
        <v>59.306857102083534</v>
      </c>
      <c r="T70" s="22">
        <f>+T31/-Income_Statement_Qtr!T100*365/4</f>
        <v>53.397290685030811</v>
      </c>
      <c r="U70" s="23">
        <f>+U31/-Income_Statement_Qtr!U100*365</f>
        <v>57.900787266184395</v>
      </c>
      <c r="V70" s="22">
        <f>+V31/-Income_Statement_Qtr!V100*365/4</f>
        <v>71.978109733183018</v>
      </c>
      <c r="W70" s="22">
        <f>+W31/-Income_Statement_Qtr!W100*365/4</f>
        <v>78.291207710464207</v>
      </c>
      <c r="X70" s="22">
        <f>+X31/-Income_Statement_Qtr!X100*365/4</f>
        <v>81.464159030446339</v>
      </c>
      <c r="Y70" s="22">
        <f>+Y31/-Income_Statement_Qtr!Y100*365/4</f>
        <v>75.913947579566724</v>
      </c>
      <c r="Z70" s="23">
        <f>+Z31/-Income_Statement_Qtr!Z100*365</f>
        <v>78.811136871624711</v>
      </c>
      <c r="AA70" s="22">
        <f>+AA31/-Income_Statement_Qtr!AA100*365/4</f>
        <v>81.485661852470756</v>
      </c>
      <c r="AB70" s="22">
        <f>+AB31/-Income_Statement_Qtr!AB100*365/4</f>
        <v>96.40819002082209</v>
      </c>
      <c r="AC70" s="22">
        <f>+AC31/-Income_Statement_Qtr!AC100*365/4</f>
        <v>100.89413898434518</v>
      </c>
      <c r="AD70" s="423">
        <f>+AD31/-Income_Statement_Qtr!AD100*365</f>
        <v>360.34516991218021</v>
      </c>
      <c r="AE70" s="23">
        <f>+AE31/-Income_Statement_Qtr!AE100*365</f>
        <v>84.393969202153343</v>
      </c>
      <c r="AF70" s="22">
        <f>+AF31/-Income_Statement_Qtr!AF100*365/4</f>
        <v>82.064823537937528</v>
      </c>
      <c r="AG70" s="22">
        <f>+AG31/-Income_Statement_Qtr!AG100*365/4</f>
        <v>71.665580629672817</v>
      </c>
      <c r="AH70" s="22">
        <f>+AH31/-Income_Statement_Qtr!AH100*365/4</f>
        <v>68.314680286156801</v>
      </c>
      <c r="AI70" s="423">
        <f>+AI31/-Income_Statement_Qtr!AI100*365</f>
        <v>195.39104046242772</v>
      </c>
      <c r="AJ70" s="23">
        <f>+AJ31/-Income_Statement_Qtr!AJ100*365</f>
        <v>57.063406316997828</v>
      </c>
      <c r="AK70" s="22">
        <f>+AK31/-Income_Statement_Qtr!AK100*365/4</f>
        <v>58.739092975509607</v>
      </c>
      <c r="AL70" s="22">
        <f>+AL31/-Income_Statement_Qtr!AL100*365/4</f>
        <v>60.037019858448431</v>
      </c>
      <c r="AM70" s="22">
        <f>+AM31/-Income_Statement_Qtr!AM100*365/4</f>
        <v>53.283122652197243</v>
      </c>
      <c r="AN70" s="423">
        <f>+AN31/-Income_Statement_Qtr!AN100*365</f>
        <v>205.50894237138439</v>
      </c>
      <c r="AO70" s="23">
        <f>+AO31/-Income_Statement_Qtr!AO100*365</f>
        <v>59.022163036240848</v>
      </c>
      <c r="AP70" s="22">
        <f>+AP31/-Income_Statement_Qtr!AP100*365/4</f>
        <v>52.313068467161429</v>
      </c>
      <c r="AQ70" s="22">
        <f>+AQ31/-Income_Statement_Qtr!AQ100*365/4</f>
        <v>56.02459016393442</v>
      </c>
      <c r="AR70" s="22">
        <f>+AR31/-Income_Statement_Qtr!AR100*365/4</f>
        <v>60.027082472400963</v>
      </c>
      <c r="AS70" s="423">
        <f>+AS31/-Income_Statement_Qtr!AS100*365/4</f>
        <v>56.504062936700997</v>
      </c>
      <c r="AT70" s="23">
        <f>+AT31/-Income_Statement_Qtr!AT100*365</f>
        <v>60.656730515466776</v>
      </c>
      <c r="AU70" s="22">
        <f>+AU31/-Income_Statement_Qtr!AU100*365/4</f>
        <v>72.140475056149185</v>
      </c>
      <c r="AV70" s="22">
        <f>+AV31/-Income_Statement_Qtr!AV100*365/4</f>
        <v>69.232589371362792</v>
      </c>
      <c r="AW70" s="22">
        <f>+AW31/-Income_Statement_Qtr!AW100*365/4</f>
        <v>52.436583594884524</v>
      </c>
      <c r="AX70" s="423">
        <f>+AX31/-Income_Statement_Qtr!AX100*365/4</f>
        <v>61.610421246509418</v>
      </c>
      <c r="AY70" s="23">
        <f>+AY31/-Income_Statement_Qtr!AY100*365</f>
        <v>60.545629707479421</v>
      </c>
      <c r="AZ70" s="22">
        <f>+AZ31/-Income_Statement_Qtr!AZ100*365/4</f>
        <v>58.952661162831546</v>
      </c>
      <c r="BA70" s="22">
        <f>+BA31/-Income_Statement_Qtr!BA100*365/4</f>
        <v>50.48082603130846</v>
      </c>
      <c r="BB70" s="22">
        <f>+BB31/-Income_Statement_Qtr!BB100*365/4</f>
        <v>41.744784558393448</v>
      </c>
      <c r="BC70" s="22">
        <f>+BC31/-Income_Statement_Qtr!BC100*365/4</f>
        <v>54.038500632453925</v>
      </c>
      <c r="BD70" s="23">
        <f>+BD31/-Income_Statement_Qtr!BD100*365</f>
        <v>56.176591448094491</v>
      </c>
      <c r="BE70" s="41">
        <v>58</v>
      </c>
      <c r="BF70" s="41">
        <v>56</v>
      </c>
      <c r="BG70" s="41">
        <v>56</v>
      </c>
      <c r="BH70" s="22">
        <f>+BH31/-Income_Statement_Qtr!BH100*365/4</f>
        <v>60.052394920564026</v>
      </c>
      <c r="BI70" s="43">
        <v>60</v>
      </c>
      <c r="BK70" s="406" t="str">
        <f>Cash_Flow_Qtr!A17</f>
        <v>Advance and Progress Billings</v>
      </c>
      <c r="BL70" s="406">
        <f>Cash_Flow_Qtr!BE17</f>
        <v>0</v>
      </c>
      <c r="BM70" s="406">
        <f>Cash_Flow_Qtr!BF17</f>
        <v>0</v>
      </c>
      <c r="BN70" s="406">
        <f>Cash_Flow_Qtr!BG17</f>
        <v>0</v>
      </c>
      <c r="BO70" s="406">
        <f>Cash_Flow_Qtr!BH17</f>
        <v>-189.06323943661118</v>
      </c>
      <c r="BP70" s="406">
        <f>Cash_Flow_Qtr!BI17</f>
        <v>-189.06323943661118</v>
      </c>
    </row>
    <row r="71" spans="1:78">
      <c r="A71" s="1" t="s">
        <v>105</v>
      </c>
      <c r="B71" s="22">
        <f>+B12/-Income_Statement_Qtr!B100*365/4</f>
        <v>239.49174783549785</v>
      </c>
      <c r="C71" s="22">
        <f>+C12/-Income_Statement_Qtr!C100*365/4</f>
        <v>209.7128861388459</v>
      </c>
      <c r="D71" s="22">
        <f>+D12/-Income_Statement_Qtr!D100*365/4</f>
        <v>205.56616011860638</v>
      </c>
      <c r="E71" s="22">
        <f>+E12/-Income_Statement_Qtr!E100*365/4</f>
        <v>209.05615213070249</v>
      </c>
      <c r="F71" s="23">
        <f>+F12/-Income_Statement_Qtr!F100*365</f>
        <v>210.28973227348092</v>
      </c>
      <c r="G71" s="22">
        <f>+G12/-Income_Statement_Qtr!G100*365/4</f>
        <v>226.03755044284893</v>
      </c>
      <c r="H71" s="22">
        <f>+H12/-Income_Statement_Qtr!H100*365/4</f>
        <v>180.7166390246089</v>
      </c>
      <c r="I71" s="22">
        <f>+I12/-Income_Statement_Qtr!I100*365/4</f>
        <v>195.8044243338361</v>
      </c>
      <c r="J71" s="22">
        <f>+J12/-Income_Statement_Qtr!J100*365/4</f>
        <v>202.6584108786181</v>
      </c>
      <c r="K71" s="23">
        <f>+K12/-Income_Statement_Qtr!K100*365</f>
        <v>195.31078520023286</v>
      </c>
      <c r="L71" s="22">
        <f>+L12/-Income_Statement_Qtr!L100*365/4</f>
        <v>218.50989756367662</v>
      </c>
      <c r="M71" s="22">
        <f>+M12/-Income_Statement_Qtr!M100*365/4</f>
        <v>207.27894750923002</v>
      </c>
      <c r="N71" s="22">
        <f>+N12/-Income_Statement_Qtr!N100*365/4</f>
        <v>197.02838827838826</v>
      </c>
      <c r="O71" s="22">
        <f>+O12/-Income_Statement_Qtr!O100*365/4</f>
        <v>203.70469190495368</v>
      </c>
      <c r="P71" s="23">
        <f>+P12/-Income_Statement_Qtr!P100*365</f>
        <v>211.45985210733977</v>
      </c>
      <c r="Q71" s="22">
        <f>+Q12/-Income_Statement_Qtr!Q100*365/4</f>
        <v>297.42124361973629</v>
      </c>
      <c r="R71" s="22">
        <f>+R12/-Income_Statement_Qtr!R100*365/4</f>
        <v>286.33959219222299</v>
      </c>
      <c r="S71" s="22">
        <f>+S12/-Income_Statement_Qtr!S100*365/4</f>
        <v>269.28776995528494</v>
      </c>
      <c r="T71" s="22">
        <f>+T12/-Income_Statement_Qtr!T100*365/4</f>
        <v>258.66431451612902</v>
      </c>
      <c r="U71" s="23">
        <f>+U12/-Income_Statement_Qtr!U100*365</f>
        <v>280.47991304454627</v>
      </c>
      <c r="V71" s="22">
        <f>+V12/-Income_Statement_Qtr!V100*365/4</f>
        <v>320.22984109088958</v>
      </c>
      <c r="W71" s="22">
        <f>+W12/-Income_Statement_Qtr!W100*365/4</f>
        <v>351.23609081712937</v>
      </c>
      <c r="X71" s="22">
        <f>+X12/-Income_Statement_Qtr!X100*365/4</f>
        <v>395.31237067691399</v>
      </c>
      <c r="Y71" s="22">
        <f>+Y12/-Income_Statement_Qtr!Y100*365/4</f>
        <v>373.99077293393958</v>
      </c>
      <c r="Z71" s="23">
        <f>+Z12/-Income_Statement_Qtr!Z100*365</f>
        <v>388.26380308478292</v>
      </c>
      <c r="AA71" s="22">
        <f>+AA12/-Income_Statement_Qtr!AA100*365/4</f>
        <v>435.77375268560513</v>
      </c>
      <c r="AB71" s="22">
        <f>+AB12/-Income_Statement_Qtr!AB100*365/4</f>
        <v>589.32145060538289</v>
      </c>
      <c r="AC71" s="22">
        <f>+AC12/-Income_Statement_Qtr!AC100*365/4</f>
        <v>605.97107674685003</v>
      </c>
      <c r="AD71" s="423">
        <f>+AD12/-Income_Statement_Qtr!AD100*365</f>
        <v>2277.6613211149293</v>
      </c>
      <c r="AE71" s="23">
        <f>+AE12/-Income_Statement_Qtr!AE100*365</f>
        <v>533.43542646611695</v>
      </c>
      <c r="AF71" s="22">
        <f>+AF12/-Income_Statement_Qtr!AF100*365/4</f>
        <v>546.66678744836577</v>
      </c>
      <c r="AG71" s="22">
        <f>+AG12/-Income_Statement_Qtr!AG100*365/4</f>
        <v>511.98015981891768</v>
      </c>
      <c r="AH71" s="22">
        <f>+AH12/-Income_Statement_Qtr!AH100*365/4</f>
        <v>551.15430710229373</v>
      </c>
      <c r="AI71" s="423">
        <f>+AI12/-Income_Statement_Qtr!AI100*365</f>
        <v>1663.0286127167631</v>
      </c>
      <c r="AJ71" s="23">
        <f>+AJ12/-Income_Statement_Qtr!AJ100*365</f>
        <v>485.68285024562351</v>
      </c>
      <c r="AK71" s="22">
        <f>+AK12/-Income_Statement_Qtr!AK100*365/4</f>
        <v>534.05805470010262</v>
      </c>
      <c r="AL71" s="22">
        <f>+AL12/-Income_Statement_Qtr!AL100*365/4</f>
        <v>501.09436198721909</v>
      </c>
      <c r="AM71" s="22">
        <f>+AM12/-Income_Statement_Qtr!AM100*365/4</f>
        <v>434.06184783256816</v>
      </c>
      <c r="AN71" s="423">
        <f>+AN12/-Income_Statement_Qtr!AN100*365</f>
        <v>1574.5813093398101</v>
      </c>
      <c r="AO71" s="23">
        <f>+AO12/-Income_Statement_Qtr!AO100*365</f>
        <v>452.21971210247631</v>
      </c>
      <c r="AP71" s="22">
        <f>+AP12/-Income_Statement_Qtr!AP100*365/4</f>
        <v>399.72092796160928</v>
      </c>
      <c r="AQ71" s="22">
        <f>+AQ12/-Income_Statement_Qtr!AQ100*365/4</f>
        <v>401.23975409836066</v>
      </c>
      <c r="AR71" s="22">
        <f>+AR12/-Income_Statement_Qtr!AR100*365/4</f>
        <v>425.42033177873549</v>
      </c>
      <c r="AS71" s="423">
        <f>+AS12/-Income_Statement_Qtr!AS100*365/4</f>
        <v>376.60401894311889</v>
      </c>
      <c r="AT71" s="23">
        <f>+AT12/-Income_Statement_Qtr!AT100*365</f>
        <v>404.28187462669979</v>
      </c>
      <c r="AU71" s="22">
        <f>+AU12/-Income_Statement_Qtr!AU100*365/4</f>
        <v>518.39166609950314</v>
      </c>
      <c r="AV71" s="22">
        <f>+AV12/-Income_Statement_Qtr!AV100*365/4</f>
        <v>499.87633497473945</v>
      </c>
      <c r="AW71" s="22">
        <f>+AW12/-Income_Statement_Qtr!AW100*365/4</f>
        <v>356.24988288752519</v>
      </c>
      <c r="AX71" s="423">
        <f>+AX12/-Income_Statement_Qtr!AX100*365/4</f>
        <v>474.65614045511262</v>
      </c>
      <c r="AY71" s="23">
        <f>+AY12/-Income_Statement_Qtr!AY100*365</f>
        <v>466.45282302796755</v>
      </c>
      <c r="AZ71" s="22">
        <f>+AZ12/-Income_Statement_Qtr!AZ100*365/4</f>
        <v>475.92225832894201</v>
      </c>
      <c r="BA71" s="22">
        <f>+BA12/-Income_Statement_Qtr!BA100*365/4</f>
        <v>394.63356552131535</v>
      </c>
      <c r="BB71" s="22">
        <f>+BB12/-Income_Statement_Qtr!BB100*365/4</f>
        <v>293.2845096510041</v>
      </c>
      <c r="BC71" s="42">
        <f>+BC12/-Income_Statement_Qtr!BC100*365/4</f>
        <v>349.06752574990969</v>
      </c>
      <c r="BD71" s="23">
        <f>+BD12/-Income_Statement_Qtr!BD100*365</f>
        <v>362.87875407988355</v>
      </c>
      <c r="BE71" s="42">
        <f ca="1">+BE12/-Income_Statement_Qtr!BE100*365/4</f>
        <v>378.19103216516089</v>
      </c>
      <c r="BF71" s="42">
        <f ca="1">+BF12/-Income_Statement_Qtr!BF100*365/4</f>
        <v>373.72726264017069</v>
      </c>
      <c r="BG71" s="42">
        <f ca="1">+BG12/-Income_Statement_Qtr!BG100*365/4</f>
        <v>368.82345284497751</v>
      </c>
      <c r="BH71" s="42">
        <f ca="1">+BH12/-Income_Statement_Qtr!BH100*365/4</f>
        <v>367.55418498786946</v>
      </c>
      <c r="BI71" s="23">
        <f ca="1">+BI12/-Income_Statement_Qtr!BI100*365</f>
        <v>367.23349882121641</v>
      </c>
      <c r="BK71" s="406" t="str">
        <f>Cash_Flow_Qtr!A18</f>
        <v>Inventories</v>
      </c>
      <c r="BL71" s="406">
        <f ca="1">Cash_Flow_Qtr!BE18</f>
        <v>14.6875</v>
      </c>
      <c r="BM71" s="406">
        <f ca="1">Cash_Flow_Qtr!BF18</f>
        <v>262.6875</v>
      </c>
      <c r="BN71" s="406">
        <f ca="1">Cash_Flow_Qtr!BG18</f>
        <v>810.6875</v>
      </c>
      <c r="BO71" s="406">
        <f ca="1">Cash_Flow_Qtr!BH18</f>
        <v>822.6875</v>
      </c>
      <c r="BP71" s="406">
        <f ca="1">Cash_Flow_Qtr!BI18</f>
        <v>1910.75</v>
      </c>
    </row>
    <row r="72" spans="1:78">
      <c r="F72" s="27"/>
      <c r="K72" s="27"/>
      <c r="P72" s="27"/>
      <c r="U72" s="27"/>
      <c r="Z72" s="27"/>
      <c r="AE72" s="27"/>
      <c r="AJ72" s="27"/>
      <c r="AO72" s="27"/>
      <c r="AT72" s="27"/>
      <c r="AY72" s="27"/>
      <c r="BD72" s="27"/>
      <c r="BI72" s="27"/>
      <c r="BK72" s="406" t="str">
        <f>Cash_Flow_Qtr!A19</f>
        <v>Other Current Assets</v>
      </c>
      <c r="BL72" s="406">
        <f>Cash_Flow_Qtr!BE19</f>
        <v>-223.79160631398895</v>
      </c>
      <c r="BM72" s="406">
        <f>Cash_Flow_Qtr!BF19</f>
        <v>-15.69600000000014</v>
      </c>
      <c r="BN72" s="406">
        <f>Cash_Flow_Qtr!BG19</f>
        <v>-6.4079999999999018</v>
      </c>
      <c r="BO72" s="406">
        <f>Cash_Flow_Qtr!BH19</f>
        <v>309.17093438566462</v>
      </c>
      <c r="BP72" s="406">
        <f>Cash_Flow_Qtr!BI19</f>
        <v>63.275328071675631</v>
      </c>
    </row>
    <row r="73" spans="1:78">
      <c r="A73" s="14" t="s">
        <v>63</v>
      </c>
      <c r="F73" s="27"/>
      <c r="K73" s="27"/>
      <c r="P73" s="27"/>
      <c r="U73" s="27"/>
      <c r="Z73" s="27"/>
      <c r="AE73" s="27"/>
      <c r="AJ73" s="27"/>
      <c r="AO73" s="27"/>
      <c r="AT73" s="27"/>
      <c r="AY73" s="27"/>
      <c r="BD73" s="27"/>
      <c r="BI73" s="27"/>
      <c r="BK73" s="406" t="str">
        <f>Cash_Flow_Qtr!A20</f>
        <v>Accounts Payable</v>
      </c>
      <c r="BL73" s="406">
        <f>Cash_Flow_Qtr!BE20</f>
        <v>-124.74149739355016</v>
      </c>
      <c r="BM73" s="406">
        <f>Cash_Flow_Qtr!BF20</f>
        <v>-337.35935318387783</v>
      </c>
      <c r="BN73" s="406">
        <f>Cash_Flow_Qtr!BG20</f>
        <v>45.060821917806607</v>
      </c>
      <c r="BO73" s="406">
        <f>Cash_Flow_Qtr!BH20</f>
        <v>831.03021321707456</v>
      </c>
      <c r="BP73" s="406">
        <f>Cash_Flow_Qtr!BI20</f>
        <v>413.99018455745318</v>
      </c>
    </row>
    <row r="74" spans="1:78">
      <c r="A74" s="1" t="s">
        <v>21</v>
      </c>
      <c r="B74" s="35">
        <f>(+B12/Income_Statement_Qtr!B10)/4</f>
        <v>0.54745135220551722</v>
      </c>
      <c r="C74" s="35">
        <f>(+C12/Income_Statement_Qtr!C10)/4</f>
        <v>0.4994092001792772</v>
      </c>
      <c r="D74" s="35">
        <f>(+D12/Income_Statement_Qtr!D10)/4</f>
        <v>0.47026964292622536</v>
      </c>
      <c r="E74" s="35">
        <f>(+E12/Income_Statement_Qtr!E10)/4</f>
        <v>0.50117719424765617</v>
      </c>
      <c r="F74" s="36">
        <f>+F12/Income_Statement_Qtr!F10</f>
        <v>0.49167655076263606</v>
      </c>
      <c r="G74" s="35">
        <f>(+G12/Income_Statement_Qtr!G10)/4</f>
        <v>0.52211470484270062</v>
      </c>
      <c r="H74" s="35">
        <f>(+H12/Income_Statement_Qtr!H10)/4</f>
        <v>0.44619268834578873</v>
      </c>
      <c r="I74" s="35">
        <f>(+I12/Income_Statement_Qtr!I10)/4</f>
        <v>0.44648087706084189</v>
      </c>
      <c r="J74" s="35">
        <f>(+J12/Income_Statement_Qtr!J10)/4</f>
        <v>0.46378725414412092</v>
      </c>
      <c r="K74" s="36">
        <f>+K12/Income_Statement_Qtr!K10</f>
        <v>0.4567890791045881</v>
      </c>
      <c r="L74" s="35">
        <f>(+L12/Income_Statement_Qtr!L10)/4</f>
        <v>0.4923159236828924</v>
      </c>
      <c r="M74" s="35">
        <f>(+M12/Income_Statement_Qtr!M10)/4</f>
        <v>0.46042471042471045</v>
      </c>
      <c r="N74" s="35">
        <f>(+N12/Income_Statement_Qtr!N10)/4</f>
        <v>0.44411303306774552</v>
      </c>
      <c r="O74" s="35">
        <f>(+O12/Income_Statement_Qtr!O10)/4</f>
        <v>0.44755752926927733</v>
      </c>
      <c r="P74" s="36">
        <f>+P12/Income_Statement_Qtr!P10</f>
        <v>0.47171958938354341</v>
      </c>
      <c r="Q74" s="35">
        <f>(+Q12/Income_Statement_Qtr!Q10)/4</f>
        <v>0.65545077409973485</v>
      </c>
      <c r="R74" s="35">
        <f>(+R12/Income_Statement_Qtr!R10)/4</f>
        <v>0.63123505647621403</v>
      </c>
      <c r="S74" s="35">
        <f>(+S12/Income_Statement_Qtr!S10)/4</f>
        <v>0.61677801638431562</v>
      </c>
      <c r="T74" s="35">
        <f>(+T12/Income_Statement_Qtr!T10)/4</f>
        <v>0.55191242369711724</v>
      </c>
      <c r="U74" s="36">
        <f>+U12/Income_Statement_Qtr!U10</f>
        <v>0.61869728163596271</v>
      </c>
      <c r="V74" s="35">
        <f>(+V12/Income_Statement_Qtr!V10)/4</f>
        <v>0.71310599118558271</v>
      </c>
      <c r="W74" s="35">
        <f>(+W12/Income_Statement_Qtr!W10)/4</f>
        <v>1.0871055805980572</v>
      </c>
      <c r="X74" s="35">
        <f>(+X12/Income_Statement_Qtr!X10)/4</f>
        <v>0.91690440440440435</v>
      </c>
      <c r="Y74" s="35">
        <f>(+Y12/Income_Statement_Qtr!Y10)/4</f>
        <v>1.0694824409580705</v>
      </c>
      <c r="Z74" s="36">
        <f>+Z12/Income_Statement_Qtr!Z10</f>
        <v>1.0008228947609032</v>
      </c>
      <c r="AA74" s="35">
        <f>(+AA12/Income_Statement_Qtr!AA10)/4</f>
        <v>1.1831677312514786</v>
      </c>
      <c r="AB74" s="35">
        <f>(+AB12/Income_Statement_Qtr!AB10)/4</f>
        <v>1.7732065723723216</v>
      </c>
      <c r="AC74" s="35">
        <f>(+AC12/Income_Statement_Qtr!AC10)/4</f>
        <v>1.5376087417780606</v>
      </c>
      <c r="AD74" s="35">
        <f>(+AD12/Income_Statement_Qtr!AD10)/4</f>
        <v>1.3348634343962362</v>
      </c>
      <c r="AE74" s="36">
        <f>+AE12/Income_Statement_Qtr!AE10</f>
        <v>1.4050517555624333</v>
      </c>
      <c r="AF74" s="35">
        <f>(+AF12/Income_Statement_Qtr!AF10)/4</f>
        <v>1.3581520667674312</v>
      </c>
      <c r="AG74" s="35">
        <f>(+AG12/Income_Statement_Qtr!AG10)/4</f>
        <v>1.2030680080009413</v>
      </c>
      <c r="AH74" s="35">
        <f>(+AH12/Income_Statement_Qtr!AH10)/4</f>
        <v>1.3401132347165858</v>
      </c>
      <c r="AI74" s="35">
        <f>(+AI12/Income_Statement_Qtr!AI10)/4</f>
        <v>1.3320996417224362</v>
      </c>
      <c r="AJ74" s="36">
        <f>+AJ12/Income_Statement_Qtr!AJ10</f>
        <v>1.2655010756831391</v>
      </c>
      <c r="AK74" s="35">
        <f>(+AK12/Income_Statement_Qtr!AK10)/4</f>
        <v>1.4262561646772924</v>
      </c>
      <c r="AL74" s="35">
        <f>(+AL12/Income_Statement_Qtr!AL10)/4</f>
        <v>1.1977249565373778</v>
      </c>
      <c r="AM74" s="35">
        <f>(+AM12/Income_Statement_Qtr!AM10)/4</f>
        <v>1.2499529957382802</v>
      </c>
      <c r="AN74" s="35">
        <f>(+AN12/Income_Statement_Qtr!AN10)/4</f>
        <v>0.97786536536536539</v>
      </c>
      <c r="AO74" s="36">
        <f>+AO12/Income_Statement_Qtr!AO10</f>
        <v>1.1732975018015854</v>
      </c>
      <c r="AP74" s="35">
        <f>(+AP12/Income_Statement_Qtr!AP10)/4</f>
        <v>1.0951258300318063</v>
      </c>
      <c r="AQ74" s="35">
        <f>(+AQ12/Income_Statement_Qtr!AQ10)/4</f>
        <v>0.9913675256949015</v>
      </c>
      <c r="AR74" s="35">
        <f>(+AR12/Income_Statement_Qtr!AR10)/4</f>
        <v>1.0905324790101636</v>
      </c>
      <c r="AS74" s="35">
        <f>(+AS12/Income_Statement_Qtr!AS10)/4</f>
        <v>0.90540693977654652</v>
      </c>
      <c r="AT74" s="36">
        <f>+AT12/Income_Statement_Qtr!AT10</f>
        <v>1.0250276370928348</v>
      </c>
      <c r="AU74" s="35">
        <f>(+AU12/Income_Statement_Qtr!AU10)/4</f>
        <v>1.2594453497495322</v>
      </c>
      <c r="AV74" s="35">
        <f>(+AV12/Income_Statement_Qtr!AV10)/4</f>
        <v>1.2697290406735444</v>
      </c>
      <c r="AW74" s="35">
        <f>(+AW12/Income_Statement_Qtr!AW10)/4</f>
        <v>1.1678951793721972</v>
      </c>
      <c r="AX74" s="35">
        <f>(+AX12/Income_Statement_Qtr!AX10)/4</f>
        <v>1.4359992127017451</v>
      </c>
      <c r="AY74" s="36">
        <f>+AY12/Income_Statement_Qtr!AY10</f>
        <v>1.3162048799555002</v>
      </c>
      <c r="AZ74" s="35">
        <f>(+AZ12/Income_Statement_Qtr!AZ10)/4</f>
        <v>1.1422471276159212</v>
      </c>
      <c r="BA74" s="35">
        <f>(+BA12/Income_Statement_Qtr!BA10)/4</f>
        <v>0.96546002022066901</v>
      </c>
      <c r="BB74" s="35">
        <f>(+BB12/Income_Statement_Qtr!BB10)/4</f>
        <v>0.88552857756768366</v>
      </c>
      <c r="BC74" s="35">
        <f>(+BC12/Income_Statement_Qtr!BC10)/4</f>
        <v>0.88398822448638714</v>
      </c>
      <c r="BD74" s="36">
        <f>+BD12/Income_Statement_Qtr!BD10</f>
        <v>0.94652537920704649</v>
      </c>
      <c r="BE74" s="35">
        <f ca="1">(+BE12/Income_Statement_Qtr!BE10)/4</f>
        <v>0.85481534667467873</v>
      </c>
      <c r="BF74" s="35">
        <f ca="1">(+BF12/Income_Statement_Qtr!BF10)/4</f>
        <v>0.84472600459764591</v>
      </c>
      <c r="BG74" s="35">
        <f ca="1">(+BG12/Income_Statement_Qtr!BG10)/4</f>
        <v>0.83364205095097643</v>
      </c>
      <c r="BH74" s="35">
        <f ca="1">(+BH12/Income_Statement_Qtr!BH10)/4</f>
        <v>0.83077315784929406</v>
      </c>
      <c r="BI74" s="36">
        <f ca="1">+BI12/Income_Statement_Qtr!BI10</f>
        <v>0.83004831925343425</v>
      </c>
      <c r="BK74" s="406" t="str">
        <f>Cash_Flow_Qtr!A21</f>
        <v>Accrued Liabilities</v>
      </c>
      <c r="BL74" s="406">
        <f>Cash_Flow_Qtr!BE21</f>
        <v>-400</v>
      </c>
      <c r="BM74" s="406">
        <f>Cash_Flow_Qtr!BF21</f>
        <v>-400</v>
      </c>
      <c r="BN74" s="406">
        <f>Cash_Flow_Qtr!BG21</f>
        <v>-400</v>
      </c>
      <c r="BO74" s="406">
        <f>Cash_Flow_Qtr!BH21</f>
        <v>-469</v>
      </c>
      <c r="BP74" s="406">
        <f>Cash_Flow_Qtr!BI21</f>
        <v>-1669</v>
      </c>
    </row>
    <row r="75" spans="1:78">
      <c r="A75" s="1" t="s">
        <v>83</v>
      </c>
      <c r="B75" s="35">
        <f>(+B14/Income_Statement_Qtr!B10)/4</f>
        <v>0</v>
      </c>
      <c r="C75" s="35">
        <f>(+C14/Income_Statement_Qtr!C10)/4</f>
        <v>0</v>
      </c>
      <c r="D75" s="35">
        <f>(+D14/Income_Statement_Qtr!D10)/4</f>
        <v>0</v>
      </c>
      <c r="E75" s="35">
        <f>(+E14/Income_Statement_Qtr!E10)/4</f>
        <v>0</v>
      </c>
      <c r="F75" s="36">
        <f>+F14/Income_Statement_Qtr!F10</f>
        <v>0</v>
      </c>
      <c r="G75" s="35">
        <f>(+G14/Income_Statement_Qtr!G10)/4</f>
        <v>0</v>
      </c>
      <c r="H75" s="35">
        <f>(+H14/Income_Statement_Qtr!H10)/4</f>
        <v>0</v>
      </c>
      <c r="I75" s="35">
        <f>(+I14/Income_Statement_Qtr!I10)/4</f>
        <v>0</v>
      </c>
      <c r="J75" s="35">
        <f>(+J14/Income_Statement_Qtr!J10)/4</f>
        <v>0</v>
      </c>
      <c r="K75" s="36">
        <f>+K14/Income_Statement_Qtr!K10</f>
        <v>0</v>
      </c>
      <c r="L75" s="35">
        <f>(+L14/Income_Statement_Qtr!L10)/4</f>
        <v>0</v>
      </c>
      <c r="M75" s="35">
        <f>(+M14/Income_Statement_Qtr!M10)/4</f>
        <v>0</v>
      </c>
      <c r="N75" s="35">
        <f>(+N14/Income_Statement_Qtr!N10)/4</f>
        <v>0</v>
      </c>
      <c r="O75" s="35">
        <f>(+O14/Income_Statement_Qtr!O10)/4</f>
        <v>0</v>
      </c>
      <c r="P75" s="36">
        <f>+P14/Income_Statement_Qtr!P10</f>
        <v>0</v>
      </c>
      <c r="Q75" s="35">
        <f>(+Q14/Income_Statement_Qtr!Q10)/4</f>
        <v>2.6526815499101873E-2</v>
      </c>
      <c r="R75" s="35">
        <f>(+R14/Income_Statement_Qtr!R10)/4</f>
        <v>2.4692884821502184E-2</v>
      </c>
      <c r="S75" s="35">
        <f>(+S14/Income_Statement_Qtr!S10)/4</f>
        <v>2.3840769903762028E-2</v>
      </c>
      <c r="T75" s="35">
        <f>(+T14/Income_Statement_Qtr!T10)/4</f>
        <v>2.059736777107371E-2</v>
      </c>
      <c r="U75" s="36">
        <f>+U14/Income_Statement_Qtr!U10</f>
        <v>2.3089778199689499E-2</v>
      </c>
      <c r="V75" s="35">
        <f>(+V14/Income_Statement_Qtr!V10)/4</f>
        <v>2.3934197320766244E-2</v>
      </c>
      <c r="W75" s="35">
        <f>(+W14/Income_Statement_Qtr!W10)/4</f>
        <v>5.2441114849850805E-2</v>
      </c>
      <c r="X75" s="35">
        <f>(+X14/Income_Statement_Qtr!X10)/4</f>
        <v>3.3233233233233232E-2</v>
      </c>
      <c r="Y75" s="35">
        <f>(+Y14/Income_Statement_Qtr!Y10)/4</f>
        <v>4.3353246608229583E-2</v>
      </c>
      <c r="Z75" s="36">
        <f>+Z14/Income_Statement_Qtr!Z10</f>
        <v>4.0570017894695595E-2</v>
      </c>
      <c r="AA75" s="35">
        <f>(+AA14/Income_Statement_Qtr!AA10)/4</f>
        <v>4.0498580553584101E-2</v>
      </c>
      <c r="AB75" s="35">
        <f>(+AB14/Income_Statement_Qtr!AB10)/4</f>
        <v>5.5560260862200388E-2</v>
      </c>
      <c r="AC75" s="35">
        <f>(+AC14/Income_Statement_Qtr!AC10)/4</f>
        <v>9.2174128297616523E-2</v>
      </c>
      <c r="AD75" s="35">
        <f>(+AD14/Income_Statement_Qtr!AD10)/4</f>
        <v>7.0014375326711967E-2</v>
      </c>
      <c r="AE75" s="36">
        <f>+AE14/Income_Statement_Qtr!AE10</f>
        <v>7.3695794215757074E-2</v>
      </c>
      <c r="AF75" s="35">
        <f>(+AF14/Income_Statement_Qtr!AF10)/4</f>
        <v>6.7736741801932052E-2</v>
      </c>
      <c r="AG75" s="35">
        <f>(+AG14/Income_Statement_Qtr!AG10)/4</f>
        <v>6.158077420873044E-2</v>
      </c>
      <c r="AH75" s="35">
        <f>(+AH14/Income_Statement_Qtr!AH10)/4</f>
        <v>4.3592093205917004E-2</v>
      </c>
      <c r="AI75" s="35">
        <f>(+AI14/Income_Statement_Qtr!AI10)/4</f>
        <v>3.7534644764415599E-2</v>
      </c>
      <c r="AJ75" s="36">
        <f>+AJ14/Income_Statement_Qtr!AJ10</f>
        <v>3.5658093311498572E-2</v>
      </c>
      <c r="AK75" s="35">
        <f>(+AK14/Income_Statement_Qtr!AK10)/4</f>
        <v>4.2098491887642059E-2</v>
      </c>
      <c r="AL75" s="35">
        <f>(+AL14/Income_Statement_Qtr!AL10)/4</f>
        <v>3.0648642167735746E-2</v>
      </c>
      <c r="AM75" s="35">
        <f>(+AM14/Income_Statement_Qtr!AM10)/4</f>
        <v>4.7583980947605915E-2</v>
      </c>
      <c r="AN75" s="35">
        <f>(+AN14/Income_Statement_Qtr!AN10)/4</f>
        <v>3.5210210210210209E-2</v>
      </c>
      <c r="AO75" s="36">
        <f>+AO14/Income_Statement_Qtr!AO10</f>
        <v>4.224717751621427E-2</v>
      </c>
      <c r="AP75" s="35">
        <f>(+AP14/Income_Statement_Qtr!AP10)/4</f>
        <v>3.9520674069527369E-2</v>
      </c>
      <c r="AQ75" s="35">
        <f>(+AQ14/Income_Statement_Qtr!AQ10)/4</f>
        <v>3.6960153916257406E-2</v>
      </c>
      <c r="AR75" s="35">
        <f>(+AR14/Income_Statement_Qtr!AR10)/4</f>
        <v>3.1291427308882014E-2</v>
      </c>
      <c r="AS75" s="35">
        <f>(+AS14/Income_Statement_Qtr!AS10)/4</f>
        <v>2.8181487873557998E-2</v>
      </c>
      <c r="AT75" s="36">
        <f>+AT14/Income_Statement_Qtr!AT10</f>
        <v>3.1904774147106463E-2</v>
      </c>
      <c r="AU75" s="35">
        <f>(+AU14/Income_Statement_Qtr!AU10)/4</f>
        <v>4.257951596354638E-2</v>
      </c>
      <c r="AV75" s="35">
        <f>(+AV14/Income_Statement_Qtr!AV10)/4</f>
        <v>4.833689078619708E-2</v>
      </c>
      <c r="AW75" s="35">
        <f>(+AW14/Income_Statement_Qtr!AW10)/4</f>
        <v>4.0596973094170402E-2</v>
      </c>
      <c r="AX75" s="35">
        <f>(+AX14/Income_Statement_Qtr!AX10)/4</f>
        <v>4.8287626295761714E-2</v>
      </c>
      <c r="AY75" s="36">
        <f>+AY14/Income_Statement_Qtr!AY10</f>
        <v>4.4259362268292315E-2</v>
      </c>
      <c r="AZ75" s="35">
        <f>(+AZ14/Income_Statement_Qtr!AZ10)/4</f>
        <v>3.1455170291341816E-2</v>
      </c>
      <c r="BA75" s="35">
        <f>(+BA14/Income_Statement_Qtr!BA10)/4</f>
        <v>3.6320277814409427E-2</v>
      </c>
      <c r="BB75" s="35">
        <f>(+BB14/Income_Statement_Qtr!BB10)/4</f>
        <v>3.9406961753330472E-2</v>
      </c>
      <c r="BC75" s="111">
        <f>+BC14/Income_Statement_Qtr!BC10/4</f>
        <v>1.6274845498580257E-2</v>
      </c>
      <c r="BD75" s="36">
        <f>+BD14/Income_Statement_Qtr!BD10</f>
        <v>1.7426198540178621E-2</v>
      </c>
      <c r="BE75" s="190">
        <v>1.7999999999999999E-2</v>
      </c>
      <c r="BF75" s="190">
        <v>1.7999999999999999E-2</v>
      </c>
      <c r="BG75" s="190">
        <v>1.7999999999999999E-2</v>
      </c>
      <c r="BH75" s="111">
        <f>+BH14/Income_Statement_Qtr!BH10/4</f>
        <v>1.5013098730141007E-2</v>
      </c>
      <c r="BI75" s="226">
        <v>1.4999999999999999E-2</v>
      </c>
      <c r="BK75" s="406" t="str">
        <f>Cash_Flow_Qtr!A22</f>
        <v>Advances and Billings in Excess of Related Costs</v>
      </c>
      <c r="BL75" s="406">
        <f>Cash_Flow_Qtr!BE22</f>
        <v>0</v>
      </c>
      <c r="BM75" s="406">
        <f>Cash_Flow_Qtr!BF22</f>
        <v>0</v>
      </c>
      <c r="BN75" s="406">
        <f>Cash_Flow_Qtr!BG22</f>
        <v>0</v>
      </c>
      <c r="BO75" s="406">
        <f>Cash_Flow_Qtr!BH22</f>
        <v>0</v>
      </c>
      <c r="BP75" s="406">
        <f>Cash_Flow_Qtr!BI22</f>
        <v>0</v>
      </c>
    </row>
    <row r="76" spans="1:78">
      <c r="A76" s="1" t="s">
        <v>249</v>
      </c>
      <c r="B76" s="35">
        <f>(+B32/Income_Statement_Qtr!B10)/4</f>
        <v>0.13497223350941351</v>
      </c>
      <c r="C76" s="35">
        <f>(+C32/Income_Statement_Qtr!C10)/4</f>
        <v>0.13472273153241249</v>
      </c>
      <c r="D76" s="35">
        <f>(+D32/Income_Statement_Qtr!D10)/4</f>
        <v>0.12350574490309103</v>
      </c>
      <c r="E76" s="35">
        <f>(+E32/Income_Statement_Qtr!E10)/4</f>
        <v>0.14862342510499299</v>
      </c>
      <c r="F76" s="36">
        <f>(+F32/Income_Statement_Qtr!F10)</f>
        <v>0.14580602201552323</v>
      </c>
      <c r="G76" s="35">
        <f>(+G32/Income_Statement_Qtr!G10)/4</f>
        <v>0.14128225521385648</v>
      </c>
      <c r="H76" s="35">
        <f>(+H32/Income_Statement_Qtr!H10)/4</f>
        <v>0.13667945869521309</v>
      </c>
      <c r="I76" s="35">
        <f>(+I32/Income_Statement_Qtr!I10)/4</f>
        <v>0.13853669763160098</v>
      </c>
      <c r="J76" s="35">
        <f>(+J32/Income_Statement_Qtr!J10)/4</f>
        <v>0.15772352486472557</v>
      </c>
      <c r="K76" s="36">
        <f>(+K32/Income_Statement_Qtr!K10)</f>
        <v>0.15534360427615232</v>
      </c>
      <c r="L76" s="35">
        <f>(+L32/Income_Statement_Qtr!L10)/4</f>
        <v>0.15176904512544967</v>
      </c>
      <c r="M76" s="35">
        <f>(+M32/Income_Statement_Qtr!M10)/4</f>
        <v>0.15502581232918311</v>
      </c>
      <c r="N76" s="35">
        <f>(+N32/Income_Statement_Qtr!N10)/4</f>
        <v>0.14457333938818479</v>
      </c>
      <c r="O76" s="35">
        <f>(+O32/Income_Statement_Qtr!O10)/4</f>
        <v>0.15433992733144933</v>
      </c>
      <c r="P76" s="36">
        <f>(+P32/Income_Statement_Qtr!P10)</f>
        <v>0.16267219828732515</v>
      </c>
      <c r="Q76" s="35">
        <f>(+Q32/Income_Statement_Qtr!Q10)/4</f>
        <v>0.1174300744162176</v>
      </c>
      <c r="R76" s="35">
        <f>(+R32/Income_Statement_Qtr!R10)/4</f>
        <v>0.126143952510512</v>
      </c>
      <c r="S76" s="35">
        <f>(+S32/Income_Statement_Qtr!S10)/4</f>
        <v>0.127942813966436</v>
      </c>
      <c r="T76" s="35">
        <f>(+T32/Income_Statement_Qtr!T10)/4</f>
        <v>0.13062347835291627</v>
      </c>
      <c r="U76" s="36">
        <f>(+U32/Income_Statement_Qtr!U10)</f>
        <v>0.14642973686552552</v>
      </c>
      <c r="V76" s="35">
        <f>(+V32/Income_Statement_Qtr!V10)/4</f>
        <v>0.14189248156390452</v>
      </c>
      <c r="W76" s="35">
        <f>(+W32/Income_Statement_Qtr!W10)/4</f>
        <v>0.3181067868706749</v>
      </c>
      <c r="X76" s="35">
        <f>(+X32/Income_Statement_Qtr!X10)/4</f>
        <v>0.24054054054054055</v>
      </c>
      <c r="Y76" s="35">
        <f>(+Y32/Income_Statement_Qtr!Y10)/4</f>
        <v>0.31918932499581265</v>
      </c>
      <c r="Z76" s="36">
        <f>(+Z32/Income_Statement_Qtr!Z10)</f>
        <v>0.29869773638631641</v>
      </c>
      <c r="AA76" s="35">
        <f>(+AA32/Income_Statement_Qtr!AA10)/4</f>
        <v>0.31764549325762953</v>
      </c>
      <c r="AB76" s="35">
        <f>(+AB32/Income_Statement_Qtr!AB10)/4</f>
        <v>0.47626408063013465</v>
      </c>
      <c r="AC76" s="35">
        <f>(+AC32/Income_Statement_Qtr!AC10)/4</f>
        <v>0.3928849282127449</v>
      </c>
      <c r="AD76" s="35">
        <f>(+AD32/Income_Statement_Qtr!AD10)/4</f>
        <v>0.36217655514898067</v>
      </c>
      <c r="AE76" s="36">
        <f>(+AE32/Income_Statement_Qtr!AE10)</f>
        <v>0.38122012448846249</v>
      </c>
      <c r="AF76" s="35">
        <f>(+AF32/Income_Statement_Qtr!AF10)/4</f>
        <v>0.33766511138857858</v>
      </c>
      <c r="AG76" s="35">
        <f>(+AG32/Income_Statement_Qtr!AG10)/4</f>
        <v>0.28682786210142369</v>
      </c>
      <c r="AH76" s="35">
        <f>(+AH32/Income_Statement_Qtr!AH10)/4</f>
        <v>0.31047912030370467</v>
      </c>
      <c r="AI76" s="35">
        <f>(+AI32/Income_Statement_Qtr!AI10)/4</f>
        <v>0.31188737916582165</v>
      </c>
      <c r="AJ76" s="36">
        <f>(+AJ32/Income_Statement_Qtr!AJ10)</f>
        <v>0.29629451241049354</v>
      </c>
      <c r="AK76" s="35">
        <f>(+AK32/Income_Statement_Qtr!AK10)/4</f>
        <v>0.31920520334500752</v>
      </c>
      <c r="AL76" s="35">
        <f>(+AL32/Income_Statement_Qtr!AL10)/4</f>
        <v>0.26605119597146454</v>
      </c>
      <c r="AM76" s="35">
        <f>(+AM32/Income_Statement_Qtr!AM10)/4</f>
        <v>0.33242980696916519</v>
      </c>
      <c r="AN76" s="35">
        <f>(+AN32/Income_Statement_Qtr!AN10)/4</f>
        <v>0.27003253253253251</v>
      </c>
      <c r="AO76" s="36">
        <f>(+AO32/Income_Statement_Qtr!AO10)</f>
        <v>0.32400012010569301</v>
      </c>
      <c r="AP76" s="35">
        <f>(+AP32/Income_Statement_Qtr!AP10)/4</f>
        <v>0.29032978070420179</v>
      </c>
      <c r="AQ76" s="35">
        <f>(+AQ32/Income_Statement_Qtr!AQ10)/4</f>
        <v>0.26860665282770491</v>
      </c>
      <c r="AR76" s="35">
        <f>(+AR32/Income_Statement_Qtr!AR10)/4</f>
        <v>0.29142730888201501</v>
      </c>
      <c r="AS76" s="35">
        <f>(+AS32/Income_Statement_Qtr!AS10)/4</f>
        <v>0.25355391043691528</v>
      </c>
      <c r="AT76" s="36">
        <f>(+AT32/Income_Statement_Qtr!AT10)</f>
        <v>0.28705298609147234</v>
      </c>
      <c r="AU76" s="35">
        <f>(+AU32/Income_Statement_Qtr!AU10)/4</f>
        <v>0.32601545054016534</v>
      </c>
      <c r="AV76" s="35">
        <f>(+AV32/Income_Statement_Qtr!AV10)/4</f>
        <v>0.32387643780386577</v>
      </c>
      <c r="AW76" s="35">
        <f>(+AW32/Income_Statement_Qtr!AW10)/4</f>
        <v>0.31709641255605381</v>
      </c>
      <c r="AX76" s="35">
        <f>(+AX32/Income_Statement_Qtr!AX10)/4</f>
        <v>0.39533853824957355</v>
      </c>
      <c r="AY76" s="36">
        <f>(+AY32/Income_Statement_Qtr!AY10)</f>
        <v>0.36235849482087285</v>
      </c>
      <c r="AZ76" s="35">
        <f>(+AZ32/Income_Statement_Qtr!AZ10)/4</f>
        <v>0.30231842429216249</v>
      </c>
      <c r="BA76" s="35">
        <f>(+BA32/Income_Statement_Qtr!BA10)/4</f>
        <v>0.25834102597916392</v>
      </c>
      <c r="BB76" s="35">
        <f>(+BB32/Income_Statement_Qtr!BB10)/4</f>
        <v>0.26175333046841426</v>
      </c>
      <c r="BC76" s="35">
        <f>(+BC32/Income_Statement_Qtr!BC10)/4</f>
        <v>0.28333263738099213</v>
      </c>
      <c r="BD76" s="36">
        <f>(+BD32/Income_Statement_Qtr!BD10)</f>
        <v>0.30337681499614366</v>
      </c>
      <c r="BE76" s="35">
        <f>(+BE32/Income_Statement_Qtr!BE10)/4</f>
        <v>0.26999117468092099</v>
      </c>
      <c r="BF76" s="35">
        <f>(+BF32/Income_Statement_Qtr!BF10)/4</f>
        <v>0.26363150812684699</v>
      </c>
      <c r="BG76" s="35">
        <f>(+BG32/Income_Statement_Qtr!BG10)/4</f>
        <v>0.258706375242164</v>
      </c>
      <c r="BH76" s="35">
        <f>(+BH32/Income_Statement_Qtr!BH10)/4</f>
        <v>0.25567115260667245</v>
      </c>
      <c r="BI76" s="36">
        <f>(+BI32/Income_Statement_Qtr!BI10)</f>
        <v>0.25544808290647053</v>
      </c>
      <c r="BK76" s="406" t="str">
        <f>Cash_Flow_Qtr!A23</f>
        <v>Income Taxes Receivable, Payable and Deferred</v>
      </c>
      <c r="BL76" s="406">
        <f>Cash_Flow_Qtr!BE23</f>
        <v>0</v>
      </c>
      <c r="BM76" s="406">
        <f>Cash_Flow_Qtr!BF23</f>
        <v>0</v>
      </c>
      <c r="BN76" s="406">
        <f>Cash_Flow_Qtr!BG23</f>
        <v>0</v>
      </c>
      <c r="BO76" s="406">
        <f>Cash_Flow_Qtr!BH23</f>
        <v>0</v>
      </c>
      <c r="BP76" s="406">
        <f>Cash_Flow_Qtr!BI23</f>
        <v>0</v>
      </c>
    </row>
    <row r="77" spans="1:78">
      <c r="A77" s="1" t="s">
        <v>274</v>
      </c>
      <c r="B77" s="35">
        <f>(+B33/Income_Statement_Qtr!B10)/4</f>
        <v>0.25680617635107678</v>
      </c>
      <c r="C77" s="35">
        <f>(+C33/Income_Statement_Qtr!C10)/4</f>
        <v>0.23808214154748808</v>
      </c>
      <c r="D77" s="35">
        <f>(+D33/Income_Statement_Qtr!D10)/4</f>
        <v>0.226720569461101</v>
      </c>
      <c r="E77" s="35">
        <f>(+E33/Income_Statement_Qtr!E10)/4</f>
        <v>0.25838883468374835</v>
      </c>
      <c r="F77" s="36">
        <f>(+F33/Income_Statement_Qtr!F10)</f>
        <v>0.25349064652391951</v>
      </c>
      <c r="G77" s="35">
        <f>(+G33/Income_Statement_Qtr!G10)/4</f>
        <v>0.2642939201131142</v>
      </c>
      <c r="H77" s="35">
        <f>(+H33/Income_Statement_Qtr!H10)/4</f>
        <v>0.23640678650777622</v>
      </c>
      <c r="I77" s="35">
        <f>(+I33/Income_Statement_Qtr!I10)/4</f>
        <v>0.23690266967947107</v>
      </c>
      <c r="J77" s="35">
        <f>(+J33/Income_Statement_Qtr!J10)/4</f>
        <v>0.25625912565489994</v>
      </c>
      <c r="K77" s="36">
        <f>(+K33/Income_Statement_Qtr!K10)</f>
        <v>0.25239238244282075</v>
      </c>
      <c r="L77" s="35">
        <f>(+L33/Income_Statement_Qtr!L10)/4</f>
        <v>0.27455489276444606</v>
      </c>
      <c r="M77" s="35">
        <f>(+M33/Income_Statement_Qtr!M10)/4</f>
        <v>0.27983601579107198</v>
      </c>
      <c r="N77" s="35">
        <f>(+N33/Income_Statement_Qtr!N10)/4</f>
        <v>0.2755129422449738</v>
      </c>
      <c r="O77" s="35">
        <f>(+O33/Income_Statement_Qtr!O10)/4</f>
        <v>0.27694792087202263</v>
      </c>
      <c r="P77" s="36">
        <f>(+P33/Income_Statement_Qtr!P10)</f>
        <v>0.2918993670549439</v>
      </c>
      <c r="Q77" s="35">
        <f>(+Q33/Income_Statement_Qtr!Q10)/4</f>
        <v>0.5341181250534599</v>
      </c>
      <c r="R77" s="35">
        <f>(+R33/Income_Statement_Qtr!R10)/4</f>
        <v>0.52529062577294083</v>
      </c>
      <c r="S77" s="35">
        <f>(+S33/Income_Statement_Qtr!S10)/4</f>
        <v>0.51197009464725995</v>
      </c>
      <c r="T77" s="35">
        <f>(+T33/Income_Statement_Qtr!T10)/4</f>
        <v>0.44702021805864295</v>
      </c>
      <c r="U77" s="36">
        <f>(+U33/Income_Statement_Qtr!U10)</f>
        <v>0.5011124625470943</v>
      </c>
      <c r="V77" s="35">
        <f>(+V33/Income_Statement_Qtr!V10)/4</f>
        <v>0.57308984596587687</v>
      </c>
      <c r="W77" s="35">
        <f>(+W33/Income_Statement_Qtr!W10)/4</f>
        <v>0.83364548282648721</v>
      </c>
      <c r="X77" s="35">
        <f>(+X33/Income_Statement_Qtr!X10)/4</f>
        <v>0.66525275275275275</v>
      </c>
      <c r="Y77" s="35">
        <f>(+Y33/Income_Statement_Qtr!Y10)/4</f>
        <v>0.71954385573111501</v>
      </c>
      <c r="Z77" s="36">
        <f>(+Z33/Income_Statement_Qtr!Z10)</f>
        <v>0.67334996538617276</v>
      </c>
      <c r="AA77" s="35">
        <f>(+AA33/Income_Statement_Qtr!AA10)/4</f>
        <v>0.78192275845753489</v>
      </c>
      <c r="AB77" s="35">
        <f>(+AB33/Income_Statement_Qtr!AB10)/4</f>
        <v>1.1299864487168629</v>
      </c>
      <c r="AC77" s="35">
        <f>(+AC33/Income_Statement_Qtr!AC10)/4</f>
        <v>0.91898295494730886</v>
      </c>
      <c r="AD77" s="35">
        <f>(+AD33/Income_Statement_Qtr!AD10)/4</f>
        <v>0.82475169890224775</v>
      </c>
      <c r="AE77" s="36">
        <f>(+AE33/Income_Statement_Qtr!AE10)</f>
        <v>0.86811788575948279</v>
      </c>
      <c r="AF77" s="35">
        <f>(+AF33/Income_Statement_Qtr!AF10)/4</f>
        <v>0.83636722087139381</v>
      </c>
      <c r="AG77" s="35">
        <f>(+AG33/Income_Statement_Qtr!AG10)/4</f>
        <v>0.74623485115895982</v>
      </c>
      <c r="AH77" s="35">
        <f>(+AH33/Income_Statement_Qtr!AH10)/4</f>
        <v>0.83893507003534495</v>
      </c>
      <c r="AI77" s="35">
        <f>(+AI33/Income_Statement_Qtr!AI10)/4</f>
        <v>0.89535591157980121</v>
      </c>
      <c r="AJ77" s="36">
        <f>(+AJ33/Income_Statement_Qtr!AJ10)</f>
        <v>0.85059242847509875</v>
      </c>
      <c r="AK77" s="35">
        <f>(+AK33/Income_Statement_Qtr!AK10)/4</f>
        <v>0.93735258380387387</v>
      </c>
      <c r="AL77" s="35">
        <f>(+AL33/Income_Statement_Qtr!AL10)/4</f>
        <v>0.78031892572387751</v>
      </c>
      <c r="AM77" s="35">
        <f>(+AM33/Income_Statement_Qtr!AM10)/4</f>
        <v>0.83318187515668085</v>
      </c>
      <c r="AN77" s="35">
        <f>(+AN33/Income_Statement_Qtr!AN10)/4</f>
        <v>0.66417667667667668</v>
      </c>
      <c r="AO77" s="36">
        <f>(+AO33/Income_Statement_Qtr!AO10)</f>
        <v>0.79691628633197209</v>
      </c>
      <c r="AP77" s="35">
        <f>(+AP33/Income_Statement_Qtr!AP10)/4</f>
        <v>0.76025333407733942</v>
      </c>
      <c r="AQ77" s="35">
        <f>(+AQ33/Income_Statement_Qtr!AQ10)/4</f>
        <v>0.70009113462609485</v>
      </c>
      <c r="AR77" s="35">
        <f>(+AR33/Income_Statement_Qtr!AR10)/4</f>
        <v>0.77226027397260277</v>
      </c>
      <c r="AS77" s="35">
        <f>(+AS33/Income_Statement_Qtr!AS10)/4</f>
        <v>0.63956762648741938</v>
      </c>
      <c r="AT77" s="36">
        <f>(+AT33/Income_Statement_Qtr!AT10)</f>
        <v>0.72406612335141529</v>
      </c>
      <c r="AU77" s="35">
        <f>(+AU33/Income_Statement_Qtr!AU10)/4</f>
        <v>0.88979419397670345</v>
      </c>
      <c r="AV77" s="35">
        <f>(+AV33/Income_Statement_Qtr!AV10)/4</f>
        <v>0.86195600616625168</v>
      </c>
      <c r="AW77" s="35">
        <f>(+AW33/Income_Statement_Qtr!AW10)/4</f>
        <v>0.81181334080717493</v>
      </c>
      <c r="AX77" s="35">
        <f>(+AX33/Income_Statement_Qtr!AX10)/4</f>
        <v>0.98958470017058131</v>
      </c>
      <c r="AY77" s="36">
        <f>(+AY33/Income_Statement_Qtr!AY10)</f>
        <v>0.90703128523535337</v>
      </c>
      <c r="AZ77" s="35">
        <f>(+AZ33/Income_Statement_Qtr!AZ10)/4</f>
        <v>0.7836735740664752</v>
      </c>
      <c r="BA77" s="35">
        <f>(+BA33/Income_Statement_Qtr!BA10)/4</f>
        <v>0.65285287265374303</v>
      </c>
      <c r="BB77" s="35">
        <f>(+BB33/Income_Statement_Qtr!BB10)/4</f>
        <v>0.62271164589600347</v>
      </c>
      <c r="BC77" s="35">
        <f>(+BC33/Income_Statement_Qtr!BC10)/4</f>
        <v>0.62013529313512605</v>
      </c>
      <c r="BD77" s="36">
        <f>(+BD33/Income_Statement_Qtr!BD10)</f>
        <v>0.66400634899343858</v>
      </c>
      <c r="BE77" s="35">
        <f>(+BE33/Income_Statement_Qtr!BE10)/4</f>
        <v>0.59977397033564306</v>
      </c>
      <c r="BF77" s="35">
        <f>(+BF33/Income_Statement_Qtr!BF10)/4</f>
        <v>0.59453954325072011</v>
      </c>
      <c r="BG77" s="35">
        <f>(+BG33/Income_Statement_Qtr!BG10)/4</f>
        <v>0.59242872344495245</v>
      </c>
      <c r="BH77" s="35">
        <f>(+BH33/Income_Statement_Qtr!BH10)/4</f>
        <v>0.59436051873054574</v>
      </c>
      <c r="BI77" s="36">
        <f>(+BI33/Income_Statement_Qtr!BI10)</f>
        <v>0.59384194703650306</v>
      </c>
      <c r="BK77" s="406" t="str">
        <f>Cash_Flow_Qtr!A24</f>
        <v>Other Long-Term Liabilities</v>
      </c>
      <c r="BL77" s="406">
        <f>Cash_Flow_Qtr!BE24</f>
        <v>0</v>
      </c>
      <c r="BM77" s="406">
        <f>Cash_Flow_Qtr!BF24</f>
        <v>0</v>
      </c>
      <c r="BN77" s="406">
        <f>Cash_Flow_Qtr!BG24</f>
        <v>0</v>
      </c>
      <c r="BO77" s="406">
        <f>Cash_Flow_Qtr!BH24</f>
        <v>0</v>
      </c>
      <c r="BP77" s="406">
        <f>Cash_Flow_Qtr!BI24</f>
        <v>0</v>
      </c>
    </row>
    <row r="78" spans="1:78">
      <c r="A78" s="1" t="s">
        <v>92</v>
      </c>
      <c r="B78" s="35">
        <f>(+B42/Income_Statement_Qtr!B10)/4</f>
        <v>0.19596821526931238</v>
      </c>
      <c r="C78" s="35">
        <f>(+C42/Income_Statement_Qtr!C10)/4</f>
        <v>0.17863545613820642</v>
      </c>
      <c r="D78" s="35">
        <f>(+D42/Income_Statement_Qtr!D10)/4</f>
        <v>0.17210530388022746</v>
      </c>
      <c r="E78" s="35">
        <f>(+E42/Income_Statement_Qtr!E10)/4</f>
        <v>0.18859500275739194</v>
      </c>
      <c r="F78" s="36">
        <f>(+F42/Income_Statement_Qtr!F10)</f>
        <v>0.1850198722350542</v>
      </c>
      <c r="G78" s="35">
        <f>(+G42/Income_Statement_Qtr!G10)/4</f>
        <v>0.20099858607281726</v>
      </c>
      <c r="H78" s="35">
        <f>(+H42/Income_Statement_Qtr!H10)/4</f>
        <v>0.18380125227226823</v>
      </c>
      <c r="I78" s="35">
        <f>(+I42/Income_Statement_Qtr!I10)/4</f>
        <v>0.18833165955310069</v>
      </c>
      <c r="J78" s="35">
        <f>(+J42/Income_Statement_Qtr!J10)/4</f>
        <v>0.21410933608176586</v>
      </c>
      <c r="K78" s="36">
        <f>(+K42/Income_Statement_Qtr!K10)</f>
        <v>0.21087859914773027</v>
      </c>
      <c r="L78" s="35">
        <f>(+L42/Income_Statement_Qtr!L10)/4</f>
        <v>0.22535403670142526</v>
      </c>
      <c r="M78" s="35">
        <f>(+M42/Income_Statement_Qtr!M10)/4</f>
        <v>0.21312524402412042</v>
      </c>
      <c r="N78" s="35">
        <f>(+N42/Income_Statement_Qtr!N10)/4</f>
        <v>0.16011641828014697</v>
      </c>
      <c r="O78" s="35">
        <f>(+O42/Income_Statement_Qtr!O10)/4</f>
        <v>0.16623940250302785</v>
      </c>
      <c r="P78" s="36">
        <f>(+P42/Income_Statement_Qtr!P10)</f>
        <v>0.17521408435721506</v>
      </c>
      <c r="Q78" s="35">
        <f>(+Q42/Income_Statement_Qtr!Q10)/4</f>
        <v>0.17405482850055598</v>
      </c>
      <c r="R78" s="35">
        <f>(+R42/Income_Statement_Qtr!R10)/4</f>
        <v>0.16611014922912029</v>
      </c>
      <c r="S78" s="35">
        <f>(+S42/Income_Statement_Qtr!S10)/4</f>
        <v>0.15834526366022428</v>
      </c>
      <c r="T78" s="35">
        <f>(+T42/Income_Statement_Qtr!T10)/4</f>
        <v>0.13516636674782118</v>
      </c>
      <c r="U78" s="36">
        <f>(+U42/Income_Statement_Qtr!U10)</f>
        <v>0.15152234319222363</v>
      </c>
      <c r="V78" s="35">
        <f>(+V42/Income_Statement_Qtr!V10)/4</f>
        <v>0.16447397128769037</v>
      </c>
      <c r="W78" s="35">
        <f>(+W42/Income_Statement_Qtr!W10)/4</f>
        <v>0.23539775252364928</v>
      </c>
      <c r="X78" s="35">
        <f>(+X42/Income_Statement_Qtr!X10)/4</f>
        <v>0.18255755755755756</v>
      </c>
      <c r="Y78" s="35">
        <f>(+Y42/Income_Statement_Qtr!Y10)/4</f>
        <v>0.22717882865278322</v>
      </c>
      <c r="Z78" s="36">
        <f>(+Z42/Income_Statement_Qtr!Z10)</f>
        <v>0.21259420838830184</v>
      </c>
      <c r="AA78" s="35">
        <f>(+AA42/Income_Statement_Qtr!AA10)/4</f>
        <v>0.23601253844334044</v>
      </c>
      <c r="AB78" s="35">
        <f>(+AB42/Income_Statement_Qtr!AB10)/4</f>
        <v>0.33164648090116033</v>
      </c>
      <c r="AC78" s="35">
        <f>(+AC42/Income_Statement_Qtr!AC10)/4</f>
        <v>0.27128863427399391</v>
      </c>
      <c r="AD78" s="35">
        <f>(+AD42/Income_Statement_Qtr!AD10)/4</f>
        <v>0.23536330371144798</v>
      </c>
      <c r="AE78" s="36">
        <f>(+AE42/Income_Statement_Qtr!AE10)</f>
        <v>0.24773891811960522</v>
      </c>
      <c r="AF78" s="35">
        <f>(+AF42/Income_Statement_Qtr!AF10)/4</f>
        <v>0.22948018663337058</v>
      </c>
      <c r="AG78" s="35">
        <f>(+AG42/Income_Statement_Qtr!AG10)/4</f>
        <v>0.19883221555477115</v>
      </c>
      <c r="AH78" s="35">
        <f>(+AH42/Income_Statement_Qtr!AH10)/4</f>
        <v>0.18711546013876162</v>
      </c>
      <c r="AI78" s="35">
        <f>(+AI42/Income_Statement_Qtr!AI10)/4</f>
        <v>0.15385655377543433</v>
      </c>
      <c r="AJ78" s="36">
        <f>(+AJ42/Income_Statement_Qtr!AJ10)</f>
        <v>0.14616446713547185</v>
      </c>
      <c r="AK78" s="35">
        <f>(+AK42/Income_Statement_Qtr!AK10)/4</f>
        <v>0.15579658351797585</v>
      </c>
      <c r="AL78" s="35">
        <f>(+AL42/Income_Statement_Qtr!AL10)/4</f>
        <v>0.12491757088903543</v>
      </c>
      <c r="AM78" s="35">
        <f>(+AM42/Income_Statement_Qtr!AM10)/4</f>
        <v>0.12457696164452244</v>
      </c>
      <c r="AN78" s="35">
        <f>(+AN42/Income_Statement_Qtr!AN10)/4</f>
        <v>7.6839339339339341E-2</v>
      </c>
      <c r="AO78" s="36">
        <f>(+AO42/Income_Statement_Qtr!AO10)</f>
        <v>9.2196132596685076E-2</v>
      </c>
      <c r="AP78" s="35">
        <f>(+AP42/Income_Statement_Qtr!AP10)/4</f>
        <v>8.3672786116846157E-2</v>
      </c>
      <c r="AQ78" s="35">
        <f>(+AQ42/Income_Statement_Qtr!AQ10)/4</f>
        <v>7.4110171636879149E-2</v>
      </c>
      <c r="AR78" s="35">
        <f>(+AR42/Income_Statement_Qtr!AR10)/4</f>
        <v>7.8891405214317284E-2</v>
      </c>
      <c r="AS78" s="35">
        <f>(+AS42/Income_Statement_Qtr!AS10)/4</f>
        <v>7.3984921427922609E-2</v>
      </c>
      <c r="AT78" s="36">
        <f>(+AT42/Income_Statement_Qtr!AT10)</f>
        <v>8.375967298249222E-2</v>
      </c>
      <c r="AU78" s="35">
        <f>(+AU42/Income_Statement_Qtr!AU10)/4</f>
        <v>9.6565876033556639E-2</v>
      </c>
      <c r="AV78" s="35">
        <f>(+AV42/Income_Statement_Qtr!AV10)/4</f>
        <v>9.2612356219613418E-2</v>
      </c>
      <c r="AW78" s="35">
        <f>(+AW42/Income_Statement_Qtr!AW10)/4</f>
        <v>8.5440022421524667E-2</v>
      </c>
      <c r="AX78" s="35">
        <f>(+AX42/Income_Statement_Qtr!AX10)/4</f>
        <v>9.8363075711848838E-2</v>
      </c>
      <c r="AY78" s="36">
        <f>(+AY42/Income_Statement_Qtr!AY10)</f>
        <v>9.0157403370566921E-2</v>
      </c>
      <c r="AZ78" s="35">
        <f>(+AZ42/Income_Statement_Qtr!AZ10)/4</f>
        <v>7.5771953221173569E-2</v>
      </c>
      <c r="BA78" s="35">
        <f>(+BA42/Income_Statement_Qtr!BA10)/4</f>
        <v>6.3772033935557609E-2</v>
      </c>
      <c r="BB78" s="35">
        <f>(+BB42/Income_Statement_Qtr!BB10)/4</f>
        <v>6.138805328749463E-2</v>
      </c>
      <c r="BC78" s="35">
        <f>(+BC42/Income_Statement_Qtr!BC10)/4</f>
        <v>4.4753215299816268E-2</v>
      </c>
      <c r="BD78" s="36">
        <f>(+BD42/Income_Statement_Qtr!BD10)</f>
        <v>4.7919251534153787E-2</v>
      </c>
      <c r="BE78" s="35">
        <f>(+BE42/Income_Statement_Qtr!BE10)/4</f>
        <v>4.2021736996447151E-2</v>
      </c>
      <c r="BF78" s="35">
        <f>(+BF42/Income_Statement_Qtr!BF10)/4</f>
        <v>4.0403948153376154E-2</v>
      </c>
      <c r="BG78" s="35">
        <f>(+BG42/Income_Statement_Qtr!BG10)/4</f>
        <v>3.9013890750061508E-2</v>
      </c>
      <c r="BH78" s="35">
        <f>(+BH42/Income_Statement_Qtr!BH10)/4</f>
        <v>3.8011410761678258E-2</v>
      </c>
      <c r="BI78" s="36">
        <f>(+BI42/Income_Statement_Qtr!BI10)</f>
        <v>3.7978246308370128E-2</v>
      </c>
      <c r="BK78" s="406" t="str">
        <f>Cash_Flow_Qtr!A25</f>
        <v>Pension and Other Postretirement Benefit Plans</v>
      </c>
      <c r="BL78" s="406">
        <f>Cash_Flow_Qtr!BE25</f>
        <v>-130</v>
      </c>
      <c r="BM78" s="406">
        <f>Cash_Flow_Qtr!BF25</f>
        <v>-130</v>
      </c>
      <c r="BN78" s="406">
        <f>Cash_Flow_Qtr!BG25</f>
        <v>-130</v>
      </c>
      <c r="BO78" s="406">
        <f>Cash_Flow_Qtr!BH25</f>
        <v>-130</v>
      </c>
      <c r="BP78" s="406">
        <f>Cash_Flow_Qtr!BI25</f>
        <v>-520</v>
      </c>
    </row>
    <row r="79" spans="1:78">
      <c r="A79" s="1" t="s">
        <v>277</v>
      </c>
      <c r="B79" s="35">
        <f>(+B41/Income_Statement_Qtr!B10)/4</f>
        <v>7.6628741703914399E-2</v>
      </c>
      <c r="C79" s="35">
        <f>(+C41/Income_Statement_Qtr!C10)/4</f>
        <v>6.903190319031903E-2</v>
      </c>
      <c r="D79" s="35">
        <f>(+D41/Income_Statement_Qtr!D10)/4</f>
        <v>6.5244303454679103E-2</v>
      </c>
      <c r="E79" s="35">
        <f>(+E41/Income_Statement_Qtr!E10)/4</f>
        <v>7.0165019301743514E-2</v>
      </c>
      <c r="F79" s="36">
        <f>(+F41/Income_Statement_Qtr!F10)</f>
        <v>6.8834925192999982E-2</v>
      </c>
      <c r="G79" s="35">
        <f>(+G41/Income_Statement_Qtr!G10)/4</f>
        <v>7.3060268646164717E-2</v>
      </c>
      <c r="H79" s="35">
        <f>(+H41/Income_Statement_Qtr!H10)/4</f>
        <v>6.6511815794788931E-2</v>
      </c>
      <c r="I79" s="35">
        <f>(+I41/Income_Statement_Qtr!I10)/4</f>
        <v>6.8457611515608002E-2</v>
      </c>
      <c r="J79" s="35">
        <f>(+J41/Income_Statement_Qtr!J10)/4</f>
        <v>6.3514558103581545E-2</v>
      </c>
      <c r="K79" s="36">
        <f>(+K41/Income_Statement_Qtr!K10)</f>
        <v>6.2556174725867345E-2</v>
      </c>
      <c r="L79" s="35">
        <f>(+L41/Income_Statement_Qtr!L10)/4</f>
        <v>6.6993761668412186E-2</v>
      </c>
      <c r="M79" s="35">
        <f>(+M41/Income_Statement_Qtr!M10)/4</f>
        <v>6.3511344410220813E-2</v>
      </c>
      <c r="N79" s="35">
        <f>(+N41/Income_Statement_Qtr!N10)/4</f>
        <v>6.0128803203566859E-2</v>
      </c>
      <c r="O79" s="35">
        <f>(+O41/Income_Statement_Qtr!O10)/4</f>
        <v>5.5964876867178041E-2</v>
      </c>
      <c r="P79" s="36">
        <f>(+P41/Income_Statement_Qtr!P10)</f>
        <v>5.8986224137013987E-2</v>
      </c>
      <c r="Q79" s="35">
        <f>(+Q41/Income_Statement_Qtr!Q10)/4</f>
        <v>5.8741767171328375E-2</v>
      </c>
      <c r="R79" s="35">
        <f>(+R41/Income_Statement_Qtr!R10)/4</f>
        <v>5.610520240745321E-2</v>
      </c>
      <c r="S79" s="35">
        <f>(+S41/Income_Statement_Qtr!S10)/4</f>
        <v>5.3626819374850872E-2</v>
      </c>
      <c r="T79" s="35">
        <f>(+T41/Income_Statement_Qtr!T10)/4</f>
        <v>4.0436117285910872E-2</v>
      </c>
      <c r="U79" s="36">
        <f>(+U41/Income_Statement_Qtr!U10)</f>
        <v>4.5329140585600287E-2</v>
      </c>
      <c r="V79" s="35">
        <f>(+V41/Income_Statement_Qtr!V10)/4</f>
        <v>4.947200767988829E-2</v>
      </c>
      <c r="W79" s="35">
        <f>(+W41/Income_Statement_Qtr!W10)/4</f>
        <v>7.1201828455336166E-2</v>
      </c>
      <c r="X79" s="35">
        <f>(+X41/Income_Statement_Qtr!X10)/4</f>
        <v>5.551801801801802E-2</v>
      </c>
      <c r="Y79" s="35">
        <f>(+Y41/Income_Statement_Qtr!Y10)/4</f>
        <v>6.3368879459549998E-2</v>
      </c>
      <c r="Z79" s="36">
        <f>(+Z41/Income_Statement_Qtr!Z10)</f>
        <v>5.9300670071448167E-2</v>
      </c>
      <c r="AA79" s="35">
        <f>(+AA41/Income_Statement_Qtr!AA10)/4</f>
        <v>6.6285190442394129E-2</v>
      </c>
      <c r="AB79" s="35">
        <f>(+AB41/Income_Statement_Qtr!AB10)/4</f>
        <v>9.3736766325061407E-2</v>
      </c>
      <c r="AC79" s="35">
        <f>(+AC41/Income_Statement_Qtr!AC10)/4</f>
        <v>7.8311761793620482E-2</v>
      </c>
      <c r="AD79" s="35">
        <f>(+AD41/Income_Statement_Qtr!AD10)/4</f>
        <v>6.7580371144798743E-2</v>
      </c>
      <c r="AE79" s="36">
        <f>(+AE41/Income_Statement_Qtr!AE10)</f>
        <v>7.1133807902610133E-2</v>
      </c>
      <c r="AF79" s="35">
        <f>(+AF41/Income_Statement_Qtr!AF10)/4</f>
        <v>6.6981008083064994E-2</v>
      </c>
      <c r="AG79" s="35">
        <f>(+AG41/Income_Statement_Qtr!AG10)/4</f>
        <v>5.908048005647723E-2</v>
      </c>
      <c r="AH79" s="35">
        <f>(+AH41/Income_Statement_Qtr!AH10)/4</f>
        <v>6.4749967273203299E-2</v>
      </c>
      <c r="AI79" s="35">
        <f>(+AI41/Income_Statement_Qtr!AI10)/4</f>
        <v>5.9622794564996959E-2</v>
      </c>
      <c r="AJ79" s="36">
        <f>(+AJ41/Income_Statement_Qtr!AJ10)</f>
        <v>5.6641942009440324E-2</v>
      </c>
      <c r="AK79" s="35">
        <f>(+AK41/Income_Statement_Qtr!AK10)/4</f>
        <v>6.2022014151954831E-2</v>
      </c>
      <c r="AL79" s="35">
        <f>(+AL41/Income_Statement_Qtr!AL10)/4</f>
        <v>5.1151010131287096E-2</v>
      </c>
      <c r="AM79" s="35">
        <f>(+AM41/Income_Statement_Qtr!AM10)/4</f>
        <v>5.2582100777137125E-2</v>
      </c>
      <c r="AN79" s="35">
        <f>(+AN41/Income_Statement_Qtr!AN10)/4</f>
        <v>3.1318818818818817E-2</v>
      </c>
      <c r="AO79" s="36">
        <f>(+AO41/Income_Statement_Qtr!AO10)</f>
        <v>3.75780687004564E-2</v>
      </c>
      <c r="AP79" s="35">
        <f>(+AP41/Income_Statement_Qtr!AP10)/4</f>
        <v>3.4400982088053124E-2</v>
      </c>
      <c r="AQ79" s="35">
        <f>(+AQ41/Income_Statement_Qtr!AQ10)/4</f>
        <v>3.0681990785276694E-2</v>
      </c>
      <c r="AR79" s="35">
        <f>(+AR41/Income_Statement_Qtr!AR10)/4</f>
        <v>3.2934710561201945E-2</v>
      </c>
      <c r="AS79" s="35">
        <f>(+AS41/Income_Statement_Qtr!AS10)/4</f>
        <v>2.5354255609047142E-2</v>
      </c>
      <c r="AT79" s="36">
        <f>(+AT41/Income_Statement_Qtr!AT10)</f>
        <v>2.8704013162968868E-2</v>
      </c>
      <c r="AU79" s="35">
        <f>(+AU41/Income_Statement_Qtr!AU10)/4</f>
        <v>3.3134166214014125E-2</v>
      </c>
      <c r="AV79" s="35">
        <f>(+AV41/Income_Statement_Qtr!AV10)/4</f>
        <v>3.2002253053480374E-2</v>
      </c>
      <c r="AW79" s="35">
        <f>(+AW41/Income_Statement_Qtr!AW10)/4</f>
        <v>2.9722533632286996E-2</v>
      </c>
      <c r="AX79" s="35">
        <f>(+AX41/Income_Statement_Qtr!AX10)/4</f>
        <v>3.5690854218606481E-2</v>
      </c>
      <c r="AY79" s="36">
        <f>(+AY41/Income_Statement_Qtr!AY10)</f>
        <v>3.2713441676563884E-2</v>
      </c>
      <c r="AZ79" s="35">
        <f>(+AZ41/Income_Statement_Qtr!AZ10)/4</f>
        <v>2.7518465326220765E-2</v>
      </c>
      <c r="BA79" s="35">
        <f>(+BA41/Income_Statement_Qtr!BA10)/4</f>
        <v>2.3253769396456986E-2</v>
      </c>
      <c r="BB79" s="74">
        <f>BA34+BA44</f>
        <v>53323</v>
      </c>
      <c r="BC79" s="35">
        <f>(+BC41/Income_Statement_Qtr!BC10)/4</f>
        <v>2.182854518122599E-2</v>
      </c>
      <c r="BD79" s="36">
        <f>(+BD41/Income_Statement_Qtr!BD10)</f>
        <v>2.3372790986217765E-2</v>
      </c>
      <c r="BE79" s="35">
        <f>(+BE41/Income_Statement_Qtr!BE10)/4</f>
        <v>2.1061351123159239E-2</v>
      </c>
      <c r="BF79" s="35">
        <f>(+BF41/Income_Statement_Qtr!BF10)/4</f>
        <v>2.0827499654985329E-2</v>
      </c>
      <c r="BG79" s="35">
        <f>(+BG41/Income_Statement_Qtr!BG10)/4</f>
        <v>2.0703690490063317E-2</v>
      </c>
      <c r="BH79" s="35">
        <f>(+BH41/Income_Statement_Qtr!BH10)/4</f>
        <v>2.0787333426838046E-2</v>
      </c>
      <c r="BI79" s="36">
        <f>(+BI41/Income_Statement_Qtr!BI10)</f>
        <v>2.0769196753270276E-2</v>
      </c>
      <c r="BK79" s="406" t="str">
        <f>Cash_Flow_Qtr!A26</f>
        <v>Customer Financing, Net</v>
      </c>
      <c r="BL79" s="406">
        <f>Cash_Flow_Qtr!BE26</f>
        <v>0</v>
      </c>
      <c r="BM79" s="406">
        <f>Cash_Flow_Qtr!BF26</f>
        <v>0</v>
      </c>
      <c r="BN79" s="406">
        <f>Cash_Flow_Qtr!BG26</f>
        <v>0</v>
      </c>
      <c r="BO79" s="406">
        <f>Cash_Flow_Qtr!BH26</f>
        <v>0</v>
      </c>
      <c r="BP79" s="406">
        <f>Cash_Flow_Qtr!BI26</f>
        <v>0</v>
      </c>
    </row>
    <row r="80" spans="1:78">
      <c r="F80" s="27"/>
      <c r="K80" s="27"/>
      <c r="P80" s="27"/>
      <c r="U80" s="27"/>
      <c r="Z80" s="27"/>
      <c r="AE80" s="27"/>
      <c r="AJ80" s="27"/>
      <c r="AO80" s="27"/>
      <c r="AT80" s="27"/>
      <c r="AY80" s="27"/>
      <c r="BD80" s="27"/>
      <c r="BI80" s="27"/>
      <c r="BK80" s="406" t="str">
        <f>Cash_Flow_Qtr!A27</f>
        <v>Other</v>
      </c>
      <c r="BL80" s="406">
        <f>Cash_Flow_Qtr!BE27</f>
        <v>0</v>
      </c>
      <c r="BM80" s="406">
        <f>Cash_Flow_Qtr!BF27</f>
        <v>0</v>
      </c>
      <c r="BN80" s="406">
        <f>Cash_Flow_Qtr!BG27</f>
        <v>0</v>
      </c>
      <c r="BO80" s="406">
        <f>Cash_Flow_Qtr!BH27</f>
        <v>0</v>
      </c>
      <c r="BP80" s="406">
        <f>Cash_Flow_Qtr!BI27</f>
        <v>0</v>
      </c>
      <c r="BZ80" s="109">
        <f ca="1">3502-BP83</f>
        <v>1330.5974503919524</v>
      </c>
    </row>
    <row r="81" spans="1:68">
      <c r="A81" s="14" t="s">
        <v>109</v>
      </c>
      <c r="F81" s="27"/>
      <c r="K81" s="27"/>
      <c r="P81" s="27"/>
      <c r="U81" s="27"/>
      <c r="Z81" s="27"/>
      <c r="AE81" s="27"/>
      <c r="AJ81" s="27"/>
      <c r="AO81" s="27"/>
      <c r="AT81" s="27"/>
      <c r="AY81" s="27"/>
      <c r="BD81" s="27"/>
      <c r="BI81" s="27"/>
      <c r="BK81" s="406"/>
      <c r="BL81" s="406"/>
      <c r="BM81" s="406"/>
      <c r="BN81" s="406"/>
      <c r="BO81" s="406"/>
      <c r="BP81" s="406"/>
    </row>
    <row r="82" spans="1:68">
      <c r="A82" s="1" t="s">
        <v>106</v>
      </c>
      <c r="B82" s="74">
        <f t="shared" ref="B82:AB82" si="145">B34+B44</f>
        <v>9038</v>
      </c>
      <c r="C82" s="74">
        <f t="shared" si="145"/>
        <v>9016</v>
      </c>
      <c r="D82" s="74">
        <f t="shared" si="145"/>
        <v>9016</v>
      </c>
      <c r="E82" s="74">
        <f t="shared" si="145"/>
        <v>9964</v>
      </c>
      <c r="F82" s="76">
        <f t="shared" si="145"/>
        <v>9964</v>
      </c>
      <c r="G82" s="74">
        <f t="shared" si="145"/>
        <v>9964</v>
      </c>
      <c r="H82" s="74">
        <f t="shared" si="145"/>
        <v>11015</v>
      </c>
      <c r="I82" s="74">
        <f t="shared" si="145"/>
        <v>10456</v>
      </c>
      <c r="J82" s="74">
        <f t="shared" si="145"/>
        <v>9952</v>
      </c>
      <c r="K82" s="76">
        <f t="shared" si="145"/>
        <v>9952</v>
      </c>
      <c r="L82" s="74">
        <f t="shared" si="145"/>
        <v>10799</v>
      </c>
      <c r="M82" s="74">
        <f t="shared" si="145"/>
        <v>10775</v>
      </c>
      <c r="N82" s="74">
        <f t="shared" si="145"/>
        <v>10768</v>
      </c>
      <c r="O82" s="74">
        <f t="shared" si="145"/>
        <v>11117</v>
      </c>
      <c r="P82" s="76">
        <f t="shared" si="145"/>
        <v>11117</v>
      </c>
      <c r="Q82" s="74">
        <f t="shared" si="145"/>
        <v>12452</v>
      </c>
      <c r="R82" s="74">
        <f t="shared" si="145"/>
        <v>12118</v>
      </c>
      <c r="S82" s="74">
        <f t="shared" si="145"/>
        <v>11876</v>
      </c>
      <c r="T82" s="74">
        <f t="shared" si="145"/>
        <v>13847</v>
      </c>
      <c r="U82" s="76">
        <f t="shared" si="145"/>
        <v>13847</v>
      </c>
      <c r="V82" s="74">
        <f t="shared" si="145"/>
        <v>14744</v>
      </c>
      <c r="W82" s="74">
        <f t="shared" si="145"/>
        <v>19216</v>
      </c>
      <c r="X82" s="74">
        <f t="shared" si="145"/>
        <v>24652</v>
      </c>
      <c r="Y82" s="74">
        <f t="shared" si="145"/>
        <v>27302</v>
      </c>
      <c r="Z82" s="76">
        <f t="shared" si="145"/>
        <v>27302</v>
      </c>
      <c r="AA82" s="74">
        <f t="shared" si="145"/>
        <v>38927</v>
      </c>
      <c r="AB82" s="74">
        <f t="shared" si="145"/>
        <v>61379</v>
      </c>
      <c r="AC82" s="74">
        <f t="shared" ref="AC82:AM82" si="146">AC34+AC44</f>
        <v>60959</v>
      </c>
      <c r="AD82" s="74">
        <f t="shared" si="146"/>
        <v>63583</v>
      </c>
      <c r="AE82" s="76">
        <f t="shared" si="146"/>
        <v>63583</v>
      </c>
      <c r="AF82" s="74">
        <f t="shared" si="146"/>
        <v>63575</v>
      </c>
      <c r="AG82" s="74">
        <f t="shared" si="146"/>
        <v>63559</v>
      </c>
      <c r="AH82" s="74">
        <f t="shared" si="146"/>
        <v>62419</v>
      </c>
      <c r="AI82" s="74">
        <f t="shared" si="146"/>
        <v>58102</v>
      </c>
      <c r="AJ82" s="76">
        <f t="shared" si="146"/>
        <v>58102</v>
      </c>
      <c r="AK82" s="74">
        <f t="shared" si="146"/>
        <v>57741</v>
      </c>
      <c r="AL82" s="74">
        <f t="shared" si="146"/>
        <v>57200</v>
      </c>
      <c r="AM82" s="74">
        <f t="shared" si="146"/>
        <v>57219</v>
      </c>
      <c r="AN82" s="74">
        <f t="shared" ref="AN82:AR82" si="147">AN34+AN44</f>
        <v>57001</v>
      </c>
      <c r="AO82" s="76">
        <f t="shared" si="147"/>
        <v>57001</v>
      </c>
      <c r="AP82" s="74">
        <f t="shared" si="147"/>
        <v>55391</v>
      </c>
      <c r="AQ82" s="74">
        <f t="shared" si="147"/>
        <v>52268</v>
      </c>
      <c r="AR82" s="74">
        <f t="shared" si="147"/>
        <v>52272</v>
      </c>
      <c r="AS82" s="74">
        <f t="shared" ref="AS82:AV82" si="148">AS34+AS44</f>
        <v>52307</v>
      </c>
      <c r="AT82" s="76">
        <f t="shared" si="148"/>
        <v>52307</v>
      </c>
      <c r="AU82" s="74">
        <f t="shared" si="148"/>
        <v>47940</v>
      </c>
      <c r="AV82" s="74">
        <f t="shared" si="148"/>
        <v>57927</v>
      </c>
      <c r="AW82" s="74">
        <f t="shared" ref="AW82:BB82" si="149">AW34+AW44</f>
        <v>57650</v>
      </c>
      <c r="AX82" s="74">
        <f t="shared" si="149"/>
        <v>53864</v>
      </c>
      <c r="AY82" s="76">
        <f t="shared" si="149"/>
        <v>53864</v>
      </c>
      <c r="AZ82" s="74">
        <f t="shared" si="149"/>
        <v>53618</v>
      </c>
      <c r="BA82" s="74">
        <f t="shared" si="149"/>
        <v>53323</v>
      </c>
      <c r="BB82" s="74">
        <f t="shared" si="149"/>
        <v>53353</v>
      </c>
      <c r="BC82" s="74">
        <f t="shared" ref="BC82:BG82" si="150">BC34+BC44</f>
        <v>54098</v>
      </c>
      <c r="BD82" s="76">
        <f t="shared" si="150"/>
        <v>54098</v>
      </c>
      <c r="BE82" s="74">
        <f t="shared" si="150"/>
        <v>53548</v>
      </c>
      <c r="BF82" s="74">
        <f t="shared" si="150"/>
        <v>50948</v>
      </c>
      <c r="BG82" s="74">
        <f t="shared" si="150"/>
        <v>49648</v>
      </c>
      <c r="BH82" s="74">
        <f t="shared" ref="BH82:BI82" si="151">BH34+BH44</f>
        <v>49648</v>
      </c>
      <c r="BI82" s="76">
        <f t="shared" si="151"/>
        <v>49648</v>
      </c>
      <c r="BJ82" s="5"/>
      <c r="BK82" s="420" t="s">
        <v>600</v>
      </c>
      <c r="BL82" s="420">
        <f ca="1">Cash_Flow_Qtr!BE29</f>
        <v>-437.73641057754003</v>
      </c>
      <c r="BM82" s="420">
        <f ca="1">Cash_Flow_Qtr!BF29</f>
        <v>526.35942355108432</v>
      </c>
      <c r="BN82" s="420">
        <f ca="1">Cash_Flow_Qtr!BG29</f>
        <v>2157.5554994739368</v>
      </c>
      <c r="BO82" s="420">
        <f ca="1">Cash_Flow_Qtr!BH29</f>
        <v>3983.6236469927539</v>
      </c>
      <c r="BP82" s="420">
        <f ca="1">Cash_Flow_Qtr!BI29</f>
        <v>6229.8021594402344</v>
      </c>
    </row>
    <row r="83" spans="1:68">
      <c r="A83" s="1" t="s">
        <v>107</v>
      </c>
      <c r="B83" s="74">
        <f t="shared" ref="B83:AE83" si="152">-B5+B82-B7</f>
        <v>-593</v>
      </c>
      <c r="C83" s="74">
        <f t="shared" si="152"/>
        <v>-609</v>
      </c>
      <c r="D83" s="74">
        <f t="shared" si="152"/>
        <v>-841</v>
      </c>
      <c r="E83" s="74">
        <f t="shared" si="152"/>
        <v>-2088</v>
      </c>
      <c r="F83" s="76">
        <f t="shared" si="152"/>
        <v>-2088</v>
      </c>
      <c r="G83" s="74">
        <f t="shared" si="152"/>
        <v>1612</v>
      </c>
      <c r="H83" s="74">
        <f t="shared" si="152"/>
        <v>1750</v>
      </c>
      <c r="I83" s="74">
        <f t="shared" si="152"/>
        <v>788</v>
      </c>
      <c r="J83" s="74">
        <f t="shared" si="152"/>
        <v>-77</v>
      </c>
      <c r="K83" s="76">
        <f t="shared" si="152"/>
        <v>-77</v>
      </c>
      <c r="L83" s="74">
        <f t="shared" si="152"/>
        <v>1668</v>
      </c>
      <c r="M83" s="74">
        <f t="shared" si="152"/>
        <v>523</v>
      </c>
      <c r="N83" s="74">
        <f t="shared" si="152"/>
        <v>842</v>
      </c>
      <c r="O83" s="74">
        <f t="shared" si="152"/>
        <v>1199</v>
      </c>
      <c r="P83" s="76">
        <f t="shared" si="152"/>
        <v>1199</v>
      </c>
      <c r="Q83" s="74">
        <f t="shared" si="152"/>
        <v>2631</v>
      </c>
      <c r="R83" s="74">
        <f t="shared" si="152"/>
        <v>2422</v>
      </c>
      <c r="S83" s="74">
        <f t="shared" si="152"/>
        <v>2014</v>
      </c>
      <c r="T83" s="74">
        <f t="shared" si="152"/>
        <v>5459</v>
      </c>
      <c r="U83" s="76">
        <f t="shared" si="152"/>
        <v>5459</v>
      </c>
      <c r="V83" s="74">
        <f t="shared" si="152"/>
        <v>7191</v>
      </c>
      <c r="W83" s="74">
        <f t="shared" si="152"/>
        <v>9695</v>
      </c>
      <c r="X83" s="74">
        <f t="shared" si="152"/>
        <v>13825</v>
      </c>
      <c r="Y83" s="74">
        <f t="shared" si="152"/>
        <v>17358</v>
      </c>
      <c r="Z83" s="76">
        <f t="shared" si="152"/>
        <v>17358</v>
      </c>
      <c r="AA83" s="74">
        <f t="shared" si="152"/>
        <v>23484</v>
      </c>
      <c r="AB83" s="74">
        <f t="shared" si="152"/>
        <v>28991</v>
      </c>
      <c r="AC83" s="74">
        <f t="shared" si="152"/>
        <v>33926</v>
      </c>
      <c r="AD83" s="74">
        <f t="shared" si="152"/>
        <v>38076</v>
      </c>
      <c r="AE83" s="76">
        <f t="shared" si="152"/>
        <v>38076</v>
      </c>
      <c r="AF83" s="74">
        <f t="shared" ref="AF83:AM83" si="153">-AF5+AF82-AF7</f>
        <v>41742</v>
      </c>
      <c r="AG83" s="74">
        <f t="shared" si="153"/>
        <v>42253</v>
      </c>
      <c r="AH83" s="74">
        <f t="shared" si="153"/>
        <v>42480</v>
      </c>
      <c r="AI83" s="74">
        <f t="shared" si="153"/>
        <v>41910</v>
      </c>
      <c r="AJ83" s="76">
        <f t="shared" si="153"/>
        <v>41910</v>
      </c>
      <c r="AK83" s="74">
        <f t="shared" si="153"/>
        <v>45504</v>
      </c>
      <c r="AL83" s="74">
        <f t="shared" si="153"/>
        <v>45752</v>
      </c>
      <c r="AM83" s="74">
        <f t="shared" si="153"/>
        <v>42962</v>
      </c>
      <c r="AN83" s="74">
        <f t="shared" ref="AN83:AR83" si="154">-AN5+AN82-AN7</f>
        <v>39781</v>
      </c>
      <c r="AO83" s="76">
        <f t="shared" si="154"/>
        <v>39781</v>
      </c>
      <c r="AP83" s="74">
        <f t="shared" si="154"/>
        <v>40624</v>
      </c>
      <c r="AQ83" s="74">
        <f t="shared" si="154"/>
        <v>38506</v>
      </c>
      <c r="AR83" s="74">
        <f t="shared" si="154"/>
        <v>38900</v>
      </c>
      <c r="AS83" s="74">
        <f>-AS5+AS82-AS7</f>
        <v>36342</v>
      </c>
      <c r="AT83" s="76">
        <f>-AT5+AT82-AT7</f>
        <v>36342</v>
      </c>
      <c r="AU83" s="74">
        <f t="shared" ref="AU83:AV83" si="155">-AU5+AU82-AU7</f>
        <v>40411</v>
      </c>
      <c r="AV83" s="74">
        <f t="shared" si="155"/>
        <v>45306</v>
      </c>
      <c r="AW83" s="74">
        <f t="shared" ref="AW83:BB83" si="156">-AW5+AW82-AW7</f>
        <v>47180</v>
      </c>
      <c r="AX83" s="74">
        <f>-AX5+AX82-AX7</f>
        <v>27582</v>
      </c>
      <c r="AY83" s="76">
        <f>-AY5+AY82-AY7</f>
        <v>27582</v>
      </c>
      <c r="AZ83" s="74">
        <f t="shared" ref="AZ83" si="157">-AZ5+AZ82-AZ7</f>
        <v>29944</v>
      </c>
      <c r="BA83" s="74">
        <f>-BA5+BB79-BA7</f>
        <v>30356</v>
      </c>
      <c r="BB83" s="74">
        <f t="shared" si="156"/>
        <v>30369</v>
      </c>
      <c r="BC83" s="74">
        <f t="shared" ref="BC83:BG83" si="158">-BC5+BC82-BC7</f>
        <v>24698</v>
      </c>
      <c r="BD83" s="76">
        <f>-BD5+BD82-BD7</f>
        <v>24698</v>
      </c>
      <c r="BE83" s="74">
        <f t="shared" ca="1" si="158"/>
        <v>26230.008888035591</v>
      </c>
      <c r="BF83" s="74">
        <f t="shared" ca="1" si="158"/>
        <v>26806.794541942552</v>
      </c>
      <c r="BG83" s="74">
        <f t="shared" ca="1" si="158"/>
        <v>25756.006419926664</v>
      </c>
      <c r="BH83" s="74">
        <f t="shared" ref="BH83:BI83" ca="1" si="159">-BH5+BH82-BH7</f>
        <v>22839.597450391957</v>
      </c>
      <c r="BI83" s="76">
        <f t="shared" ca="1" si="159"/>
        <v>22839.597450391957</v>
      </c>
      <c r="BK83" s="406" t="s">
        <v>582</v>
      </c>
      <c r="BL83" s="406">
        <f ca="1">Cash_Flow_Qtr!BE77</f>
        <v>-1445.5088880355866</v>
      </c>
      <c r="BM83" s="406">
        <f ca="1">Cash_Flow_Qtr!BF77</f>
        <v>-490.28565390696235</v>
      </c>
      <c r="BN83" s="406">
        <f ca="1">Cash_Flow_Qtr!BG77</f>
        <v>1137.2881220158902</v>
      </c>
      <c r="BO83" s="406">
        <f ca="1">Cash_Flow_Qtr!BH77</f>
        <v>2969.908969534707</v>
      </c>
      <c r="BP83" s="406">
        <f ca="1">Cash_Flow_Qtr!BI77</f>
        <v>2171.4025496080476</v>
      </c>
    </row>
    <row r="84" spans="1:68">
      <c r="A84" s="1" t="s">
        <v>108</v>
      </c>
      <c r="B84" s="134">
        <f>B83/(Income_Statement_Qtr!B97*4)</f>
        <v>-5.9826472962066182E-2</v>
      </c>
      <c r="C84" s="134">
        <f>C83/(Income_Statement_Qtr!C97*4)</f>
        <v>-7.127808988764045E-2</v>
      </c>
      <c r="D84" s="134">
        <f>D83/(Income_Statement_Qtr!D97*4)</f>
        <v>-6.9688432217434537E-2</v>
      </c>
      <c r="E84" s="134">
        <f>E83/(Income_Statement_Qtr!E97*4)</f>
        <v>-0.31732522796352586</v>
      </c>
      <c r="F84" s="135">
        <f>F83/Income_Statement_Qtr!F97</f>
        <v>-0.22509702457956016</v>
      </c>
      <c r="G84" s="134">
        <f>G83/(Income_Statement_Qtr!G97*4)</f>
        <v>0.18063648588077094</v>
      </c>
      <c r="H84" s="134">
        <f>H83/(Income_Statement_Qtr!H97*4)</f>
        <v>15.625</v>
      </c>
      <c r="I84" s="134">
        <f>I83/(Income_Statement_Qtr!I97*4)</f>
        <v>7.1480406386066758E-2</v>
      </c>
      <c r="J84" s="134">
        <f>J83/(Income_Statement_Qtr!J97*4)</f>
        <v>-7.0538658849395386E-3</v>
      </c>
      <c r="K84" s="135">
        <f>K83/Income_Statement_Qtr!K97</f>
        <v>-9.943181818181818E-3</v>
      </c>
      <c r="L84" s="134">
        <f>L83/(Income_Statement_Qtr!L97*4)</f>
        <v>0.15594614809274496</v>
      </c>
      <c r="M84" s="134">
        <f>M83/(Income_Statement_Qtr!M97*4)</f>
        <v>4.3323392975480449E-2</v>
      </c>
      <c r="N84" s="134">
        <f>N83/(Income_Statement_Qtr!N97*4)</f>
        <v>6.6952926208651398E-2</v>
      </c>
      <c r="O84" s="134">
        <f>O83/(Income_Statement_Qtr!O97*4)</f>
        <v>8.4317862165963431E-2</v>
      </c>
      <c r="P84" s="135">
        <f>P83/Income_Statement_Qtr!P97</f>
        <v>9.6763780163021548E-2</v>
      </c>
      <c r="Q84" s="134">
        <f>Q83/(Income_Statement_Qtr!Q97*4)</f>
        <v>0.19483116113744076</v>
      </c>
      <c r="R84" s="134">
        <f>R83/(Income_Statement_Qtr!R97*4)</f>
        <v>0.18821883742617346</v>
      </c>
      <c r="S84" s="134">
        <f>S83/(Income_Statement_Qtr!S97*4)</f>
        <v>0.18309090909090908</v>
      </c>
      <c r="T84" s="134">
        <f>T83/(Income_Statement_Qtr!T97*4)</f>
        <v>0.28683270281630935</v>
      </c>
      <c r="U84" s="135">
        <f>U83/Income_Statement_Qtr!U97</f>
        <v>0.38713566413729522</v>
      </c>
      <c r="V84" s="134">
        <f>V83/(Income_Statement_Qtr!V97*4)</f>
        <v>0.62617554858934166</v>
      </c>
      <c r="W84" s="134">
        <f>W83/(Income_Statement_Qtr!W97*4)</f>
        <v>-0.85523994354269584</v>
      </c>
      <c r="X84" s="134">
        <f>X83/(Income_Statement_Qtr!X97*4)</f>
        <v>1.8835149863760219</v>
      </c>
      <c r="Y84" s="134">
        <f>Y83/(Income_Statement_Qtr!Y97*4)</f>
        <v>-2.7534898477157359</v>
      </c>
      <c r="Z84" s="135">
        <f>Z83/Income_Statement_Qtr!Z97</f>
        <v>58.641891891891895</v>
      </c>
      <c r="AA84" s="134">
        <f>AA83/(Income_Statement_Qtr!AA97*4)</f>
        <v>-7.3663739021329988</v>
      </c>
      <c r="AB84" s="134">
        <f>AB83/(Income_Statement_Qtr!AB97*4)</f>
        <v>-2.9986553578816717</v>
      </c>
      <c r="AC84" s="134">
        <f>AC83/(Income_Statement_Qtr!AC97*4)</f>
        <v>51.716463414634148</v>
      </c>
      <c r="AD84" s="134">
        <f>AD83/(Income_Statement_Qtr!AD97*4)</f>
        <v>-1.2741266229420425</v>
      </c>
      <c r="AE84" s="135">
        <f>AE83/Income_Statement_Qtr!AE97</f>
        <v>-3.6190476190476191</v>
      </c>
      <c r="AF84" s="134">
        <f>AF83/(Income_Statement_Qtr!AF97*4)</f>
        <v>23.036423841059602</v>
      </c>
      <c r="AG84" s="134">
        <f>AG83/(Income_Statement_Qtr!AG97*4)</f>
        <v>6.7110864040660738</v>
      </c>
      <c r="AH84" s="134">
        <f>AH83/(Income_Statement_Qtr!AH97*4)</f>
        <v>12.464788732394366</v>
      </c>
      <c r="AI84" s="134">
        <f>AI83/(Income_Statement_Qtr!AI97*4)</f>
        <v>-2.8808083585372559</v>
      </c>
      <c r="AJ84" s="135">
        <f>AJ83/Income_Statement_Qtr!AJ97</f>
        <v>-55.290237467018471</v>
      </c>
      <c r="AK84" s="134">
        <f>AK83/(Income_Statement_Qtr!AK97*4)</f>
        <v>-16.655929721815518</v>
      </c>
      <c r="AL84" s="134">
        <f>AL83/(Income_Statement_Qtr!AL97*4)</f>
        <v>8.9921383647798745</v>
      </c>
      <c r="AM84" s="134">
        <f>AM83/(Income_Statement_Qtr!AM97*4)</f>
        <v>-4.6576322636600169</v>
      </c>
      <c r="AN84" s="134">
        <f>AN83/(Income_Statement_Qtr!AN97*4)</f>
        <v>66.746644295302019</v>
      </c>
      <c r="AO84" s="135">
        <f>AO83/Income_Statement_Qtr!AO97</f>
        <v>-25.370535714285715</v>
      </c>
      <c r="AP84" s="134">
        <f>AP83/(Income_Statement_Qtr!AP97*4)</f>
        <v>32.974025974025977</v>
      </c>
      <c r="AQ84" s="134">
        <f>AQ83/(Income_Statement_Qtr!AQ97*4)</f>
        <v>26.964985994397757</v>
      </c>
      <c r="AR84" s="134">
        <f>AR83/(Income_Statement_Qtr!AR97*4)</f>
        <v>-28.519061583577713</v>
      </c>
      <c r="AS84" s="134">
        <f>AS83/(Income_Statement_Qtr!AS97*4)</f>
        <v>11.892015706806284</v>
      </c>
      <c r="AT84" s="135">
        <f>AT83/Income_Statement_Qtr!AT97</f>
        <v>33.402573529411768</v>
      </c>
      <c r="AU84" s="134">
        <f>AU83/(Income_Statement_Qtr!AU97*4)</f>
        <v>28.378511235955056</v>
      </c>
      <c r="AV84" s="134">
        <f>AV83/(Income_Statement_Qtr!AV97*4)</f>
        <v>-17.452234206471495</v>
      </c>
      <c r="AW84" s="134">
        <f>AW83/(Income_Statement_Qtr!AW97*4)</f>
        <v>-2.218356215911228</v>
      </c>
      <c r="AX84" s="134">
        <f>AX83/(Income_Statement_Qtr!AX97*4)</f>
        <v>-2.1145354185832566</v>
      </c>
      <c r="AY84" s="135">
        <f>AY83/Income_Statement_Qtr!AY97</f>
        <v>-3.1092323300642541</v>
      </c>
      <c r="AZ84" s="134">
        <f>AZ83/(Income_Statement_Qtr!AZ97*4)</f>
        <v>8.0755124056094925</v>
      </c>
      <c r="BA84" s="134">
        <f>BA83/(Income_Statement_Qtr!BA97*4)</f>
        <v>26.721830985915492</v>
      </c>
      <c r="BB84" s="134">
        <f>BB83/(Income_Statement_Qtr!BB96*4)</f>
        <v>15.462830957230143</v>
      </c>
      <c r="BC84" s="134">
        <f>BC83/(Income_Statement_Qtr!BC97*4)</f>
        <v>0.66299795984108234</v>
      </c>
      <c r="BD84" s="135">
        <f>BD83/Income_Statement_Qtr!BD97</f>
        <v>3.9618222649983958</v>
      </c>
      <c r="BE84" s="134">
        <f ca="1">BE83/(Income_Statement_Qtr!BE96*4)</f>
        <v>12.648679261349974</v>
      </c>
      <c r="BF84" s="134">
        <f ca="1">BF83/(Income_Statement_Qtr!BF96*4)</f>
        <v>12.527735329393723</v>
      </c>
      <c r="BG84" s="134">
        <f ca="1">BG83/(Income_Statement_Qtr!BG96*4)</f>
        <v>11.681657198588674</v>
      </c>
      <c r="BH84" s="134">
        <f ca="1">BH83/(Income_Statement_Qtr!BH97*4)</f>
        <v>4.6342319487498518</v>
      </c>
      <c r="BI84" s="135">
        <f ca="1">BI83/Income_Statement_Qtr!BI97</f>
        <v>5.4565402551992745</v>
      </c>
      <c r="BK84" s="279"/>
      <c r="BL84" s="279"/>
      <c r="BM84" s="279"/>
      <c r="BN84" s="279"/>
    </row>
    <row r="85" spans="1:68">
      <c r="A85" s="1"/>
      <c r="B85" s="134"/>
      <c r="C85" s="134"/>
      <c r="D85" s="134"/>
      <c r="E85" s="134"/>
      <c r="F85" s="135"/>
      <c r="G85" s="134"/>
      <c r="H85" s="134"/>
      <c r="I85" s="134"/>
      <c r="J85" s="134"/>
      <c r="K85" s="135"/>
      <c r="L85" s="134"/>
      <c r="M85" s="134"/>
      <c r="N85" s="134"/>
      <c r="O85" s="134"/>
      <c r="P85" s="135"/>
      <c r="Q85" s="134"/>
      <c r="R85" s="134"/>
      <c r="S85" s="134"/>
      <c r="T85" s="134"/>
      <c r="U85" s="135"/>
      <c r="V85" s="134"/>
      <c r="W85" s="134"/>
      <c r="X85" s="134"/>
      <c r="Y85" s="134"/>
      <c r="Z85" s="135"/>
      <c r="AA85" s="134"/>
      <c r="AB85" s="134"/>
      <c r="AC85" s="134"/>
      <c r="AD85" s="134"/>
      <c r="AE85" s="135"/>
      <c r="AF85" s="134"/>
      <c r="AG85" s="134"/>
      <c r="AH85" s="134"/>
      <c r="AI85" s="134"/>
      <c r="AJ85" s="135"/>
      <c r="AK85" s="134"/>
      <c r="AL85" s="134"/>
      <c r="AM85" s="134"/>
      <c r="AN85" s="134"/>
      <c r="AO85" s="135"/>
      <c r="AP85" s="134"/>
      <c r="AQ85" s="134"/>
      <c r="AR85" s="134"/>
      <c r="AS85" s="134"/>
      <c r="AT85" s="135"/>
      <c r="AU85" s="134"/>
      <c r="AV85" s="134"/>
      <c r="AW85" s="134"/>
      <c r="AX85" s="134"/>
      <c r="AY85" s="135"/>
      <c r="AZ85" s="134"/>
      <c r="BA85" s="134"/>
      <c r="BB85" s="134"/>
      <c r="BC85" s="134"/>
      <c r="BD85" s="135"/>
      <c r="BE85" s="134"/>
      <c r="BF85" s="134"/>
      <c r="BG85" s="134"/>
      <c r="BH85" s="134"/>
      <c r="BI85" s="135"/>
      <c r="BK85" s="109"/>
      <c r="BL85" s="109"/>
      <c r="BM85" s="109"/>
      <c r="BN85" s="109"/>
      <c r="BO85" s="279" t="s">
        <v>627</v>
      </c>
      <c r="BP85" s="280">
        <v>5842.9486091199105</v>
      </c>
    </row>
    <row r="86" spans="1:68">
      <c r="A86" s="1"/>
      <c r="B86" s="134"/>
      <c r="C86" s="134"/>
      <c r="D86" s="134"/>
      <c r="E86" s="134"/>
      <c r="F86" s="135"/>
      <c r="G86" s="134"/>
      <c r="H86" s="134"/>
      <c r="I86" s="134"/>
      <c r="J86" s="134"/>
      <c r="K86" s="135"/>
      <c r="L86" s="134"/>
      <c r="M86" s="134"/>
      <c r="N86" s="134"/>
      <c r="O86" s="134"/>
      <c r="P86" s="135"/>
      <c r="Q86" s="134"/>
      <c r="R86" s="134"/>
      <c r="S86" s="134"/>
      <c r="T86" s="134"/>
      <c r="U86" s="135"/>
      <c r="V86" s="134"/>
      <c r="W86" s="134"/>
      <c r="X86" s="134"/>
      <c r="Y86" s="134"/>
      <c r="Z86" s="135"/>
      <c r="AA86" s="134"/>
      <c r="AB86" s="134"/>
      <c r="AC86" s="134"/>
      <c r="AD86" s="134"/>
      <c r="AE86" s="135"/>
      <c r="AF86" s="134"/>
      <c r="AG86" s="134"/>
      <c r="AH86" s="134"/>
      <c r="AI86" s="134"/>
      <c r="AJ86" s="135"/>
      <c r="AK86" s="134"/>
      <c r="AL86" s="134"/>
      <c r="AM86" s="134"/>
      <c r="AN86" s="134"/>
      <c r="AO86" s="135"/>
      <c r="AP86" s="134"/>
      <c r="AQ86" s="134"/>
      <c r="AR86" s="134"/>
      <c r="AS86" s="134"/>
      <c r="AT86" s="135"/>
      <c r="AU86" s="134"/>
      <c r="AV86" s="134"/>
      <c r="AW86" s="134"/>
      <c r="AX86" s="134"/>
      <c r="AY86" s="135"/>
      <c r="AZ86" s="134"/>
      <c r="BA86" s="134"/>
      <c r="BB86" s="134"/>
      <c r="BC86" s="134"/>
      <c r="BD86" s="135"/>
      <c r="BE86" s="134"/>
      <c r="BF86" s="134"/>
      <c r="BG86" s="134"/>
      <c r="BH86" s="134"/>
      <c r="BI86" s="135"/>
      <c r="BK86" s="432"/>
      <c r="BL86" s="432"/>
      <c r="BM86" s="432"/>
      <c r="BN86" s="432"/>
      <c r="BO86" s="109" t="s">
        <v>628</v>
      </c>
      <c r="BP86" s="433">
        <v>2599.929448820234</v>
      </c>
    </row>
    <row r="87" spans="1:68">
      <c r="A87" s="1"/>
      <c r="B87" s="134"/>
      <c r="C87" s="134"/>
      <c r="D87" s="134"/>
      <c r="E87" s="134"/>
      <c r="F87" s="135"/>
      <c r="G87" s="134"/>
      <c r="H87" s="134"/>
      <c r="I87" s="134"/>
      <c r="J87" s="134"/>
      <c r="K87" s="135"/>
      <c r="L87" s="134"/>
      <c r="M87" s="134"/>
      <c r="N87" s="134"/>
      <c r="O87" s="134"/>
      <c r="P87" s="135"/>
      <c r="Q87" s="134"/>
      <c r="R87" s="134"/>
      <c r="S87" s="134"/>
      <c r="T87" s="134"/>
      <c r="U87" s="135"/>
      <c r="V87" s="134"/>
      <c r="W87" s="134"/>
      <c r="X87" s="134"/>
      <c r="Y87" s="134"/>
      <c r="Z87" s="135"/>
      <c r="AA87" s="134"/>
      <c r="AB87" s="134"/>
      <c r="AC87" s="134"/>
      <c r="AD87" s="134"/>
      <c r="AE87" s="135"/>
      <c r="AF87" s="134"/>
      <c r="AG87" s="134"/>
      <c r="AH87" s="134"/>
      <c r="AI87" s="134"/>
      <c r="AJ87" s="135"/>
      <c r="AK87" s="134"/>
      <c r="AL87" s="134"/>
      <c r="AM87" s="134"/>
      <c r="AN87" s="134"/>
      <c r="AO87" s="135"/>
      <c r="AP87" s="134"/>
      <c r="AQ87" s="134"/>
      <c r="AR87" s="134"/>
      <c r="AS87" s="134"/>
      <c r="AT87" s="135"/>
      <c r="AU87" s="134"/>
      <c r="AV87" s="134"/>
      <c r="AW87" s="134"/>
      <c r="AX87" s="134"/>
      <c r="AY87" s="135"/>
      <c r="AZ87" s="134"/>
      <c r="BA87" s="134"/>
      <c r="BB87" s="134"/>
      <c r="BC87" s="134"/>
      <c r="BD87" s="135"/>
      <c r="BE87" s="134"/>
      <c r="BF87" s="134"/>
      <c r="BG87" s="134"/>
      <c r="BH87" s="134"/>
      <c r="BI87" s="135"/>
    </row>
    <row r="88" spans="1:68">
      <c r="A88" s="113" t="s">
        <v>124</v>
      </c>
      <c r="B88" s="139"/>
      <c r="C88" s="139"/>
      <c r="D88" s="139"/>
      <c r="E88" s="139"/>
      <c r="F88" s="140"/>
      <c r="G88" s="139"/>
      <c r="H88" s="139"/>
      <c r="I88" s="139"/>
      <c r="J88" s="139"/>
      <c r="K88" s="140"/>
      <c r="L88" s="139"/>
      <c r="M88" s="139"/>
      <c r="N88" s="139"/>
      <c r="O88" s="139"/>
      <c r="P88" s="140"/>
      <c r="Q88" s="139"/>
      <c r="R88" s="139"/>
      <c r="S88" s="139"/>
      <c r="T88" s="139"/>
      <c r="U88" s="140"/>
      <c r="V88" s="139"/>
      <c r="W88" s="139"/>
      <c r="X88" s="139"/>
      <c r="Y88" s="139"/>
      <c r="Z88" s="140"/>
      <c r="AA88" s="139"/>
      <c r="AB88" s="139"/>
      <c r="AC88" s="139"/>
      <c r="AD88" s="139"/>
      <c r="AE88" s="140"/>
      <c r="AF88" s="139"/>
      <c r="AG88" s="139"/>
      <c r="AH88" s="139"/>
      <c r="AI88" s="139"/>
      <c r="AJ88" s="140"/>
      <c r="AK88" s="139"/>
      <c r="AL88" s="139"/>
      <c r="AM88" s="139"/>
      <c r="AN88" s="139"/>
      <c r="AO88" s="140"/>
      <c r="AP88" s="139"/>
      <c r="AQ88" s="139"/>
      <c r="AR88" s="139"/>
      <c r="AS88" s="139"/>
      <c r="AT88" s="140"/>
      <c r="AU88" s="139"/>
      <c r="AV88" s="139"/>
      <c r="AW88" s="139"/>
      <c r="AX88" s="139"/>
      <c r="AY88" s="140"/>
      <c r="AZ88" s="139"/>
      <c r="BA88" s="139"/>
      <c r="BB88" s="139"/>
      <c r="BC88" s="139"/>
      <c r="BD88" s="140"/>
      <c r="BE88" s="139"/>
      <c r="BF88" s="139"/>
      <c r="BG88" s="139"/>
      <c r="BH88" s="139"/>
      <c r="BI88" s="140"/>
      <c r="BL88" s="297"/>
      <c r="BM88" s="297"/>
      <c r="BN88" s="297"/>
      <c r="BO88" s="297"/>
    </row>
    <row r="89" spans="1:68">
      <c r="A89" s="1" t="s">
        <v>110</v>
      </c>
      <c r="B89" s="74"/>
      <c r="C89" s="74"/>
      <c r="D89" s="74"/>
      <c r="E89" s="74"/>
      <c r="F89" s="76"/>
      <c r="G89" s="74"/>
      <c r="H89" s="74"/>
      <c r="I89" s="74"/>
      <c r="J89" s="74"/>
      <c r="K89" s="76"/>
      <c r="L89" s="74"/>
      <c r="M89" s="74"/>
      <c r="N89" s="74"/>
      <c r="O89" s="74"/>
      <c r="P89" s="76"/>
      <c r="Q89" s="74"/>
      <c r="R89" s="74"/>
      <c r="S89" s="74"/>
      <c r="T89" s="74"/>
      <c r="U89" s="76"/>
      <c r="V89" s="74"/>
      <c r="W89" s="74"/>
      <c r="X89" s="74"/>
      <c r="Y89" s="74"/>
      <c r="Z89" s="76"/>
      <c r="AA89" s="74"/>
      <c r="AB89" s="74"/>
      <c r="AC89" s="74"/>
      <c r="AD89" s="74"/>
      <c r="AE89" s="76"/>
      <c r="AF89" s="74"/>
      <c r="AG89" s="74"/>
      <c r="AH89" s="74"/>
      <c r="AI89" s="74">
        <f>AI5</f>
        <v>8052</v>
      </c>
      <c r="AJ89" s="76">
        <f>AJ5</f>
        <v>8052</v>
      </c>
      <c r="AK89" s="74"/>
      <c r="AL89" s="74"/>
      <c r="AM89" s="74"/>
      <c r="AN89" s="74"/>
      <c r="AO89" s="76"/>
      <c r="AP89" s="74"/>
      <c r="AQ89" s="74">
        <f t="shared" ref="AQ89:AR89" si="160">AQ5</f>
        <v>7254</v>
      </c>
      <c r="AR89" s="74">
        <f t="shared" si="160"/>
        <v>6811</v>
      </c>
      <c r="AS89" s="74">
        <f>AS4</f>
        <v>0</v>
      </c>
      <c r="AT89" s="76">
        <f>AT4</f>
        <v>0</v>
      </c>
      <c r="AU89" s="74"/>
      <c r="AV89" s="74"/>
      <c r="AW89" s="74">
        <f t="shared" ref="AW89" si="161">AW5</f>
        <v>9961</v>
      </c>
      <c r="AX89" s="74">
        <f>AX5</f>
        <v>13801</v>
      </c>
      <c r="AY89" s="76">
        <f>AY5</f>
        <v>13801</v>
      </c>
      <c r="AZ89" s="74">
        <f t="shared" ref="AZ89:BB89" si="162">AZ5</f>
        <v>10142</v>
      </c>
      <c r="BA89" s="74">
        <f t="shared" si="162"/>
        <v>7087</v>
      </c>
      <c r="BB89" s="74">
        <f t="shared" si="162"/>
        <v>6173</v>
      </c>
      <c r="BC89" s="74">
        <f>BC5</f>
        <v>10921</v>
      </c>
      <c r="BD89" s="76">
        <f>BD5</f>
        <v>10921</v>
      </c>
      <c r="BE89" s="74">
        <f t="shared" ref="BE89:BG89" ca="1" si="163">BE5</f>
        <v>8838.991111964413</v>
      </c>
      <c r="BF89" s="74">
        <f t="shared" ca="1" si="163"/>
        <v>5662.2054580574504</v>
      </c>
      <c r="BG89" s="74">
        <f t="shared" ca="1" si="163"/>
        <v>5412.9935800733401</v>
      </c>
      <c r="BH89" s="74">
        <f ca="1">BH5</f>
        <v>8329.4025496080467</v>
      </c>
      <c r="BI89" s="76">
        <f ca="1">BI5</f>
        <v>8329.4025496080467</v>
      </c>
      <c r="BL89" s="297">
        <f ca="1">Cash_Flow_Annual!AB77</f>
        <v>2171.4025496080476</v>
      </c>
    </row>
    <row r="90" spans="1:68">
      <c r="A90" s="1" t="s">
        <v>111</v>
      </c>
      <c r="B90" s="74"/>
      <c r="C90" s="74"/>
      <c r="D90" s="74"/>
      <c r="E90" s="74"/>
      <c r="F90" s="76"/>
      <c r="G90" s="74"/>
      <c r="H90" s="74"/>
      <c r="I90" s="74"/>
      <c r="J90" s="74"/>
      <c r="K90" s="76"/>
      <c r="L90" s="74"/>
      <c r="M90" s="74"/>
      <c r="N90" s="74"/>
      <c r="O90" s="74"/>
      <c r="P90" s="76"/>
      <c r="Q90" s="74"/>
      <c r="R90" s="74"/>
      <c r="S90" s="74"/>
      <c r="T90" s="74"/>
      <c r="U90" s="76"/>
      <c r="V90" s="74"/>
      <c r="W90" s="74"/>
      <c r="X90" s="74"/>
      <c r="Y90" s="74"/>
      <c r="Z90" s="76"/>
      <c r="AA90" s="74"/>
      <c r="AB90" s="74"/>
      <c r="AD90" s="74"/>
      <c r="AE90" s="76"/>
      <c r="AF90" s="74"/>
      <c r="AG90" s="74"/>
      <c r="AH90" s="74"/>
      <c r="AI90" s="74">
        <f ca="1">(Income_Statement_Qtr!AI97*4+Balance_Sheet_Qtr!AI94)*AI92+(Balance_Sheet_Qtr!AI89-AI82)</f>
        <v>-124925.33333333334</v>
      </c>
      <c r="AJ90" s="76">
        <f ca="1">(Income_Statement_Qtr!AJ97+Balance_Sheet_Qtr!AJ94)*AJ92+(Balance_Sheet_Qtr!AJ89-AJ82)</f>
        <v>-74708.830958582403</v>
      </c>
      <c r="AK90" s="74"/>
      <c r="AL90" s="74"/>
      <c r="AM90" s="74"/>
      <c r="AN90" s="74"/>
      <c r="AO90" s="76"/>
      <c r="AP90" s="74"/>
      <c r="AQ90" s="74">
        <f ca="1">(Income_Statement_Qtr!AQ97*4+Balance_Sheet_Qtr!AQ94)*AQ92+(Balance_Sheet_Qtr!AQ89-AQ82)</f>
        <v>-54306.666666666672</v>
      </c>
      <c r="AR90" s="74">
        <f ca="1">(Income_Statement_Qtr!AR97*4+Balance_Sheet_Qtr!AR94)*AR92+(Balance_Sheet_Qtr!AR89-AR82)</f>
        <v>-66070.666666666672</v>
      </c>
      <c r="AS90" s="74">
        <f ca="1">(Income_Statement_Qtr!AS97*4+Balance_Sheet_Qtr!AS94)*AS92+(Balance_Sheet_Qtr!AS89-AS82)</f>
        <v>-57518.666666666664</v>
      </c>
      <c r="AT90" s="76">
        <f ca="1">(Income_Statement_Qtr!AT97+Balance_Sheet_Qtr!AT94)*AT92+(Balance_Sheet_Qtr!AT89-AT82)</f>
        <v>-68671.314982506301</v>
      </c>
      <c r="AU90" s="74"/>
      <c r="AV90" s="74"/>
      <c r="AW90" s="74">
        <f ca="1">(Income_Statement_Qtr!AW97*4+Balance_Sheet_Qtr!AW94)*AW92+(Balance_Sheet_Qtr!AW89-AW82)</f>
        <v>-148657.33333333331</v>
      </c>
      <c r="AX90" s="74">
        <f ca="1">(Income_Statement_Qtr!AX97*4+Balance_Sheet_Qtr!AX94)*AX92+(Balance_Sheet_Qtr!AX89-AX82)</f>
        <v>-105593.33333333334</v>
      </c>
      <c r="AY90" s="76">
        <f ca="1">(Income_Statement_Qtr!AY97+Balance_Sheet_Qtr!AY94)*AY92+(Balance_Sheet_Qtr!AY89-AY82)</f>
        <v>-88901.333333333343</v>
      </c>
      <c r="AZ90" s="74">
        <f ca="1">(Income_Statement_Qtr!AZ97*4+Balance_Sheet_Qtr!AZ94)*AZ92+(Balance_Sheet_Qtr!AZ89-AZ82)</f>
        <v>-43136</v>
      </c>
      <c r="BA90" s="74">
        <f ca="1">(Income_Statement_Qtr!BA97*4+Balance_Sheet_Qtr!BA94)*BA92+(Balance_Sheet_Qtr!BA89-BB79)</f>
        <v>-57104</v>
      </c>
      <c r="BB90" s="74">
        <f ca="1">(Income_Statement_Qtr!BB97*4+Balance_Sheet_Qtr!BB94)*BB92+(Balance_Sheet_Qtr!BB89-BB82)</f>
        <v>-131546.66666666669</v>
      </c>
      <c r="BC90" s="74">
        <f ca="1">(Income_Statement_Qtr!BC97*4+Balance_Sheet_Qtr!BC94)*BC92+(Balance_Sheet_Qtr!BC89-BC82)</f>
        <v>91438.666666666686</v>
      </c>
      <c r="BD90" s="76">
        <f ca="1">(Income_Statement_Qtr!BD97+Balance_Sheet_Qtr!BD94)*BD92+(Balance_Sheet_Qtr!BD89-BD82)</f>
        <v>-32633.333333333336</v>
      </c>
      <c r="BE90" s="74">
        <f ca="1">(Income_Statement_Qtr!BE97*4+Balance_Sheet_Qtr!BE94)*BE92+(Balance_Sheet_Qtr!BE89-BE82)</f>
        <v>-48431.820938073251</v>
      </c>
      <c r="BF90" s="74">
        <f ca="1">(Income_Statement_Qtr!BF97*4+Balance_Sheet_Qtr!BF94)*BF92+(Balance_Sheet_Qtr!BF89-BF82)</f>
        <v>-44125.123903435051</v>
      </c>
      <c r="BG90" s="74">
        <f ca="1">(Income_Statement_Qtr!BG97*4+Balance_Sheet_Qtr!BG94)*BG92+(Balance_Sheet_Qtr!BG89-BG82)</f>
        <v>-39158.289549927315</v>
      </c>
      <c r="BH90" s="74">
        <f ca="1">(Income_Statement_Qtr!BH97*4+Balance_Sheet_Qtr!BH94)*BH92+(Balance_Sheet_Qtr!BH89-BH82)</f>
        <v>-35377.64859155289</v>
      </c>
      <c r="BI90" s="76">
        <f ca="1">(Income_Statement_Qtr!BI97+Balance_Sheet_Qtr!BI94)*BI92+(Balance_Sheet_Qtr!BI89-BI82)</f>
        <v>-38348.548246170816</v>
      </c>
      <c r="BL90" s="297">
        <f>Balance_Sheet_Annual!AJ86</f>
        <v>2599.929448820234</v>
      </c>
    </row>
    <row r="91" spans="1:68">
      <c r="A91" s="141" t="s">
        <v>147</v>
      </c>
      <c r="B91" s="24"/>
      <c r="C91" s="24"/>
      <c r="D91" s="24"/>
      <c r="E91" s="24"/>
      <c r="F91" s="25"/>
      <c r="G91" s="24"/>
      <c r="H91" s="24"/>
      <c r="I91" s="24"/>
      <c r="J91" s="24"/>
      <c r="K91" s="25"/>
      <c r="L91" s="24"/>
      <c r="M91" s="24"/>
      <c r="N91" s="24"/>
      <c r="O91" s="24"/>
      <c r="P91" s="25"/>
      <c r="Q91" s="24"/>
      <c r="R91" s="24"/>
      <c r="S91" s="24"/>
      <c r="T91" s="24"/>
      <c r="U91" s="25"/>
      <c r="V91" s="24"/>
      <c r="W91" s="24"/>
      <c r="X91" s="24"/>
      <c r="Y91" s="24"/>
      <c r="Z91" s="25"/>
      <c r="AA91" s="24"/>
      <c r="AB91" s="24"/>
      <c r="AC91" s="24"/>
      <c r="AD91" s="24"/>
      <c r="AE91" s="25"/>
      <c r="AF91" s="24"/>
      <c r="AG91" s="24"/>
      <c r="AH91" s="24"/>
      <c r="AI91" s="24">
        <f ca="1">AI90</f>
        <v>-124925.33333333334</v>
      </c>
      <c r="AJ91" s="25">
        <f ca="1">AJ90</f>
        <v>-74708.830958582403</v>
      </c>
      <c r="AK91" s="24"/>
      <c r="AL91" s="24"/>
      <c r="AM91" s="24"/>
      <c r="AN91" s="24"/>
      <c r="AO91" s="25"/>
      <c r="AP91" s="24"/>
      <c r="AQ91" s="24">
        <f t="shared" ref="AQ91:AR91" ca="1" si="164">AQ90</f>
        <v>-54306.666666666672</v>
      </c>
      <c r="AR91" s="24">
        <f t="shared" ca="1" si="164"/>
        <v>-66070.666666666672</v>
      </c>
      <c r="AS91" s="24">
        <f ca="1">AS90</f>
        <v>-57518.666666666664</v>
      </c>
      <c r="AT91" s="25">
        <f ca="1">AT90</f>
        <v>-68671.314982506301</v>
      </c>
      <c r="AU91" s="24"/>
      <c r="AV91" s="24"/>
      <c r="AW91" s="24">
        <f t="shared" ref="AW91" ca="1" si="165">AW90</f>
        <v>-148657.33333333331</v>
      </c>
      <c r="AX91" s="24">
        <f ca="1">AX90</f>
        <v>-105593.33333333334</v>
      </c>
      <c r="AY91" s="25">
        <f ca="1">AY90</f>
        <v>-88901.333333333343</v>
      </c>
      <c r="AZ91" s="24">
        <f t="shared" ref="AZ91:BB91" ca="1" si="166">AZ90</f>
        <v>-43136</v>
      </c>
      <c r="BA91" s="24">
        <f t="shared" ca="1" si="166"/>
        <v>-57104</v>
      </c>
      <c r="BB91" s="24">
        <f t="shared" ca="1" si="166"/>
        <v>-131546.66666666669</v>
      </c>
      <c r="BC91" s="24">
        <f ca="1">BC90</f>
        <v>91438.666666666686</v>
      </c>
      <c r="BD91" s="25">
        <f ca="1">BD90</f>
        <v>-32633.333333333336</v>
      </c>
      <c r="BE91" s="24">
        <f t="shared" ref="BE91:BG91" ca="1" si="167">BE90</f>
        <v>-48431.820938073251</v>
      </c>
      <c r="BF91" s="24">
        <f t="shared" ca="1" si="167"/>
        <v>-44125.123903435051</v>
      </c>
      <c r="BG91" s="24">
        <f t="shared" ca="1" si="167"/>
        <v>-39158.289549927315</v>
      </c>
      <c r="BH91" s="24">
        <f ca="1">BH90</f>
        <v>-35377.64859155289</v>
      </c>
      <c r="BI91" s="25">
        <f ca="1">BI90</f>
        <v>-38348.548246170816</v>
      </c>
    </row>
    <row r="92" spans="1:68">
      <c r="A92" s="1" t="s">
        <v>158</v>
      </c>
      <c r="B92" s="136"/>
      <c r="C92" s="136"/>
      <c r="D92" s="136"/>
      <c r="E92" s="136"/>
      <c r="F92" s="137"/>
      <c r="G92" s="136"/>
      <c r="H92" s="136"/>
      <c r="I92" s="136"/>
      <c r="J92" s="136"/>
      <c r="K92" s="137"/>
      <c r="L92" s="136"/>
      <c r="M92" s="136"/>
      <c r="N92" s="136"/>
      <c r="O92" s="136"/>
      <c r="P92" s="137"/>
      <c r="Q92" s="136"/>
      <c r="R92" s="136"/>
      <c r="S92" s="136"/>
      <c r="T92" s="136"/>
      <c r="U92" s="137"/>
      <c r="V92" s="136"/>
      <c r="W92" s="136"/>
      <c r="X92" s="136"/>
      <c r="Y92" s="136"/>
      <c r="Z92" s="137"/>
      <c r="AA92" s="136"/>
      <c r="AB92" s="136"/>
      <c r="AC92" s="136"/>
      <c r="AD92" s="136"/>
      <c r="AE92" s="137"/>
      <c r="AF92" s="136"/>
      <c r="AG92" s="136"/>
      <c r="AH92" s="136"/>
      <c r="AI92" s="136">
        <v>3</v>
      </c>
      <c r="AJ92" s="137">
        <v>3.5308939606265666</v>
      </c>
      <c r="AK92" s="136"/>
      <c r="AL92" s="136"/>
      <c r="AM92" s="136"/>
      <c r="AN92" s="136"/>
      <c r="AO92" s="137"/>
      <c r="AP92" s="136"/>
      <c r="AQ92" s="136">
        <v>3</v>
      </c>
      <c r="AR92" s="136">
        <v>3</v>
      </c>
      <c r="AS92" s="136">
        <v>3</v>
      </c>
      <c r="AT92" s="137">
        <v>3.5308939606265666</v>
      </c>
      <c r="AU92" s="136"/>
      <c r="AV92" s="136"/>
      <c r="AW92" s="136">
        <f t="shared" ref="AW92:AX92" si="168">$AY92</f>
        <v>3</v>
      </c>
      <c r="AX92" s="136">
        <f t="shared" si="168"/>
        <v>3</v>
      </c>
      <c r="AY92" s="137">
        <v>3</v>
      </c>
      <c r="AZ92" s="136">
        <f t="shared" ref="AZ92:BB92" si="169">$BD92</f>
        <v>3</v>
      </c>
      <c r="BA92" s="136">
        <f t="shared" si="169"/>
        <v>3</v>
      </c>
      <c r="BB92" s="136">
        <f t="shared" si="169"/>
        <v>3</v>
      </c>
      <c r="BC92" s="136">
        <f>$BD92</f>
        <v>3</v>
      </c>
      <c r="BD92" s="137">
        <v>3</v>
      </c>
      <c r="BE92" s="136">
        <f t="shared" ref="BE92:BG92" si="170">$BD92</f>
        <v>3</v>
      </c>
      <c r="BF92" s="136">
        <f t="shared" si="170"/>
        <v>3</v>
      </c>
      <c r="BG92" s="136">
        <f t="shared" si="170"/>
        <v>3</v>
      </c>
      <c r="BH92" s="136">
        <f>$BD92</f>
        <v>3</v>
      </c>
      <c r="BI92" s="137">
        <v>3</v>
      </c>
    </row>
    <row r="93" spans="1:68">
      <c r="A93" s="1" t="s">
        <v>155</v>
      </c>
      <c r="B93" s="134"/>
      <c r="C93" s="134"/>
      <c r="D93" s="134"/>
      <c r="E93" s="134"/>
      <c r="F93" s="135"/>
      <c r="G93" s="134"/>
      <c r="H93" s="134"/>
      <c r="I93" s="134"/>
      <c r="J93" s="134"/>
      <c r="K93" s="135"/>
      <c r="L93" s="134"/>
      <c r="M93" s="134"/>
      <c r="N93" s="134"/>
      <c r="O93" s="134"/>
      <c r="P93" s="135"/>
      <c r="Q93" s="134"/>
      <c r="R93" s="134"/>
      <c r="S93" s="134"/>
      <c r="T93" s="134"/>
      <c r="U93" s="135"/>
      <c r="V93" s="134"/>
      <c r="W93" s="134"/>
      <c r="X93" s="134"/>
      <c r="Y93" s="134"/>
      <c r="Z93" s="135"/>
      <c r="AA93" s="134"/>
      <c r="AB93" s="134"/>
      <c r="AC93" s="134"/>
      <c r="AD93" s="134"/>
      <c r="AE93" s="135"/>
      <c r="AF93" s="134"/>
      <c r="AG93" s="134"/>
      <c r="AH93" s="134"/>
      <c r="AI93" s="134">
        <f ca="1">IF((AI82+AI90-AI89)/(Income_Statement_Qtr!AI97*4+Balance_Sheet_Qtr!AI94)=AI92,(AI82+AI90-AI89)/(Income_Statement_Qtr!AI97*4+Balance_Sheet_Qtr!AI94),"Error")</f>
        <v>3.0000000000000004</v>
      </c>
      <c r="AJ93" s="135">
        <f ca="1">IF((AJ82+AJ90-AJ89)/(Income_Statement_Qtr!AJ97+Balance_Sheet_Qtr!AJ94)=AJ92,(AJ82+AJ90-AJ89)/(Income_Statement_Qtr!AJ97+Balance_Sheet_Qtr!AJ94),"Error")</f>
        <v>3.5308939606265652</v>
      </c>
      <c r="AK93" s="134"/>
      <c r="AL93" s="134"/>
      <c r="AM93" s="134"/>
      <c r="AN93" s="134"/>
      <c r="AO93" s="135"/>
      <c r="AP93" s="134"/>
      <c r="AQ93" s="134">
        <f ca="1">IF((AQ82+AQ90-AQ89)/(Income_Statement_Qtr!AQ97*4+Balance_Sheet_Qtr!AQ94)=AQ92,(AQ82+AQ90-AQ89)/(Income_Statement_Qtr!AQ97*4+Balance_Sheet_Qtr!AQ94),"Error")</f>
        <v>3.0000000000000013</v>
      </c>
      <c r="AR93" s="134">
        <f ca="1">IF((AR82+AR90-AR89)/(Income_Statement_Qtr!AR97*4+Balance_Sheet_Qtr!AR94)=AR92,(AR82+AR90-AR89)/(Income_Statement_Qtr!AR97*4+Balance_Sheet_Qtr!AR94),"Error")</f>
        <v>3.0000000000000004</v>
      </c>
      <c r="AS93" s="134">
        <f ca="1">IF((AS82+AS90-AS89)/(Income_Statement_Qtr!AS97*4+Balance_Sheet_Qtr!AS94)=AS92,(AS82+AS90-AS89)/(Income_Statement_Qtr!AS97*4+Balance_Sheet_Qtr!AS94),"Error")</f>
        <v>2.9999999999999996</v>
      </c>
      <c r="AT93" s="135">
        <f ca="1">IF((AT82+AT90-AT89)/(Income_Statement_Qtr!AT97+Balance_Sheet_Qtr!AT94)=AT92,(AT82+AT90-AT89)/(Income_Statement_Qtr!AT97+Balance_Sheet_Qtr!AT94),"Error")</f>
        <v>3.5308939606265652</v>
      </c>
      <c r="AU93" s="134"/>
      <c r="AV93" s="134"/>
      <c r="AW93" s="134">
        <f ca="1">IF((AW82+AW90-AW89)/(Income_Statement_Qtr!AW97*4+Balance_Sheet_Qtr!AW94)=AW92,(AW82+AW90-AW89)/(Income_Statement_Qtr!AW97*4+Balance_Sheet_Qtr!AW94),"Error")</f>
        <v>2.9999999999999996</v>
      </c>
      <c r="AX93" s="134">
        <f ca="1">IF((AX82+AX90-AX89)/(Income_Statement_Qtr!AX97*4+Balance_Sheet_Qtr!AX94)=AX92,(AX82+AX90-AX89)/(Income_Statement_Qtr!AX97*4+Balance_Sheet_Qtr!AX94),"Error")</f>
        <v>3.0000000000000004</v>
      </c>
      <c r="AY93" s="135">
        <f ca="1">IF((AY82+AY90-AY89)/(Income_Statement_Qtr!AY97+Balance_Sheet_Qtr!AY94)=AY92,(AY82+AY90-AY89)/(Income_Statement_Qtr!AY97+Balance_Sheet_Qtr!AY94),"Error")</f>
        <v>3.0000000000000004</v>
      </c>
      <c r="AZ93" s="134">
        <f ca="1">IF((AZ82+AZ90-AZ89)/(Income_Statement_Qtr!AZ97*4+Balance_Sheet_Qtr!AZ94)=AZ92,(AZ82+AZ90-AZ89)/(Income_Statement_Qtr!AZ97*4+Balance_Sheet_Qtr!AZ94),"Error")</f>
        <v>2.999999999999996</v>
      </c>
      <c r="BA93" s="134">
        <f ca="1">IF((BB79+BA90-BA89)/(Income_Statement_Qtr!BA97*4+Balance_Sheet_Qtr!BA94)=BA92,(BB79+BA90-BA89)/(Income_Statement_Qtr!BA97*4+Balance_Sheet_Qtr!BA94),"Error")</f>
        <v>2.9999999999999996</v>
      </c>
      <c r="BB93" s="134">
        <f ca="1">IF((BB82+BB90-BB89)/(Income_Statement_Qtr!BB97*4+Balance_Sheet_Qtr!BB94)=BB92,(BB82+BB90-BB89)/(Income_Statement_Qtr!BB97*4+Balance_Sheet_Qtr!BB94),"Error")</f>
        <v>3.0000000000000004</v>
      </c>
      <c r="BC93" s="134">
        <f ca="1">IF((BC82+BC90-BC89)/(Income_Statement_Qtr!BC97*4+Balance_Sheet_Qtr!BC94)=BC92,(BC82+BC90-BC89)/(Income_Statement_Qtr!BC97*4+Balance_Sheet_Qtr!BC94),"Error")</f>
        <v>3.0000000000000004</v>
      </c>
      <c r="BD93" s="135">
        <f ca="1">IF((BD82+BD90-BD89)/(Income_Statement_Qtr!BD97+Balance_Sheet_Qtr!BD94)=BD92,(BD82+BD90-BD89)/(Income_Statement_Qtr!BD97+Balance_Sheet_Qtr!BD94),"Error")</f>
        <v>2.9999999999999996</v>
      </c>
      <c r="BE93" s="134">
        <f ca="1">IF((BE82+BE90-BE89)/(Income_Statement_Qtr!BE97*4+Balance_Sheet_Qtr!BE94)=BE92,(BE82+BE90-BE89)/(Income_Statement_Qtr!BE97*4+Balance_Sheet_Qtr!BE94),"Error")</f>
        <v>3.0000000000000031</v>
      </c>
      <c r="BF93" s="134">
        <f ca="1">IF((BF82+BF90-BF89)/(Income_Statement_Qtr!BF97*4+Balance_Sheet_Qtr!BF94)=BF92,(BF82+BF90-BF89)/(Income_Statement_Qtr!BF97*4+Balance_Sheet_Qtr!BF94),"Error")</f>
        <v>2.9999999999999978</v>
      </c>
      <c r="BG93" s="134">
        <f ca="1">IF((BG82+BG90-BG89)/(Income_Statement_Qtr!BG97*4+Balance_Sheet_Qtr!BG94)=BG92,(BG82+BG90-BG89)/(Income_Statement_Qtr!BG97*4+Balance_Sheet_Qtr!BG94),"Error")</f>
        <v>2.9999999999999969</v>
      </c>
      <c r="BH93" s="134">
        <f ca="1">IF((BH82+BH90-BH89)/(Income_Statement_Qtr!BH97*4+Balance_Sheet_Qtr!BH94)=BH92,(BH82+BH90-BH89)/(Income_Statement_Qtr!BH97*4+Balance_Sheet_Qtr!BH94),"Error")</f>
        <v>2.9999999999999982</v>
      </c>
      <c r="BI93" s="135">
        <f ca="1">IF((BI82+BI90-BI89)/(Income_Statement_Qtr!BI97+Balance_Sheet_Qtr!BI94)=BI92,(BI82+BI90-BI89)/(Income_Statement_Qtr!BI97+Balance_Sheet_Qtr!BI94),"Error")</f>
        <v>2.9999999999999964</v>
      </c>
    </row>
    <row r="94" spans="1:68">
      <c r="A94" s="1" t="s">
        <v>112</v>
      </c>
      <c r="B94" s="74"/>
      <c r="C94" s="74"/>
      <c r="D94" s="74"/>
      <c r="E94" s="74"/>
      <c r="F94" s="76"/>
      <c r="G94" s="74"/>
      <c r="H94" s="74"/>
      <c r="I94" s="74"/>
      <c r="J94" s="74"/>
      <c r="K94" s="76"/>
      <c r="L94" s="74"/>
      <c r="M94" s="74"/>
      <c r="N94" s="74"/>
      <c r="O94" s="74"/>
      <c r="P94" s="76"/>
      <c r="Q94" s="74"/>
      <c r="R94" s="74"/>
      <c r="S94" s="74"/>
      <c r="T94" s="74"/>
      <c r="U94" s="76"/>
      <c r="V94" s="74"/>
      <c r="W94" s="74"/>
      <c r="X94" s="74"/>
      <c r="Y94" s="74"/>
      <c r="Z94" s="76"/>
      <c r="AA94" s="74"/>
      <c r="AB94" s="74"/>
      <c r="AC94" s="74"/>
      <c r="AD94" s="74"/>
      <c r="AE94" s="76"/>
      <c r="AF94" s="74"/>
      <c r="AG94" s="74"/>
      <c r="AH94" s="74"/>
      <c r="AI94" s="74">
        <f ca="1">AI91/AI95</f>
        <v>-10410.444444444445</v>
      </c>
      <c r="AJ94" s="76">
        <f ca="1">AJ91/AJ95</f>
        <v>-6225.7359132152005</v>
      </c>
      <c r="AK94" s="74"/>
      <c r="AL94" s="74"/>
      <c r="AM94" s="74"/>
      <c r="AN94" s="74"/>
      <c r="AO94" s="76"/>
      <c r="AP94" s="74"/>
      <c r="AQ94" s="74">
        <f t="shared" ref="AQ94:AT94" ca="1" si="171">AQ91/AQ95</f>
        <v>-4525.5555555555557</v>
      </c>
      <c r="AR94" s="74">
        <f t="shared" ca="1" si="171"/>
        <v>-5505.8888888888896</v>
      </c>
      <c r="AS94" s="74">
        <f t="shared" ca="1" si="171"/>
        <v>-4793.2222222222217</v>
      </c>
      <c r="AT94" s="76">
        <f t="shared" ca="1" si="171"/>
        <v>-5722.6095818755248</v>
      </c>
      <c r="AU94" s="74"/>
      <c r="AV94" s="74"/>
      <c r="AW94" s="74">
        <f t="shared" ref="AW94:AZ94" ca="1" si="172">AW91/AW95</f>
        <v>-12388.111111111109</v>
      </c>
      <c r="AX94" s="74">
        <f t="shared" ca="1" si="172"/>
        <v>-8799.4444444444453</v>
      </c>
      <c r="AY94" s="76">
        <f t="shared" ca="1" si="172"/>
        <v>-7408.4444444444453</v>
      </c>
      <c r="AZ94" s="74">
        <f t="shared" ca="1" si="172"/>
        <v>-3594.6666666666665</v>
      </c>
      <c r="BA94" s="74">
        <f t="shared" ref="BA94:BD94" ca="1" si="173">BA91/BA95</f>
        <v>-4758.666666666667</v>
      </c>
      <c r="BB94" s="74">
        <f t="shared" ca="1" si="173"/>
        <v>-10962.222222222224</v>
      </c>
      <c r="BC94" s="74">
        <f t="shared" ca="1" si="173"/>
        <v>7619.8888888888905</v>
      </c>
      <c r="BD94" s="76">
        <f t="shared" ca="1" si="173"/>
        <v>-2719.4444444444448</v>
      </c>
      <c r="BE94" s="74">
        <f ca="1">BE91/BE95</f>
        <v>-4035.985078172771</v>
      </c>
      <c r="BF94" s="74">
        <f ca="1">BF91/BF95</f>
        <v>-3677.0936586195876</v>
      </c>
      <c r="BG94" s="74">
        <f ca="1">BG91/BG95</f>
        <v>-3263.1907958272764</v>
      </c>
      <c r="BH94" s="74">
        <f ca="1">BH91/BH95</f>
        <v>-2948.1373826294075</v>
      </c>
      <c r="BI94" s="76">
        <f ca="1">BI91/BI95</f>
        <v>-3195.712353847568</v>
      </c>
      <c r="BJ94" s="413" t="s">
        <v>572</v>
      </c>
    </row>
    <row r="95" spans="1:68">
      <c r="A95" s="1" t="s">
        <v>113</v>
      </c>
      <c r="B95" s="136"/>
      <c r="C95" s="136"/>
      <c r="D95" s="136"/>
      <c r="E95" s="136"/>
      <c r="F95" s="137"/>
      <c r="G95" s="136"/>
      <c r="H95" s="136"/>
      <c r="I95" s="136"/>
      <c r="J95" s="136"/>
      <c r="K95" s="137"/>
      <c r="L95" s="136"/>
      <c r="M95" s="136"/>
      <c r="N95" s="136"/>
      <c r="O95" s="136"/>
      <c r="P95" s="137"/>
      <c r="Q95" s="136"/>
      <c r="R95" s="136"/>
      <c r="S95" s="136"/>
      <c r="T95" s="136"/>
      <c r="U95" s="137"/>
      <c r="V95" s="136"/>
      <c r="W95" s="136"/>
      <c r="X95" s="136"/>
      <c r="Y95" s="136"/>
      <c r="Z95" s="137"/>
      <c r="AA95" s="136"/>
      <c r="AB95" s="136"/>
      <c r="AC95" s="136"/>
      <c r="AD95" s="136"/>
      <c r="AE95" s="137"/>
      <c r="AF95" s="136"/>
      <c r="AG95" s="136"/>
      <c r="AH95" s="136"/>
      <c r="AI95" s="136">
        <v>12</v>
      </c>
      <c r="AJ95" s="137">
        <v>12</v>
      </c>
      <c r="AK95" s="136"/>
      <c r="AL95" s="136"/>
      <c r="AM95" s="136"/>
      <c r="AN95" s="136"/>
      <c r="AO95" s="137"/>
      <c r="AP95" s="136"/>
      <c r="AQ95" s="136">
        <v>12</v>
      </c>
      <c r="AR95" s="136">
        <v>12</v>
      </c>
      <c r="AS95" s="136">
        <v>12</v>
      </c>
      <c r="AT95" s="137">
        <v>12</v>
      </c>
      <c r="AU95" s="136"/>
      <c r="AV95" s="136"/>
      <c r="AW95" s="136">
        <f t="shared" ref="AW95:AX95" si="174">$AY95</f>
        <v>12</v>
      </c>
      <c r="AX95" s="136">
        <f t="shared" si="174"/>
        <v>12</v>
      </c>
      <c r="AY95" s="137">
        <v>12</v>
      </c>
      <c r="AZ95" s="136">
        <f t="shared" ref="AZ95:BB95" si="175">$BD95</f>
        <v>12</v>
      </c>
      <c r="BA95" s="136">
        <f t="shared" si="175"/>
        <v>12</v>
      </c>
      <c r="BB95" s="136">
        <f t="shared" si="175"/>
        <v>12</v>
      </c>
      <c r="BC95" s="136">
        <f>$BD95</f>
        <v>12</v>
      </c>
      <c r="BD95" s="137">
        <v>12</v>
      </c>
      <c r="BE95" s="136">
        <f t="shared" ref="BE95:BG95" si="176">$BD95</f>
        <v>12</v>
      </c>
      <c r="BF95" s="136">
        <f t="shared" si="176"/>
        <v>12</v>
      </c>
      <c r="BG95" s="136">
        <f t="shared" si="176"/>
        <v>12</v>
      </c>
      <c r="BH95" s="136">
        <f>$BD95</f>
        <v>12</v>
      </c>
      <c r="BI95" s="137">
        <v>12</v>
      </c>
    </row>
    <row r="96" spans="1:68">
      <c r="A96" s="1"/>
      <c r="B96" s="74"/>
      <c r="C96" s="74"/>
      <c r="D96" s="74"/>
      <c r="E96" s="74"/>
      <c r="F96" s="76"/>
      <c r="G96" s="74"/>
      <c r="H96" s="74"/>
      <c r="I96" s="74"/>
      <c r="J96" s="74"/>
      <c r="K96" s="76"/>
      <c r="L96" s="74"/>
      <c r="M96" s="74"/>
      <c r="N96" s="74"/>
      <c r="O96" s="74"/>
      <c r="P96" s="76"/>
      <c r="Q96" s="74"/>
      <c r="R96" s="74"/>
      <c r="S96" s="74"/>
      <c r="T96" s="74"/>
      <c r="U96" s="76"/>
      <c r="V96" s="74"/>
      <c r="W96" s="74"/>
      <c r="X96" s="74"/>
      <c r="Y96" s="74"/>
      <c r="Z96" s="76"/>
      <c r="AA96" s="74"/>
      <c r="AB96" s="74"/>
      <c r="AC96" s="74"/>
      <c r="AD96" s="74"/>
      <c r="AE96" s="76"/>
      <c r="AF96" s="74"/>
      <c r="AG96" s="74"/>
      <c r="AH96" s="74"/>
      <c r="AI96" s="74"/>
      <c r="AJ96" s="76"/>
      <c r="AK96" s="74"/>
      <c r="AL96" s="74"/>
      <c r="AM96" s="74"/>
      <c r="AN96" s="74"/>
      <c r="AO96" s="76"/>
      <c r="AP96" s="74"/>
      <c r="AQ96" s="74"/>
      <c r="AR96" s="74"/>
      <c r="AS96" s="74"/>
      <c r="AT96" s="76"/>
      <c r="AU96" s="74"/>
      <c r="AV96" s="74"/>
      <c r="AW96" s="74"/>
      <c r="AX96" s="74"/>
      <c r="AY96" s="76"/>
      <c r="AZ96" s="74"/>
      <c r="BA96" s="74"/>
      <c r="BB96" s="74"/>
      <c r="BC96" s="74"/>
      <c r="BD96" s="76"/>
      <c r="BE96" s="74"/>
      <c r="BF96" s="74"/>
      <c r="BG96" s="74"/>
      <c r="BH96" s="74"/>
      <c r="BI96" s="76"/>
    </row>
    <row r="97" spans="1:61">
      <c r="A97" s="1" t="s">
        <v>120</v>
      </c>
      <c r="B97" s="138"/>
      <c r="C97" s="138"/>
      <c r="D97" s="138"/>
      <c r="E97" s="138"/>
      <c r="F97" s="142"/>
      <c r="G97" s="138"/>
      <c r="H97" s="138"/>
      <c r="I97" s="138"/>
      <c r="J97" s="138"/>
      <c r="K97" s="142"/>
      <c r="L97" s="138"/>
      <c r="M97" s="138"/>
      <c r="N97" s="138"/>
      <c r="O97" s="138"/>
      <c r="P97" s="142"/>
      <c r="Q97" s="138"/>
      <c r="R97" s="138"/>
      <c r="S97" s="138"/>
      <c r="T97" s="138"/>
      <c r="U97" s="142"/>
      <c r="V97" s="138"/>
      <c r="W97" s="138"/>
      <c r="X97" s="138"/>
      <c r="Y97" s="138"/>
      <c r="Z97" s="142"/>
      <c r="AA97" s="138"/>
      <c r="AB97" s="138"/>
      <c r="AC97" s="138"/>
      <c r="AD97" s="138"/>
      <c r="AE97" s="142"/>
      <c r="AF97" s="138"/>
      <c r="AG97" s="138"/>
      <c r="AH97" s="138"/>
      <c r="AI97" s="138">
        <v>0.3</v>
      </c>
      <c r="AJ97" s="142">
        <v>0.3</v>
      </c>
      <c r="AK97" s="138"/>
      <c r="AL97" s="138"/>
      <c r="AM97" s="138"/>
      <c r="AN97" s="138"/>
      <c r="AO97" s="142"/>
      <c r="AP97" s="138"/>
      <c r="AQ97" s="138">
        <v>0.3</v>
      </c>
      <c r="AR97" s="138">
        <v>0.3</v>
      </c>
      <c r="AS97" s="138">
        <v>0.3</v>
      </c>
      <c r="AT97" s="142">
        <v>0.3</v>
      </c>
      <c r="AU97" s="138"/>
      <c r="AV97" s="138"/>
      <c r="AW97" s="138">
        <f t="shared" ref="AW97:AX97" si="177">$AY97</f>
        <v>0.3</v>
      </c>
      <c r="AX97" s="138">
        <f t="shared" si="177"/>
        <v>0.3</v>
      </c>
      <c r="AY97" s="142">
        <v>0.3</v>
      </c>
      <c r="AZ97" s="138">
        <f t="shared" ref="AZ97:BB97" si="178">$BD97</f>
        <v>0.3</v>
      </c>
      <c r="BA97" s="138">
        <f t="shared" si="178"/>
        <v>0.3</v>
      </c>
      <c r="BB97" s="138">
        <f t="shared" si="178"/>
        <v>0.3</v>
      </c>
      <c r="BC97" s="138">
        <f>$BD97</f>
        <v>0.3</v>
      </c>
      <c r="BD97" s="142">
        <v>0.3</v>
      </c>
      <c r="BE97" s="138">
        <f t="shared" ref="BE97:BG97" si="179">$BD97</f>
        <v>0.3</v>
      </c>
      <c r="BF97" s="138">
        <f t="shared" si="179"/>
        <v>0.3</v>
      </c>
      <c r="BG97" s="138">
        <f t="shared" si="179"/>
        <v>0.3</v>
      </c>
      <c r="BH97" s="138">
        <f>$BD97</f>
        <v>0.3</v>
      </c>
      <c r="BI97" s="142">
        <v>0.3</v>
      </c>
    </row>
    <row r="98" spans="1:61">
      <c r="A98" s="1" t="s">
        <v>121</v>
      </c>
      <c r="B98" s="74"/>
      <c r="C98" s="74"/>
      <c r="D98" s="74"/>
      <c r="E98" s="74"/>
      <c r="F98" s="76"/>
      <c r="G98" s="74"/>
      <c r="H98" s="74"/>
      <c r="I98" s="74"/>
      <c r="J98" s="74"/>
      <c r="K98" s="76"/>
      <c r="L98" s="74"/>
      <c r="M98" s="74"/>
      <c r="N98" s="74"/>
      <c r="O98" s="74"/>
      <c r="P98" s="76"/>
      <c r="Q98" s="74"/>
      <c r="R98" s="74"/>
      <c r="S98" s="74"/>
      <c r="T98" s="74"/>
      <c r="U98" s="76"/>
      <c r="V98" s="74"/>
      <c r="W98" s="74"/>
      <c r="X98" s="74"/>
      <c r="Y98" s="74"/>
      <c r="Z98" s="76"/>
      <c r="AA98" s="74"/>
      <c r="AB98" s="74"/>
      <c r="AC98" s="74"/>
      <c r="AD98" s="74"/>
      <c r="AE98" s="76"/>
      <c r="AF98" s="74"/>
      <c r="AG98" s="74"/>
      <c r="AH98" s="74"/>
      <c r="AI98" s="74">
        <f ca="1">-AI97*AI94</f>
        <v>3123.1333333333337</v>
      </c>
      <c r="AJ98" s="76">
        <f ca="1">-AJ97*AJ94</f>
        <v>1867.7207739645601</v>
      </c>
      <c r="AK98" s="74"/>
      <c r="AL98" s="74"/>
      <c r="AM98" s="74"/>
      <c r="AN98" s="74"/>
      <c r="AO98" s="76"/>
      <c r="AP98" s="74"/>
      <c r="AQ98" s="74">
        <f t="shared" ref="AQ98:AR98" ca="1" si="180">-AQ97*AQ94</f>
        <v>1357.6666666666667</v>
      </c>
      <c r="AR98" s="74">
        <f t="shared" ca="1" si="180"/>
        <v>1651.7666666666669</v>
      </c>
      <c r="AS98" s="74">
        <f ca="1">-AS97*AS94</f>
        <v>1437.9666666666665</v>
      </c>
      <c r="AT98" s="76">
        <f ca="1">-AT97*AT94</f>
        <v>1716.7828745626573</v>
      </c>
      <c r="AU98" s="74"/>
      <c r="AV98" s="74"/>
      <c r="AW98" s="74">
        <f t="shared" ref="AW98" ca="1" si="181">-AW97*AW94</f>
        <v>3716.4333333333325</v>
      </c>
      <c r="AX98" s="74">
        <f ca="1">-AX97*AX94</f>
        <v>2639.8333333333335</v>
      </c>
      <c r="AY98" s="76">
        <f ca="1">-AY97*AY94</f>
        <v>2222.5333333333333</v>
      </c>
      <c r="AZ98" s="74">
        <f t="shared" ref="AZ98:BB98" ca="1" si="182">-AZ97*AZ94</f>
        <v>1078.3999999999999</v>
      </c>
      <c r="BA98" s="74">
        <f t="shared" ca="1" si="182"/>
        <v>1427.6000000000001</v>
      </c>
      <c r="BB98" s="74">
        <f t="shared" ca="1" si="182"/>
        <v>3288.6666666666674</v>
      </c>
      <c r="BC98" s="74">
        <f ca="1">-BC97*BC94</f>
        <v>-2285.9666666666672</v>
      </c>
      <c r="BD98" s="76">
        <f ca="1">-BD97*BD94</f>
        <v>815.83333333333337</v>
      </c>
      <c r="BE98" s="74">
        <f t="shared" ref="BE98:BG98" ca="1" si="183">-BE97*BE94</f>
        <v>1210.7955234518313</v>
      </c>
      <c r="BF98" s="74">
        <f t="shared" ca="1" si="183"/>
        <v>1103.1280975858763</v>
      </c>
      <c r="BG98" s="74">
        <f t="shared" ca="1" si="183"/>
        <v>978.95723874818282</v>
      </c>
      <c r="BH98" s="74">
        <f ca="1">-BH97*BH94</f>
        <v>884.44121478882221</v>
      </c>
      <c r="BI98" s="76">
        <f ca="1">-BI97*BI94</f>
        <v>958.71370615427031</v>
      </c>
    </row>
    <row r="99" spans="1:61">
      <c r="A99" s="1" t="s">
        <v>122</v>
      </c>
      <c r="B99" s="74"/>
      <c r="C99" s="74"/>
      <c r="D99" s="74"/>
      <c r="E99" s="74"/>
      <c r="F99" s="76"/>
      <c r="G99" s="74"/>
      <c r="H99" s="74"/>
      <c r="I99" s="74"/>
      <c r="J99" s="74"/>
      <c r="K99" s="76"/>
      <c r="L99" s="74"/>
      <c r="M99" s="74"/>
      <c r="N99" s="74"/>
      <c r="O99" s="74"/>
      <c r="P99" s="76"/>
      <c r="Q99" s="74"/>
      <c r="R99" s="74"/>
      <c r="S99" s="74"/>
      <c r="T99" s="74"/>
      <c r="U99" s="76"/>
      <c r="V99" s="74"/>
      <c r="W99" s="74"/>
      <c r="X99" s="74"/>
      <c r="Y99" s="74"/>
      <c r="Z99" s="76"/>
      <c r="AA99" s="74"/>
      <c r="AB99" s="74"/>
      <c r="AC99" s="74"/>
      <c r="AD99" s="74"/>
      <c r="AE99" s="76"/>
      <c r="AF99" s="74"/>
      <c r="AG99" s="74"/>
      <c r="AH99" s="74"/>
      <c r="AI99" s="74">
        <f ca="1">AI94+AI98</f>
        <v>-7287.311111111112</v>
      </c>
      <c r="AJ99" s="76">
        <f ca="1">AJ94+AJ98</f>
        <v>-4358.0151392506405</v>
      </c>
      <c r="AK99" s="74"/>
      <c r="AL99" s="74"/>
      <c r="AM99" s="74"/>
      <c r="AN99" s="74"/>
      <c r="AO99" s="76"/>
      <c r="AP99" s="74"/>
      <c r="AQ99" s="74">
        <f t="shared" ref="AQ99:AR99" ca="1" si="184">AQ94+AQ98</f>
        <v>-3167.8888888888887</v>
      </c>
      <c r="AR99" s="74">
        <f t="shared" ca="1" si="184"/>
        <v>-3854.1222222222227</v>
      </c>
      <c r="AS99" s="74">
        <f ca="1">AS94+AS98</f>
        <v>-3355.2555555555555</v>
      </c>
      <c r="AT99" s="76">
        <f ca="1">AT94+AT98</f>
        <v>-4005.8267073128673</v>
      </c>
      <c r="AU99" s="74"/>
      <c r="AV99" s="74"/>
      <c r="AW99" s="74">
        <f t="shared" ref="AW99" ca="1" si="185">AW94+AW98</f>
        <v>-8671.677777777777</v>
      </c>
      <c r="AX99" s="74">
        <f ca="1">AX94+AX98</f>
        <v>-6159.6111111111113</v>
      </c>
      <c r="AY99" s="76">
        <f ca="1">AY94+AY98</f>
        <v>-5185.9111111111124</v>
      </c>
      <c r="AZ99" s="74">
        <f t="shared" ref="AZ99:BB99" ca="1" si="186">AZ94+AZ98</f>
        <v>-2516.2666666666664</v>
      </c>
      <c r="BA99" s="74">
        <f t="shared" ca="1" si="186"/>
        <v>-3331.0666666666666</v>
      </c>
      <c r="BB99" s="74">
        <f t="shared" ca="1" si="186"/>
        <v>-7673.5555555555566</v>
      </c>
      <c r="BC99" s="74">
        <f ca="1">BC94+BC98</f>
        <v>5333.9222222222234</v>
      </c>
      <c r="BD99" s="76">
        <f ca="1">BD94+BD98</f>
        <v>-1903.6111111111113</v>
      </c>
      <c r="BE99" s="74">
        <f t="shared" ref="BE99:BG99" ca="1" si="187">BE94+BE98</f>
        <v>-2825.1895547209397</v>
      </c>
      <c r="BF99" s="74">
        <f t="shared" ca="1" si="187"/>
        <v>-2573.9655610337113</v>
      </c>
      <c r="BG99" s="74">
        <f t="shared" ca="1" si="187"/>
        <v>-2284.2335570790938</v>
      </c>
      <c r="BH99" s="74">
        <f ca="1">BH94+BH98</f>
        <v>-2063.6961678405851</v>
      </c>
      <c r="BI99" s="76">
        <f ca="1">BI94+BI98</f>
        <v>-2236.9986476932977</v>
      </c>
    </row>
    <row r="100" spans="1:61">
      <c r="A100" s="1" t="s">
        <v>114</v>
      </c>
      <c r="B100" s="138"/>
      <c r="C100" s="138"/>
      <c r="D100" s="138"/>
      <c r="E100" s="138"/>
      <c r="F100" s="142"/>
      <c r="G100" s="138"/>
      <c r="H100" s="138"/>
      <c r="I100" s="138"/>
      <c r="J100" s="138"/>
      <c r="K100" s="142"/>
      <c r="L100" s="138"/>
      <c r="M100" s="138"/>
      <c r="N100" s="138"/>
      <c r="O100" s="138"/>
      <c r="P100" s="142"/>
      <c r="Q100" s="138"/>
      <c r="R100" s="138"/>
      <c r="S100" s="138"/>
      <c r="T100" s="138"/>
      <c r="U100" s="142"/>
      <c r="V100" s="138"/>
      <c r="W100" s="138"/>
      <c r="X100" s="138"/>
      <c r="Y100" s="138"/>
      <c r="Z100" s="142"/>
      <c r="AA100" s="138"/>
      <c r="AB100" s="138"/>
      <c r="AC100" s="138"/>
      <c r="AD100" s="138"/>
      <c r="AE100" s="142"/>
      <c r="AF100" s="138"/>
      <c r="AG100" s="138"/>
      <c r="AH100" s="138"/>
      <c r="AI100" s="138">
        <v>3.5000000000000003E-2</v>
      </c>
      <c r="AJ100" s="142">
        <v>3.5000000000000003E-2</v>
      </c>
      <c r="AK100" s="138"/>
      <c r="AL100" s="138"/>
      <c r="AM100" s="138"/>
      <c r="AN100" s="138"/>
      <c r="AO100" s="142"/>
      <c r="AP100" s="138"/>
      <c r="AQ100" s="138">
        <v>3.5000000000000003E-2</v>
      </c>
      <c r="AR100" s="138">
        <v>3.5000000000000003E-2</v>
      </c>
      <c r="AS100" s="138">
        <v>3.5000000000000003E-2</v>
      </c>
      <c r="AT100" s="142">
        <v>3.5000000000000003E-2</v>
      </c>
      <c r="AU100" s="138"/>
      <c r="AV100" s="138"/>
      <c r="AW100" s="138">
        <f t="shared" ref="AW100:AX100" si="188">$AY100</f>
        <v>3.5000000000000003E-2</v>
      </c>
      <c r="AX100" s="138">
        <f t="shared" si="188"/>
        <v>3.5000000000000003E-2</v>
      </c>
      <c r="AY100" s="142">
        <v>3.5000000000000003E-2</v>
      </c>
      <c r="AZ100" s="138">
        <f t="shared" ref="AZ100:BB100" si="189">$BD100</f>
        <v>3.5000000000000003E-2</v>
      </c>
      <c r="BA100" s="138">
        <f t="shared" si="189"/>
        <v>3.5000000000000003E-2</v>
      </c>
      <c r="BB100" s="138">
        <f t="shared" si="189"/>
        <v>3.5000000000000003E-2</v>
      </c>
      <c r="BC100" s="138">
        <f>$BD100</f>
        <v>3.5000000000000003E-2</v>
      </c>
      <c r="BD100" s="142">
        <v>3.5000000000000003E-2</v>
      </c>
      <c r="BE100" s="138">
        <f t="shared" ref="BE100:BG100" si="190">$BD100</f>
        <v>3.5000000000000003E-2</v>
      </c>
      <c r="BF100" s="138">
        <f t="shared" si="190"/>
        <v>3.5000000000000003E-2</v>
      </c>
      <c r="BG100" s="138">
        <f t="shared" si="190"/>
        <v>3.5000000000000003E-2</v>
      </c>
      <c r="BH100" s="138">
        <f>$BD100</f>
        <v>3.5000000000000003E-2</v>
      </c>
      <c r="BI100" s="142">
        <v>3.5000000000000003E-2</v>
      </c>
    </row>
    <row r="101" spans="1:61">
      <c r="A101" s="1" t="s">
        <v>115</v>
      </c>
      <c r="B101" s="74"/>
      <c r="C101" s="74"/>
      <c r="D101" s="74"/>
      <c r="E101" s="74"/>
      <c r="F101" s="76"/>
      <c r="G101" s="74"/>
      <c r="H101" s="74"/>
      <c r="I101" s="74"/>
      <c r="J101" s="74"/>
      <c r="K101" s="76"/>
      <c r="L101" s="74"/>
      <c r="M101" s="74"/>
      <c r="N101" s="74"/>
      <c r="O101" s="74"/>
      <c r="P101" s="76"/>
      <c r="Q101" s="74"/>
      <c r="R101" s="74"/>
      <c r="S101" s="74"/>
      <c r="T101" s="74"/>
      <c r="U101" s="76"/>
      <c r="V101" s="74"/>
      <c r="W101" s="74"/>
      <c r="X101" s="74"/>
      <c r="Y101" s="74"/>
      <c r="Z101" s="76"/>
      <c r="AA101" s="74"/>
      <c r="AB101" s="74"/>
      <c r="AC101" s="74"/>
      <c r="AD101" s="74"/>
      <c r="AE101" s="76"/>
      <c r="AF101" s="74"/>
      <c r="AG101" s="74"/>
      <c r="AH101" s="74"/>
      <c r="AI101" s="74">
        <f ca="1">-AI100*AI90</f>
        <v>4372.3866666666672</v>
      </c>
      <c r="AJ101" s="76">
        <f ca="1">-AJ100*AJ90</f>
        <v>2614.8090835503845</v>
      </c>
      <c r="AK101" s="74"/>
      <c r="AL101" s="74"/>
      <c r="AM101" s="74"/>
      <c r="AN101" s="74"/>
      <c r="AO101" s="76"/>
      <c r="AP101" s="74"/>
      <c r="AQ101" s="74">
        <f t="shared" ref="AQ101:AR101" ca="1" si="191">-AQ100*AQ90</f>
        <v>1900.7333333333336</v>
      </c>
      <c r="AR101" s="74">
        <f t="shared" ca="1" si="191"/>
        <v>2312.4733333333338</v>
      </c>
      <c r="AS101" s="74">
        <f ca="1">-AS100*AS90</f>
        <v>2013.1533333333334</v>
      </c>
      <c r="AT101" s="76">
        <f ca="1">-AT100*AT90</f>
        <v>2403.4960243877208</v>
      </c>
      <c r="AU101" s="74"/>
      <c r="AV101" s="74"/>
      <c r="AW101" s="74">
        <f t="shared" ref="AW101" ca="1" si="192">-AW100*AW90</f>
        <v>5203.0066666666662</v>
      </c>
      <c r="AX101" s="74">
        <f ca="1">-AX100*AX90</f>
        <v>3695.7666666666673</v>
      </c>
      <c r="AY101" s="76">
        <f ca="1">-AY100*AY90</f>
        <v>3111.5466666666671</v>
      </c>
      <c r="AZ101" s="74">
        <f t="shared" ref="AZ101:BB101" ca="1" si="193">-AZ100*AZ90</f>
        <v>1509.7600000000002</v>
      </c>
      <c r="BA101" s="74">
        <f t="shared" ca="1" si="193"/>
        <v>1998.64</v>
      </c>
      <c r="BB101" s="74">
        <f t="shared" ca="1" si="193"/>
        <v>4604.1333333333341</v>
      </c>
      <c r="BC101" s="74">
        <f ca="1">-BC100*BC90</f>
        <v>-3200.3533333333344</v>
      </c>
      <c r="BD101" s="76">
        <f ca="1">-BD100*BD90</f>
        <v>1142.166666666667</v>
      </c>
      <c r="BE101" s="74">
        <f t="shared" ref="BE101:BG101" ca="1" si="194">-BE100*BE90</f>
        <v>1695.113732832564</v>
      </c>
      <c r="BF101" s="74">
        <f t="shared" ca="1" si="194"/>
        <v>1544.3793366202269</v>
      </c>
      <c r="BG101" s="74">
        <f t="shared" ca="1" si="194"/>
        <v>1370.5401342474561</v>
      </c>
      <c r="BH101" s="74">
        <f ca="1">-BH100*BH90</f>
        <v>1238.2177007043513</v>
      </c>
      <c r="BI101" s="76">
        <f ca="1">-BI100*BI90</f>
        <v>1342.1991886159788</v>
      </c>
    </row>
    <row r="102" spans="1:61">
      <c r="A102" s="1" t="s">
        <v>48</v>
      </c>
      <c r="B102" s="74"/>
      <c r="C102" s="74"/>
      <c r="D102" s="74"/>
      <c r="E102" s="74"/>
      <c r="F102" s="76"/>
      <c r="G102" s="74"/>
      <c r="H102" s="74"/>
      <c r="I102" s="74"/>
      <c r="J102" s="74"/>
      <c r="K102" s="76"/>
      <c r="L102" s="74"/>
      <c r="M102" s="74"/>
      <c r="N102" s="74"/>
      <c r="O102" s="74"/>
      <c r="P102" s="76"/>
      <c r="Q102" s="74"/>
      <c r="R102" s="74"/>
      <c r="S102" s="74"/>
      <c r="T102" s="74"/>
      <c r="U102" s="76"/>
      <c r="V102" s="74"/>
      <c r="W102" s="74"/>
      <c r="X102" s="74"/>
      <c r="Y102" s="74"/>
      <c r="Z102" s="76"/>
      <c r="AA102" s="74"/>
      <c r="AB102" s="74"/>
      <c r="AC102" s="74"/>
      <c r="AD102" s="74"/>
      <c r="AE102" s="76"/>
      <c r="AF102" s="74"/>
      <c r="AG102" s="74"/>
      <c r="AH102" s="74"/>
      <c r="AI102" s="74">
        <f ca="1">AI99+AI101</f>
        <v>-2914.9244444444448</v>
      </c>
      <c r="AJ102" s="76">
        <f ca="1">AJ99+AJ101</f>
        <v>-1743.206055700256</v>
      </c>
      <c r="AK102" s="74"/>
      <c r="AL102" s="74"/>
      <c r="AM102" s="74"/>
      <c r="AN102" s="74"/>
      <c r="AO102" s="76"/>
      <c r="AP102" s="74"/>
      <c r="AQ102" s="74">
        <f t="shared" ref="AQ102:AR102" ca="1" si="195">AQ99+AQ101</f>
        <v>-1267.1555555555551</v>
      </c>
      <c r="AR102" s="74">
        <f t="shared" ca="1" si="195"/>
        <v>-1541.6488888888889</v>
      </c>
      <c r="AS102" s="74">
        <f ca="1">AS99+AS101</f>
        <v>-1342.1022222222221</v>
      </c>
      <c r="AT102" s="76">
        <f ca="1">AT99+AT101</f>
        <v>-1602.3306829251464</v>
      </c>
      <c r="AU102" s="74"/>
      <c r="AV102" s="74"/>
      <c r="AW102" s="74">
        <f t="shared" ref="AW102" ca="1" si="196">AW99+AW101</f>
        <v>-3468.6711111111108</v>
      </c>
      <c r="AX102" s="74">
        <f ca="1">AX99+AX101</f>
        <v>-2463.844444444444</v>
      </c>
      <c r="AY102" s="76">
        <f ca="1">AY99+AY101</f>
        <v>-2074.3644444444453</v>
      </c>
      <c r="AZ102" s="74">
        <f t="shared" ref="AZ102:BB102" ca="1" si="197">AZ99+AZ101</f>
        <v>-1006.5066666666662</v>
      </c>
      <c r="BA102" s="74">
        <f t="shared" ca="1" si="197"/>
        <v>-1332.4266666666665</v>
      </c>
      <c r="BB102" s="74">
        <f t="shared" ca="1" si="197"/>
        <v>-3069.4222222222224</v>
      </c>
      <c r="BC102" s="74">
        <f ca="1">BC99+BC101</f>
        <v>2133.568888888889</v>
      </c>
      <c r="BD102" s="76">
        <f ca="1">BD99+BD101</f>
        <v>-761.44444444444434</v>
      </c>
      <c r="BE102" s="74">
        <f t="shared" ref="BE102:BG102" ca="1" si="198">BE99+BE101</f>
        <v>-1130.0758218883757</v>
      </c>
      <c r="BF102" s="74">
        <f t="shared" ca="1" si="198"/>
        <v>-1029.5862244134844</v>
      </c>
      <c r="BG102" s="74">
        <f t="shared" ca="1" si="198"/>
        <v>-913.69342283163769</v>
      </c>
      <c r="BH102" s="74">
        <f ca="1">BH99+BH101</f>
        <v>-825.4784671362338</v>
      </c>
      <c r="BI102" s="76">
        <f ca="1">BI99+BI101</f>
        <v>-894.79945907731894</v>
      </c>
    </row>
    <row r="103" spans="1:61">
      <c r="A103" s="1" t="s">
        <v>119</v>
      </c>
      <c r="B103" s="74"/>
      <c r="C103" s="74"/>
      <c r="D103" s="74"/>
      <c r="E103" s="74"/>
      <c r="F103" s="76"/>
      <c r="G103" s="74"/>
      <c r="H103" s="74"/>
      <c r="I103" s="74"/>
      <c r="J103" s="74"/>
      <c r="K103" s="76"/>
      <c r="L103" s="74"/>
      <c r="M103" s="74"/>
      <c r="N103" s="74"/>
      <c r="O103" s="74"/>
      <c r="P103" s="76"/>
      <c r="Q103" s="74"/>
      <c r="R103" s="74"/>
      <c r="S103" s="74"/>
      <c r="T103" s="74"/>
      <c r="U103" s="76"/>
      <c r="V103" s="74"/>
      <c r="W103" s="74"/>
      <c r="X103" s="74"/>
      <c r="Y103" s="74"/>
      <c r="Z103" s="76"/>
      <c r="AA103" s="74"/>
      <c r="AB103" s="74"/>
      <c r="AC103" s="74"/>
      <c r="AD103" s="74"/>
      <c r="AE103" s="76"/>
      <c r="AF103" s="74"/>
      <c r="AG103" s="74"/>
      <c r="AH103" s="74"/>
      <c r="AI103" s="74">
        <f ca="1">-AI102*AI104</f>
        <v>612.13413333333335</v>
      </c>
      <c r="AJ103" s="76">
        <f ca="1">-AJ102*AJ104</f>
        <v>366.07327169705377</v>
      </c>
      <c r="AK103" s="74"/>
      <c r="AL103" s="74"/>
      <c r="AM103" s="74"/>
      <c r="AN103" s="74"/>
      <c r="AO103" s="76"/>
      <c r="AP103" s="74"/>
      <c r="AQ103" s="74">
        <f t="shared" ref="AQ103:AR103" ca="1" si="199">-AQ102*AQ104</f>
        <v>266.10266666666655</v>
      </c>
      <c r="AR103" s="74">
        <f t="shared" ca="1" si="199"/>
        <v>323.74626666666666</v>
      </c>
      <c r="AS103" s="74">
        <f ca="1">-AS102*AS104</f>
        <v>281.84146666666663</v>
      </c>
      <c r="AT103" s="76">
        <f ca="1">-AT102*AT104</f>
        <v>336.48944341428074</v>
      </c>
      <c r="AU103" s="74"/>
      <c r="AV103" s="74"/>
      <c r="AW103" s="74">
        <f t="shared" ref="AW103" ca="1" si="200">-AW102*AW104</f>
        <v>728.42093333333321</v>
      </c>
      <c r="AX103" s="74">
        <f ca="1">-AX102*AX104</f>
        <v>517.40733333333321</v>
      </c>
      <c r="AY103" s="76">
        <f ca="1">-AY102*AY104</f>
        <v>435.61653333333351</v>
      </c>
      <c r="AZ103" s="74">
        <f t="shared" ref="AZ103:BB103" ca="1" si="201">-AZ102*AZ104</f>
        <v>211.36639999999989</v>
      </c>
      <c r="BA103" s="74">
        <f t="shared" ca="1" si="201"/>
        <v>279.80959999999993</v>
      </c>
      <c r="BB103" s="74">
        <f t="shared" ca="1" si="201"/>
        <v>644.57866666666666</v>
      </c>
      <c r="BC103" s="74">
        <f ca="1">-BC102*BC104</f>
        <v>-448.04946666666666</v>
      </c>
      <c r="BD103" s="76">
        <f ca="1">-BD102*BD104</f>
        <v>159.90333333333331</v>
      </c>
      <c r="BE103" s="74">
        <f t="shared" ref="BE103:BG103" ca="1" si="202">-BE102*BE104</f>
        <v>237.31592259655889</v>
      </c>
      <c r="BF103" s="74">
        <f t="shared" ca="1" si="202"/>
        <v>216.21310712683172</v>
      </c>
      <c r="BG103" s="74">
        <f t="shared" ca="1" si="202"/>
        <v>191.87561879464391</v>
      </c>
      <c r="BH103" s="74">
        <f ca="1">-BH102*BH104</f>
        <v>173.3504780986091</v>
      </c>
      <c r="BI103" s="76">
        <f ca="1">-BI102*BI104</f>
        <v>187.90788640623697</v>
      </c>
    </row>
    <row r="104" spans="1:61">
      <c r="A104" s="1" t="s">
        <v>118</v>
      </c>
      <c r="B104" s="138"/>
      <c r="C104" s="138"/>
      <c r="D104" s="138"/>
      <c r="E104" s="138"/>
      <c r="F104" s="142"/>
      <c r="G104" s="138"/>
      <c r="H104" s="138"/>
      <c r="I104" s="138"/>
      <c r="J104" s="138"/>
      <c r="K104" s="142"/>
      <c r="L104" s="138"/>
      <c r="M104" s="138"/>
      <c r="N104" s="138"/>
      <c r="O104" s="138"/>
      <c r="P104" s="142"/>
      <c r="Q104" s="138"/>
      <c r="R104" s="138"/>
      <c r="S104" s="138"/>
      <c r="T104" s="138"/>
      <c r="U104" s="142"/>
      <c r="V104" s="138"/>
      <c r="W104" s="138"/>
      <c r="X104" s="138"/>
      <c r="Y104" s="138"/>
      <c r="Z104" s="142"/>
      <c r="AA104" s="138"/>
      <c r="AB104" s="138"/>
      <c r="AC104" s="138"/>
      <c r="AD104" s="138"/>
      <c r="AE104" s="142"/>
      <c r="AF104" s="138"/>
      <c r="AG104" s="138"/>
      <c r="AH104" s="138"/>
      <c r="AI104" s="138">
        <v>0.21</v>
      </c>
      <c r="AJ104" s="142">
        <v>0.21</v>
      </c>
      <c r="AK104" s="138"/>
      <c r="AL104" s="138"/>
      <c r="AM104" s="138"/>
      <c r="AN104" s="138"/>
      <c r="AO104" s="142"/>
      <c r="AP104" s="138"/>
      <c r="AQ104" s="138">
        <v>0.21</v>
      </c>
      <c r="AR104" s="138">
        <v>0.21</v>
      </c>
      <c r="AS104" s="138">
        <v>0.21</v>
      </c>
      <c r="AT104" s="142">
        <v>0.21</v>
      </c>
      <c r="AU104" s="138"/>
      <c r="AV104" s="138"/>
      <c r="AW104" s="138">
        <f t="shared" ref="AW104:AX104" si="203">$AY104</f>
        <v>0.21</v>
      </c>
      <c r="AX104" s="138">
        <f t="shared" si="203"/>
        <v>0.21</v>
      </c>
      <c r="AY104" s="142">
        <v>0.21</v>
      </c>
      <c r="AZ104" s="138">
        <f t="shared" ref="AZ104:BB104" si="204">$BD104</f>
        <v>0.21</v>
      </c>
      <c r="BA104" s="138">
        <f t="shared" si="204"/>
        <v>0.21</v>
      </c>
      <c r="BB104" s="138">
        <f t="shared" si="204"/>
        <v>0.21</v>
      </c>
      <c r="BC104" s="138">
        <f>$BD104</f>
        <v>0.21</v>
      </c>
      <c r="BD104" s="142">
        <v>0.21</v>
      </c>
      <c r="BE104" s="138">
        <f t="shared" ref="BE104:BG104" si="205">$BD104</f>
        <v>0.21</v>
      </c>
      <c r="BF104" s="138">
        <f t="shared" si="205"/>
        <v>0.21</v>
      </c>
      <c r="BG104" s="138">
        <f t="shared" si="205"/>
        <v>0.21</v>
      </c>
      <c r="BH104" s="138">
        <f>$BD104</f>
        <v>0.21</v>
      </c>
      <c r="BI104" s="142">
        <v>0.21</v>
      </c>
    </row>
    <row r="105" spans="1:61">
      <c r="A105" s="1" t="s">
        <v>116</v>
      </c>
      <c r="B105" s="74"/>
      <c r="C105" s="74"/>
      <c r="D105" s="74"/>
      <c r="E105" s="74"/>
      <c r="F105" s="76"/>
      <c r="G105" s="74"/>
      <c r="H105" s="74"/>
      <c r="I105" s="74"/>
      <c r="J105" s="74"/>
      <c r="K105" s="76"/>
      <c r="L105" s="74"/>
      <c r="M105" s="74"/>
      <c r="N105" s="74"/>
      <c r="O105" s="74"/>
      <c r="P105" s="76"/>
      <c r="Q105" s="74"/>
      <c r="R105" s="74"/>
      <c r="S105" s="74"/>
      <c r="T105" s="74"/>
      <c r="U105" s="76"/>
      <c r="V105" s="74"/>
      <c r="W105" s="74"/>
      <c r="X105" s="74"/>
      <c r="Y105" s="74"/>
      <c r="Z105" s="76"/>
      <c r="AA105" s="74"/>
      <c r="AB105" s="74"/>
      <c r="AC105" s="74"/>
      <c r="AD105" s="74"/>
      <c r="AE105" s="76"/>
      <c r="AF105" s="74"/>
      <c r="AG105" s="74"/>
      <c r="AH105" s="74"/>
      <c r="AI105" s="74">
        <f ca="1">AI102+AI103</f>
        <v>-2302.7903111111114</v>
      </c>
      <c r="AJ105" s="76">
        <f ca="1">AJ102+AJ103</f>
        <v>-1377.1327840032022</v>
      </c>
      <c r="AK105" s="74"/>
      <c r="AL105" s="74"/>
      <c r="AM105" s="74"/>
      <c r="AN105" s="74"/>
      <c r="AO105" s="76"/>
      <c r="AP105" s="74"/>
      <c r="AQ105" s="74">
        <f t="shared" ref="AQ105:AR105" ca="1" si="206">AQ102+AQ103</f>
        <v>-1001.0528888888886</v>
      </c>
      <c r="AR105" s="74">
        <f t="shared" ca="1" si="206"/>
        <v>-1217.9026222222224</v>
      </c>
      <c r="AS105" s="74">
        <f ca="1">AS102+AS103</f>
        <v>-1060.2607555555555</v>
      </c>
      <c r="AT105" s="76">
        <f ca="1">AT102+AT103</f>
        <v>-1265.8412395108658</v>
      </c>
      <c r="AU105" s="74"/>
      <c r="AV105" s="74"/>
      <c r="AW105" s="74">
        <f t="shared" ref="AW105" ca="1" si="207">AW102+AW103</f>
        <v>-2740.2501777777775</v>
      </c>
      <c r="AX105" s="74">
        <f ca="1">AX102+AX103</f>
        <v>-1946.4371111111109</v>
      </c>
      <c r="AY105" s="76">
        <f ca="1">AY102+AY103</f>
        <v>-1638.7479111111118</v>
      </c>
      <c r="AZ105" s="74">
        <f t="shared" ref="AZ105:BB105" ca="1" si="208">AZ102+AZ103</f>
        <v>-795.14026666666632</v>
      </c>
      <c r="BA105" s="74">
        <f t="shared" ca="1" si="208"/>
        <v>-1052.6170666666667</v>
      </c>
      <c r="BB105" s="74">
        <f t="shared" ca="1" si="208"/>
        <v>-2424.8435555555557</v>
      </c>
      <c r="BC105" s="74">
        <f ca="1">BC102+BC103</f>
        <v>1685.5194222222224</v>
      </c>
      <c r="BD105" s="76">
        <f ca="1">BD102+BD103</f>
        <v>-601.54111111111104</v>
      </c>
      <c r="BE105" s="74">
        <f t="shared" ref="BE105:BG105" ca="1" si="209">BE102+BE103</f>
        <v>-892.75989929181674</v>
      </c>
      <c r="BF105" s="74">
        <f t="shared" ca="1" si="209"/>
        <v>-813.3731172866527</v>
      </c>
      <c r="BG105" s="74">
        <f t="shared" ca="1" si="209"/>
        <v>-721.81780403699372</v>
      </c>
      <c r="BH105" s="74">
        <f ca="1">BH102+BH103</f>
        <v>-652.12798903762473</v>
      </c>
      <c r="BI105" s="76">
        <f ca="1">BI102+BI103</f>
        <v>-706.89157267108203</v>
      </c>
    </row>
    <row r="106" spans="1:61">
      <c r="A106" s="141" t="s">
        <v>117</v>
      </c>
      <c r="B106" s="47"/>
      <c r="C106" s="47"/>
      <c r="D106" s="47"/>
      <c r="E106" s="47"/>
      <c r="F106" s="48"/>
      <c r="G106" s="47"/>
      <c r="H106" s="47"/>
      <c r="I106" s="47"/>
      <c r="J106" s="47"/>
      <c r="K106" s="48"/>
      <c r="L106" s="47"/>
      <c r="M106" s="47"/>
      <c r="N106" s="47"/>
      <c r="O106" s="47"/>
      <c r="P106" s="48"/>
      <c r="Q106" s="47"/>
      <c r="R106" s="47"/>
      <c r="S106" s="47"/>
      <c r="T106" s="47"/>
      <c r="U106" s="48"/>
      <c r="V106" s="47"/>
      <c r="W106" s="47"/>
      <c r="X106" s="47"/>
      <c r="Y106" s="47"/>
      <c r="Z106" s="48"/>
      <c r="AA106" s="47"/>
      <c r="AB106" s="47"/>
      <c r="AC106" s="47"/>
      <c r="AD106" s="47"/>
      <c r="AE106" s="48"/>
      <c r="AF106" s="47"/>
      <c r="AG106" s="47"/>
      <c r="AH106" s="47"/>
      <c r="AI106" s="47">
        <f ca="1">AI105/Income_Statement_Qtr!AI79</f>
        <v>-3.9010508404389488</v>
      </c>
      <c r="AJ106" s="48">
        <f ca="1">AJ105/Income_Statement_Qtr!AJ79</f>
        <v>-2.3399732959571855</v>
      </c>
      <c r="AK106" s="47"/>
      <c r="AL106" s="47"/>
      <c r="AM106" s="47"/>
      <c r="AN106" s="47"/>
      <c r="AO106" s="48"/>
      <c r="AP106" s="47"/>
      <c r="AQ106" s="47">
        <f ca="1">AQ105/Income_Statement_Qtr!AQ79</f>
        <v>-1.6532665382145146</v>
      </c>
      <c r="AR106" s="47">
        <f ca="1">AR105/Income_Statement_Qtr!AR79</f>
        <v>-2.005768481920656</v>
      </c>
      <c r="AS106" s="47">
        <f ca="1">AS105/Income_Statement_Qtr!AS79</f>
        <v>-1.7395582535776137</v>
      </c>
      <c r="AT106" s="48">
        <f ca="1">AT105/Income_Statement_Qtr!AT79</f>
        <v>-2.08824388915885</v>
      </c>
      <c r="AU106" s="47"/>
      <c r="AV106" s="47"/>
      <c r="AW106" s="47">
        <f ca="1">AW105/Income_Statement_Qtr!AW79</f>
        <v>-4.4283293112116642</v>
      </c>
      <c r="AX106" s="47">
        <f ca="1">AX105/Income_Statement_Qtr!AX79</f>
        <v>-2.7105376843212796</v>
      </c>
      <c r="AY106" s="48">
        <f ca="1">AY105/Income_Statement_Qtr!AY79</f>
        <v>-2.5320579590715568</v>
      </c>
      <c r="AZ106" s="47">
        <f ca="1">AZ105/Income_Statement_Qtr!AZ79</f>
        <v>-1.0554025307494908</v>
      </c>
      <c r="BA106" s="47">
        <f ca="1">BA105/Income_Statement_Qtr!BA79</f>
        <v>-1.3912464534320204</v>
      </c>
      <c r="BB106" s="47">
        <f ca="1">BB105/Income_Statement_Qtr!BB79</f>
        <v>-3.1910034946118642</v>
      </c>
      <c r="BC106" s="47">
        <f ca="1">BC105/Income_Statement_Qtr!BC79</f>
        <v>2.0969388183904236</v>
      </c>
      <c r="BD106" s="48">
        <f ca="1">BD105/Income_Statement_Qtr!BD79</f>
        <v>-0.7891133557800224</v>
      </c>
      <c r="BE106" s="47">
        <f ca="1">BE105/Income_Statement_Qtr!BE79</f>
        <v>-1.110674171798727</v>
      </c>
      <c r="BF106" s="47">
        <f ca="1">BF105/Income_Statement_Qtr!BF79</f>
        <v>-1.0119098249398517</v>
      </c>
      <c r="BG106" s="47">
        <f ca="1">BG105/Income_Statement_Qtr!BG79</f>
        <v>-0.89800672311146279</v>
      </c>
      <c r="BH106" s="47">
        <f ca="1">BH105/Income_Statement_Qtr!BH79</f>
        <v>-0.81130628146009554</v>
      </c>
      <c r="BI106" s="48">
        <f ca="1">BI105/Income_Statement_Qtr!BI79</f>
        <v>-0.87943713942657631</v>
      </c>
    </row>
    <row r="107" spans="1:61">
      <c r="A107" s="1" t="s">
        <v>125</v>
      </c>
      <c r="B107" s="35"/>
      <c r="C107" s="35"/>
      <c r="D107" s="35"/>
      <c r="E107" s="35"/>
      <c r="F107" s="36"/>
      <c r="G107" s="35"/>
      <c r="H107" s="35"/>
      <c r="I107" s="35"/>
      <c r="J107" s="35"/>
      <c r="K107" s="36"/>
      <c r="L107" s="35"/>
      <c r="M107" s="35"/>
      <c r="N107" s="35"/>
      <c r="O107" s="35"/>
      <c r="P107" s="36"/>
      <c r="Q107" s="35"/>
      <c r="R107" s="35"/>
      <c r="S107" s="35"/>
      <c r="T107" s="35"/>
      <c r="U107" s="36"/>
      <c r="V107" s="35"/>
      <c r="W107" s="35"/>
      <c r="X107" s="35"/>
      <c r="Y107" s="35"/>
      <c r="Z107" s="36"/>
      <c r="AA107" s="35"/>
      <c r="AB107" s="35"/>
      <c r="AC107" s="35"/>
      <c r="AD107" s="35"/>
      <c r="AE107" s="36"/>
      <c r="AF107" s="35"/>
      <c r="AG107" s="35"/>
      <c r="AH107" s="35"/>
      <c r="AI107" s="35">
        <f ca="1">AI106/Income_Statement_Qtr!AI70/4</f>
        <v>0.13895669268109528</v>
      </c>
      <c r="AJ107" s="36">
        <f ca="1">AJ106/Income_Statement_Qtr!AJ70</f>
        <v>0.32773269490794915</v>
      </c>
      <c r="AK107" s="35"/>
      <c r="AL107" s="35"/>
      <c r="AM107" s="35"/>
      <c r="AN107" s="35"/>
      <c r="AO107" s="36"/>
      <c r="AP107" s="35"/>
      <c r="AQ107" s="35">
        <f ca="1">AQ106/Income_Statement_Qtr!AQ70/4</f>
        <v>1.6796189410887392</v>
      </c>
      <c r="AR107" s="35">
        <f ca="1">AR106/Income_Statement_Qtr!AR70/4</f>
        <v>0.18610981390926382</v>
      </c>
      <c r="AS107" s="35">
        <f ca="1">AS106/Income_Statement_Qtr!AS70/4</f>
        <v>11.524573429951692</v>
      </c>
      <c r="AT107" s="36">
        <f ca="1">AT106/Income_Statement_Qtr!AT70</f>
        <v>0.56963425412243085</v>
      </c>
      <c r="AU107" s="35"/>
      <c r="AV107" s="35"/>
      <c r="AW107" s="35">
        <f ca="1">AW106/Income_Statement_Qtr!AW70/4</f>
        <v>0.1110312065550153</v>
      </c>
      <c r="AX107" s="35">
        <f ca="1">AX106/Income_Statement_Qtr!AX70/4</f>
        <v>0.1240400912000453</v>
      </c>
      <c r="AY107" s="36">
        <f ca="1">AY106/Income_Statement_Qtr!AY70</f>
        <v>0.13799982409356729</v>
      </c>
      <c r="AZ107" s="35">
        <f ca="1">AZ106/Income_Statement_Qtr!AZ70/4</f>
        <v>1.6161387533875331</v>
      </c>
      <c r="BA107" s="35">
        <f ca="1">BA106/Income_Statement_Qtr!BA70/4</f>
        <v>0.37755274988043996</v>
      </c>
      <c r="BB107" s="35">
        <f ca="1">BB106/Income_Statement_Qtr!BB70/4</f>
        <v>0.1117645444116683</v>
      </c>
      <c r="BC107" s="35">
        <f ca="1">BC106/Income_Statement_Qtr!BC70/4</f>
        <v>5.1804752342704159E-2</v>
      </c>
      <c r="BD107" s="36">
        <f ca="1">BD106/Income_Statement_Qtr!BD70</f>
        <v>-0.31827572016460903</v>
      </c>
      <c r="BE107" s="35">
        <f ca="1">BE106/Income_Statement_Qtr!BE70/4</f>
        <v>0.69320887185037472</v>
      </c>
      <c r="BF107" s="35">
        <f ca="1">BF106/Income_Statement_Qtr!BF70/4</f>
        <v>4.6944669052683192</v>
      </c>
      <c r="BG107" s="35">
        <f ca="1">BG106/Income_Statement_Qtr!BG70/4</f>
        <v>-1.1689734294517915</v>
      </c>
      <c r="BH107" s="35">
        <f ca="1">BH106/Income_Statement_Qtr!BH70/4</f>
        <v>-0.47954413840359</v>
      </c>
      <c r="BI107" s="36">
        <f ca="1">BI106/Income_Statement_Qtr!BI70</f>
        <v>-5.4771915654471925</v>
      </c>
    </row>
    <row r="108" spans="1:61">
      <c r="A108" s="1"/>
      <c r="B108" s="134"/>
      <c r="C108" s="134"/>
      <c r="D108" s="134"/>
      <c r="E108" s="134"/>
      <c r="F108" s="135"/>
      <c r="G108" s="134"/>
      <c r="H108" s="134"/>
      <c r="I108" s="134"/>
      <c r="J108" s="134"/>
      <c r="K108" s="135"/>
      <c r="L108" s="134"/>
      <c r="M108" s="134"/>
      <c r="N108" s="134"/>
      <c r="O108" s="134"/>
      <c r="P108" s="135"/>
      <c r="Q108" s="134"/>
      <c r="R108" s="134"/>
      <c r="S108" s="134"/>
      <c r="T108" s="134"/>
      <c r="U108" s="135"/>
      <c r="V108" s="134"/>
      <c r="W108" s="134"/>
      <c r="X108" s="134"/>
      <c r="Y108" s="134"/>
      <c r="Z108" s="135"/>
      <c r="AA108" s="134"/>
      <c r="AB108" s="134"/>
      <c r="AC108" s="134"/>
      <c r="AD108" s="134"/>
      <c r="AE108" s="135"/>
      <c r="AF108" s="134"/>
      <c r="AG108" s="134"/>
      <c r="AH108" s="134"/>
      <c r="AI108" s="134"/>
      <c r="AJ108" s="135"/>
      <c r="AK108" s="134"/>
      <c r="AL108" s="134"/>
      <c r="AM108" s="134"/>
      <c r="AN108" s="134"/>
      <c r="AO108" s="135"/>
      <c r="AP108" s="134"/>
      <c r="AQ108" s="134"/>
      <c r="AR108" s="134"/>
      <c r="AS108" s="134"/>
      <c r="AT108" s="135"/>
      <c r="AU108" s="134"/>
      <c r="AV108" s="134"/>
      <c r="AW108" s="134"/>
      <c r="AX108" s="134"/>
      <c r="AY108" s="135"/>
      <c r="AZ108" s="134"/>
      <c r="BA108" s="134"/>
      <c r="BB108" s="134"/>
      <c r="BC108" s="134"/>
      <c r="BD108" s="135"/>
      <c r="BE108" s="134"/>
      <c r="BF108" s="134"/>
      <c r="BG108" s="134"/>
      <c r="BH108" s="134"/>
      <c r="BI108" s="135"/>
    </row>
    <row r="109" spans="1:61">
      <c r="A109" s="113" t="s">
        <v>126</v>
      </c>
      <c r="B109" s="139"/>
      <c r="C109" s="139"/>
      <c r="D109" s="139"/>
      <c r="E109" s="139"/>
      <c r="F109" s="140"/>
      <c r="G109" s="139"/>
      <c r="H109" s="139"/>
      <c r="I109" s="139"/>
      <c r="J109" s="139"/>
      <c r="K109" s="140"/>
      <c r="L109" s="139"/>
      <c r="M109" s="139"/>
      <c r="N109" s="139"/>
      <c r="O109" s="139"/>
      <c r="P109" s="140"/>
      <c r="Q109" s="139"/>
      <c r="R109" s="139"/>
      <c r="S109" s="139"/>
      <c r="T109" s="139"/>
      <c r="U109" s="140"/>
      <c r="V109" s="139"/>
      <c r="W109" s="139"/>
      <c r="X109" s="139"/>
      <c r="Y109" s="139"/>
      <c r="Z109" s="140"/>
      <c r="AA109" s="139"/>
      <c r="AB109" s="139"/>
      <c r="AC109" s="139"/>
      <c r="AD109" s="139"/>
      <c r="AE109" s="140"/>
      <c r="AF109" s="139"/>
      <c r="AG109" s="139"/>
      <c r="AH109" s="139"/>
      <c r="AI109" s="139"/>
      <c r="AJ109" s="140"/>
      <c r="AK109" s="139"/>
      <c r="AL109" s="139"/>
      <c r="AM109" s="139"/>
      <c r="AN109" s="139"/>
      <c r="AO109" s="140"/>
      <c r="AP109" s="139"/>
      <c r="AQ109" s="139"/>
      <c r="AR109" s="139"/>
      <c r="AS109" s="139"/>
      <c r="AT109" s="140"/>
      <c r="AU109" s="139"/>
      <c r="AV109" s="139"/>
      <c r="AW109" s="139"/>
      <c r="AX109" s="139"/>
      <c r="AY109" s="140"/>
      <c r="AZ109" s="139"/>
      <c r="BA109" s="139"/>
      <c r="BB109" s="139"/>
      <c r="BC109" s="139"/>
      <c r="BD109" s="140"/>
      <c r="BE109" s="139"/>
      <c r="BF109" s="139"/>
      <c r="BG109" s="139"/>
      <c r="BH109" s="139"/>
      <c r="BI109" s="140"/>
    </row>
    <row r="110" spans="1:61">
      <c r="A110" s="1" t="s">
        <v>110</v>
      </c>
      <c r="B110" s="74"/>
      <c r="C110" s="74"/>
      <c r="D110" s="74"/>
      <c r="E110" s="74"/>
      <c r="F110" s="76"/>
      <c r="G110" s="74"/>
      <c r="H110" s="74"/>
      <c r="I110" s="74"/>
      <c r="J110" s="74"/>
      <c r="K110" s="76"/>
      <c r="L110" s="74"/>
      <c r="M110" s="74"/>
      <c r="N110" s="74"/>
      <c r="O110" s="74"/>
      <c r="P110" s="76"/>
      <c r="Q110" s="74"/>
      <c r="R110" s="74"/>
      <c r="S110" s="74"/>
      <c r="T110" s="74"/>
      <c r="U110" s="76"/>
      <c r="V110" s="74"/>
      <c r="W110" s="74"/>
      <c r="X110" s="74"/>
      <c r="Y110" s="74"/>
      <c r="Z110" s="76"/>
      <c r="AA110" s="74"/>
      <c r="AB110" s="74"/>
      <c r="AC110" s="74"/>
      <c r="AD110" s="74"/>
      <c r="AE110" s="76"/>
      <c r="AF110" s="74"/>
      <c r="AG110" s="74"/>
      <c r="AH110" s="74"/>
      <c r="AI110" s="74">
        <f>AI5</f>
        <v>8052</v>
      </c>
      <c r="AJ110" s="76">
        <f>AJ5</f>
        <v>8052</v>
      </c>
      <c r="AK110" s="74"/>
      <c r="AL110" s="74"/>
      <c r="AM110" s="74"/>
      <c r="AN110" s="74"/>
      <c r="AO110" s="76"/>
      <c r="AP110" s="74"/>
      <c r="AQ110" s="74">
        <f t="shared" ref="AQ110:AR110" si="210">AQ5</f>
        <v>7254</v>
      </c>
      <c r="AR110" s="74">
        <f t="shared" si="210"/>
        <v>6811</v>
      </c>
      <c r="AS110" s="74">
        <f>AS4</f>
        <v>0</v>
      </c>
      <c r="AT110" s="76">
        <f>AT4</f>
        <v>0</v>
      </c>
      <c r="AU110" s="74"/>
      <c r="AV110" s="74"/>
      <c r="AW110" s="74">
        <f t="shared" ref="AW110" si="211">AW5</f>
        <v>9961</v>
      </c>
      <c r="AX110" s="74">
        <f>AX5</f>
        <v>13801</v>
      </c>
      <c r="AY110" s="76">
        <f>AY5</f>
        <v>13801</v>
      </c>
      <c r="AZ110" s="74">
        <f t="shared" ref="AZ110:BB110" si="212">AZ5</f>
        <v>10142</v>
      </c>
      <c r="BA110" s="74">
        <f t="shared" si="212"/>
        <v>7087</v>
      </c>
      <c r="BB110" s="74">
        <f t="shared" si="212"/>
        <v>6173</v>
      </c>
      <c r="BC110" s="74">
        <f>BC5</f>
        <v>10921</v>
      </c>
      <c r="BD110" s="76">
        <f>BD5</f>
        <v>10921</v>
      </c>
      <c r="BE110" s="74">
        <f t="shared" ref="BE110:BG110" ca="1" si="213">BE5</f>
        <v>8838.991111964413</v>
      </c>
      <c r="BF110" s="74">
        <f t="shared" ca="1" si="213"/>
        <v>5662.2054580574504</v>
      </c>
      <c r="BG110" s="74">
        <f t="shared" ca="1" si="213"/>
        <v>5412.9935800733401</v>
      </c>
      <c r="BH110" s="74">
        <f ca="1">BH5</f>
        <v>8329.4025496080467</v>
      </c>
      <c r="BI110" s="76">
        <f ca="1">BI5</f>
        <v>8329.4025496080467</v>
      </c>
    </row>
    <row r="111" spans="1:61">
      <c r="A111" s="1" t="s">
        <v>111</v>
      </c>
      <c r="B111" s="74"/>
      <c r="C111" s="74"/>
      <c r="D111" s="74"/>
      <c r="E111" s="74"/>
      <c r="F111" s="76"/>
      <c r="G111" s="74"/>
      <c r="H111" s="74"/>
      <c r="I111" s="74"/>
      <c r="J111" s="74"/>
      <c r="K111" s="76"/>
      <c r="L111" s="74"/>
      <c r="M111" s="74"/>
      <c r="N111" s="74"/>
      <c r="O111" s="74"/>
      <c r="P111" s="76"/>
      <c r="Q111" s="74"/>
      <c r="R111" s="74"/>
      <c r="S111" s="74"/>
      <c r="T111" s="74"/>
      <c r="U111" s="76"/>
      <c r="V111" s="74"/>
      <c r="W111" s="74"/>
      <c r="X111" s="74"/>
      <c r="Y111" s="74"/>
      <c r="Z111" s="76"/>
      <c r="AA111" s="74"/>
      <c r="AB111" s="74"/>
      <c r="AC111" s="74"/>
      <c r="AD111" s="74"/>
      <c r="AE111" s="76"/>
      <c r="AF111" s="74"/>
      <c r="AG111" s="74"/>
      <c r="AH111" s="74"/>
      <c r="AI111" s="74">
        <f>(Income_Statement_Qtr!AI97*4)*AI113+(Balance_Sheet_Qtr!AI110-AI82)</f>
        <v>-93694</v>
      </c>
      <c r="AJ111" s="76">
        <f>(Income_Statement_Qtr!AJ97)*AJ113+(Balance_Sheet_Qtr!AJ110-AJ82)</f>
        <v>-52726.417622154935</v>
      </c>
      <c r="AK111" s="74"/>
      <c r="AL111" s="74"/>
      <c r="AM111" s="74"/>
      <c r="AN111" s="74"/>
      <c r="AO111" s="76"/>
      <c r="AP111" s="74"/>
      <c r="AQ111" s="74">
        <f>(Income_Statement_Qtr!AQ97*4)*AQ113+(Balance_Sheet_Qtr!AQ110-AQ82)</f>
        <v>-40730</v>
      </c>
      <c r="AR111" s="74">
        <f>(Income_Statement_Qtr!AR97*4)*AR113+(Balance_Sheet_Qtr!AR110-AR82)</f>
        <v>-49553</v>
      </c>
      <c r="AS111" s="74">
        <f>(Income_Statement_Qtr!AS97*4)*AS113+(Balance_Sheet_Qtr!AS110-AS82)</f>
        <v>-43139</v>
      </c>
      <c r="AT111" s="76">
        <f>(Income_Statement_Qtr!AT97)*AT113+(Balance_Sheet_Qtr!AT110-AT82)</f>
        <v>-48465.387370838296</v>
      </c>
      <c r="AU111" s="74"/>
      <c r="AV111" s="74"/>
      <c r="AW111" s="74">
        <f>(Income_Statement_Qtr!AW97*4)*AW113+(Balance_Sheet_Qtr!AW110-AW82)</f>
        <v>-111493</v>
      </c>
      <c r="AX111" s="74">
        <f>(Income_Statement_Qtr!AX97*4)*AX113+(Balance_Sheet_Qtr!AX110-AX82)</f>
        <v>-79195</v>
      </c>
      <c r="AY111" s="76">
        <f>(Income_Statement_Qtr!AY97)*AY113+(Balance_Sheet_Qtr!AY110-AY82)</f>
        <v>-66676</v>
      </c>
      <c r="AZ111" s="74">
        <f>(Income_Statement_Qtr!AZ97*4)*AZ113+(Balance_Sheet_Qtr!AZ110-AZ82)</f>
        <v>-32352</v>
      </c>
      <c r="BA111" s="74">
        <f>(Income_Statement_Qtr!BA97*4)*BA113+(Balance_Sheet_Qtr!BA110-BB79)</f>
        <v>-42828</v>
      </c>
      <c r="BB111" s="74">
        <f>(Income_Statement_Qtr!BB97*4)*BB113+(Balance_Sheet_Qtr!BB110-BB82)</f>
        <v>-98660</v>
      </c>
      <c r="BC111" s="74">
        <f>(Income_Statement_Qtr!BC97*4)*BC113+(Balance_Sheet_Qtr!BC110-BC82)</f>
        <v>68579</v>
      </c>
      <c r="BD111" s="76">
        <f>(Income_Statement_Qtr!BD97)*BD113+(Balance_Sheet_Qtr!BD110-BD82)</f>
        <v>-24475</v>
      </c>
      <c r="BE111" s="74">
        <f ca="1">(Income_Statement_Qtr!BE97*4)*BE113+(Balance_Sheet_Qtr!BE110-BE82)</f>
        <v>-36323.86570355494</v>
      </c>
      <c r="BF111" s="74">
        <f ca="1">(Income_Statement_Qtr!BF97*4)*BF113+(Balance_Sheet_Qtr!BF110-BF82)</f>
        <v>-33093.84292757629</v>
      </c>
      <c r="BG111" s="74">
        <f ca="1">(Income_Statement_Qtr!BG97*4)*BG113+(Balance_Sheet_Qtr!BG110-BG82)</f>
        <v>-29368.717162445486</v>
      </c>
      <c r="BH111" s="74">
        <f ca="1">(Income_Statement_Qtr!BH97*4)*BH113+(Balance_Sheet_Qtr!BH110-BH82)</f>
        <v>-26533.236443664668</v>
      </c>
      <c r="BI111" s="76">
        <f ca="1">(Income_Statement_Qtr!BI97)*BI113+(Balance_Sheet_Qtr!BI110-BI82)</f>
        <v>-28761.411184628112</v>
      </c>
    </row>
    <row r="112" spans="1:61">
      <c r="A112" s="141" t="s">
        <v>157</v>
      </c>
      <c r="B112" s="24"/>
      <c r="C112" s="24"/>
      <c r="D112" s="24"/>
      <c r="E112" s="24"/>
      <c r="F112" s="25"/>
      <c r="G112" s="24"/>
      <c r="H112" s="24"/>
      <c r="I112" s="24"/>
      <c r="J112" s="24"/>
      <c r="K112" s="25"/>
      <c r="L112" s="24"/>
      <c r="M112" s="24"/>
      <c r="N112" s="24"/>
      <c r="O112" s="24"/>
      <c r="P112" s="25"/>
      <c r="Q112" s="24"/>
      <c r="R112" s="24"/>
      <c r="S112" s="24"/>
      <c r="T112" s="24"/>
      <c r="U112" s="25"/>
      <c r="V112" s="24"/>
      <c r="W112" s="24"/>
      <c r="X112" s="24"/>
      <c r="Y112" s="24"/>
      <c r="Z112" s="25"/>
      <c r="AA112" s="24"/>
      <c r="AB112" s="24"/>
      <c r="AC112" s="24"/>
      <c r="AD112" s="24"/>
      <c r="AE112" s="25"/>
      <c r="AF112" s="24"/>
      <c r="AG112" s="24"/>
      <c r="AH112" s="24"/>
      <c r="AI112" s="24">
        <f>AI111</f>
        <v>-93694</v>
      </c>
      <c r="AJ112" s="25">
        <f>AJ111</f>
        <v>-52726.417622154935</v>
      </c>
      <c r="AK112" s="24"/>
      <c r="AL112" s="24"/>
      <c r="AM112" s="24"/>
      <c r="AN112" s="24"/>
      <c r="AO112" s="25"/>
      <c r="AP112" s="24"/>
      <c r="AQ112" s="24">
        <f t="shared" ref="AQ112:AR112" si="214">AQ111</f>
        <v>-40730</v>
      </c>
      <c r="AR112" s="24">
        <f t="shared" si="214"/>
        <v>-49553</v>
      </c>
      <c r="AS112" s="24">
        <f>AS111</f>
        <v>-43139</v>
      </c>
      <c r="AT112" s="25">
        <f>AT111</f>
        <v>-48465.387370838296</v>
      </c>
      <c r="AU112" s="24"/>
      <c r="AV112" s="24"/>
      <c r="AW112" s="24">
        <f t="shared" ref="AW112" si="215">AW111</f>
        <v>-111493</v>
      </c>
      <c r="AX112" s="24">
        <f>AX111</f>
        <v>-79195</v>
      </c>
      <c r="AY112" s="25">
        <f>AY111</f>
        <v>-66676</v>
      </c>
      <c r="AZ112" s="24">
        <f t="shared" ref="AZ112:BB112" si="216">AZ111</f>
        <v>-32352</v>
      </c>
      <c r="BA112" s="24">
        <f t="shared" si="216"/>
        <v>-42828</v>
      </c>
      <c r="BB112" s="24">
        <f t="shared" si="216"/>
        <v>-98660</v>
      </c>
      <c r="BC112" s="24">
        <f>BC111</f>
        <v>68579</v>
      </c>
      <c r="BD112" s="25">
        <f>BD111</f>
        <v>-24475</v>
      </c>
      <c r="BE112" s="24">
        <f t="shared" ref="BE112:BG112" ca="1" si="217">BE111</f>
        <v>-36323.86570355494</v>
      </c>
      <c r="BF112" s="24">
        <f t="shared" ca="1" si="217"/>
        <v>-33093.84292757629</v>
      </c>
      <c r="BG112" s="24">
        <f t="shared" ca="1" si="217"/>
        <v>-29368.717162445486</v>
      </c>
      <c r="BH112" s="24">
        <f ca="1">BH111</f>
        <v>-26533.236443664668</v>
      </c>
      <c r="BI112" s="25">
        <f ca="1">BI111</f>
        <v>-28761.411184628112</v>
      </c>
    </row>
    <row r="113" spans="1:61">
      <c r="A113" s="1" t="s">
        <v>159</v>
      </c>
      <c r="B113" s="136"/>
      <c r="C113" s="136"/>
      <c r="D113" s="136"/>
      <c r="E113" s="136"/>
      <c r="F113" s="137"/>
      <c r="G113" s="136"/>
      <c r="H113" s="136"/>
      <c r="I113" s="136"/>
      <c r="J113" s="136"/>
      <c r="K113" s="137"/>
      <c r="L113" s="136"/>
      <c r="M113" s="136"/>
      <c r="N113" s="136"/>
      <c r="O113" s="136"/>
      <c r="P113" s="137"/>
      <c r="Q113" s="136"/>
      <c r="R113" s="136"/>
      <c r="S113" s="136"/>
      <c r="T113" s="136"/>
      <c r="U113" s="137"/>
      <c r="V113" s="136"/>
      <c r="W113" s="136"/>
      <c r="X113" s="136"/>
      <c r="Y113" s="136"/>
      <c r="Z113" s="137"/>
      <c r="AA113" s="136"/>
      <c r="AB113" s="136"/>
      <c r="AC113" s="136"/>
      <c r="AD113" s="136"/>
      <c r="AE113" s="137"/>
      <c r="AF113" s="136"/>
      <c r="AG113" s="136"/>
      <c r="AH113" s="136"/>
      <c r="AI113" s="136">
        <v>3</v>
      </c>
      <c r="AJ113" s="137">
        <v>3.5308939606265666</v>
      </c>
      <c r="AK113" s="136"/>
      <c r="AL113" s="136"/>
      <c r="AM113" s="136"/>
      <c r="AN113" s="136"/>
      <c r="AO113" s="137"/>
      <c r="AP113" s="136"/>
      <c r="AQ113" s="136">
        <v>3</v>
      </c>
      <c r="AR113" s="136">
        <v>3</v>
      </c>
      <c r="AS113" s="136">
        <v>3</v>
      </c>
      <c r="AT113" s="137">
        <v>3.5308939606265666</v>
      </c>
      <c r="AU113" s="136"/>
      <c r="AV113" s="136"/>
      <c r="AW113" s="136">
        <f t="shared" ref="AW113:AX113" si="218">$AY113</f>
        <v>3</v>
      </c>
      <c r="AX113" s="136">
        <f t="shared" si="218"/>
        <v>3</v>
      </c>
      <c r="AY113" s="137">
        <v>3</v>
      </c>
      <c r="AZ113" s="136">
        <f t="shared" ref="AZ113:BB113" si="219">$BD113</f>
        <v>3</v>
      </c>
      <c r="BA113" s="136">
        <f t="shared" si="219"/>
        <v>3</v>
      </c>
      <c r="BB113" s="136">
        <f t="shared" si="219"/>
        <v>3</v>
      </c>
      <c r="BC113" s="136">
        <f>$BD113</f>
        <v>3</v>
      </c>
      <c r="BD113" s="137">
        <v>3</v>
      </c>
      <c r="BE113" s="136">
        <f t="shared" ref="BE113:BG113" si="220">$BD113</f>
        <v>3</v>
      </c>
      <c r="BF113" s="136">
        <f t="shared" si="220"/>
        <v>3</v>
      </c>
      <c r="BG113" s="136">
        <f t="shared" si="220"/>
        <v>3</v>
      </c>
      <c r="BH113" s="136">
        <f>$BD113</f>
        <v>3</v>
      </c>
      <c r="BI113" s="137">
        <v>3</v>
      </c>
    </row>
    <row r="114" spans="1:61">
      <c r="A114" s="1" t="s">
        <v>156</v>
      </c>
      <c r="B114" s="134"/>
      <c r="C114" s="134"/>
      <c r="D114" s="134"/>
      <c r="E114" s="134"/>
      <c r="F114" s="135"/>
      <c r="G114" s="134"/>
      <c r="H114" s="134"/>
      <c r="I114" s="134"/>
      <c r="J114" s="134"/>
      <c r="K114" s="135"/>
      <c r="L114" s="134"/>
      <c r="M114" s="134"/>
      <c r="N114" s="134"/>
      <c r="O114" s="134"/>
      <c r="P114" s="135"/>
      <c r="Q114" s="134"/>
      <c r="R114" s="134"/>
      <c r="S114" s="134"/>
      <c r="T114" s="134"/>
      <c r="U114" s="135"/>
      <c r="V114" s="134"/>
      <c r="W114" s="134"/>
      <c r="X114" s="134"/>
      <c r="Y114" s="134"/>
      <c r="Z114" s="135"/>
      <c r="AA114" s="134"/>
      <c r="AB114" s="134"/>
      <c r="AC114" s="134"/>
      <c r="AD114" s="134"/>
      <c r="AE114" s="135"/>
      <c r="AF114" s="134"/>
      <c r="AG114" s="134"/>
      <c r="AH114" s="134"/>
      <c r="AI114" s="134">
        <f>(AI111+AI82-AI110)/(Income_Statement_Qtr!AI97*4)</f>
        <v>3</v>
      </c>
      <c r="AJ114" s="135">
        <f>(AJ111+AJ82-AJ110)/(Income_Statement_Qtr!AJ97)</f>
        <v>3.5308939606265635</v>
      </c>
      <c r="AK114" s="134"/>
      <c r="AL114" s="134"/>
      <c r="AM114" s="134"/>
      <c r="AN114" s="134"/>
      <c r="AO114" s="135"/>
      <c r="AP114" s="134"/>
      <c r="AQ114" s="134">
        <f>(AQ111+AQ82-AQ110)/(Income_Statement_Qtr!AQ97*4)</f>
        <v>3</v>
      </c>
      <c r="AR114" s="134">
        <f>(AR111+AR82-AR110)/(Income_Statement_Qtr!AR97*4)</f>
        <v>3</v>
      </c>
      <c r="AS114" s="134">
        <f>(AS111+AS82-AS110)/(Income_Statement_Qtr!AS97*4)</f>
        <v>3</v>
      </c>
      <c r="AT114" s="135">
        <f>(AT111+AT82-AT110)/(Income_Statement_Qtr!AT97)</f>
        <v>3.5308939606265661</v>
      </c>
      <c r="AU114" s="134"/>
      <c r="AV114" s="134"/>
      <c r="AW114" s="134">
        <f>(AW111+AW82-AW110)/(Income_Statement_Qtr!AW97*4)</f>
        <v>3</v>
      </c>
      <c r="AX114" s="134">
        <f>(AX111+AX82-AX110)/(Income_Statement_Qtr!AX97*4)</f>
        <v>3</v>
      </c>
      <c r="AY114" s="135">
        <f>(AY111+AY82-AY110)/(Income_Statement_Qtr!AY97)</f>
        <v>3</v>
      </c>
      <c r="AZ114" s="134">
        <f>(AZ111+AZ82-AZ110)/(Income_Statement_Qtr!AZ97*4)</f>
        <v>3</v>
      </c>
      <c r="BA114" s="134">
        <f>(BA111+BB79-BA110)/(Income_Statement_Qtr!BA97*4)</f>
        <v>3</v>
      </c>
      <c r="BB114" s="134">
        <f>(BB111+BB82-BB110)/(Income_Statement_Qtr!BB97*4)</f>
        <v>3</v>
      </c>
      <c r="BC114" s="134">
        <f>(BC111+BC82-BC110)/(Income_Statement_Qtr!BC97*4)</f>
        <v>3</v>
      </c>
      <c r="BD114" s="135">
        <f>(BD111+BD82-BD110)/(Income_Statement_Qtr!BD97)</f>
        <v>3</v>
      </c>
      <c r="BE114" s="134">
        <f ca="1">(BE111+BE82-BE110)/(Income_Statement_Qtr!BE97*4)</f>
        <v>2.9999999999999978</v>
      </c>
      <c r="BF114" s="134">
        <f ca="1">(BF111+BF82-BF110)/(Income_Statement_Qtr!BF97*4)</f>
        <v>2.9999999999999991</v>
      </c>
      <c r="BG114" s="134">
        <f ca="1">(BG111+BG82-BG110)/(Income_Statement_Qtr!BG97*4)</f>
        <v>2.9999999999999991</v>
      </c>
      <c r="BH114" s="134">
        <f ca="1">(BH111+BH82-BH110)/(Income_Statement_Qtr!BH97*4)</f>
        <v>2.9999999999999991</v>
      </c>
      <c r="BI114" s="135">
        <f ca="1">(BI111+BI82-BI110)/(Income_Statement_Qtr!BI97)</f>
        <v>2.9999999999999991</v>
      </c>
    </row>
    <row r="115" spans="1:61">
      <c r="A115" s="1" t="s">
        <v>114</v>
      </c>
      <c r="B115" s="138"/>
      <c r="C115" s="138"/>
      <c r="D115" s="138"/>
      <c r="E115" s="138"/>
      <c r="F115" s="142"/>
      <c r="G115" s="138"/>
      <c r="H115" s="138"/>
      <c r="I115" s="138"/>
      <c r="J115" s="138"/>
      <c r="K115" s="142"/>
      <c r="L115" s="138"/>
      <c r="M115" s="138"/>
      <c r="N115" s="138"/>
      <c r="O115" s="138"/>
      <c r="P115" s="142"/>
      <c r="Q115" s="138"/>
      <c r="R115" s="138"/>
      <c r="S115" s="138"/>
      <c r="T115" s="138"/>
      <c r="U115" s="142"/>
      <c r="V115" s="138"/>
      <c r="W115" s="138"/>
      <c r="X115" s="138"/>
      <c r="Y115" s="138"/>
      <c r="Z115" s="142"/>
      <c r="AA115" s="138"/>
      <c r="AB115" s="138"/>
      <c r="AC115" s="138"/>
      <c r="AD115" s="138"/>
      <c r="AE115" s="142"/>
      <c r="AF115" s="138"/>
      <c r="AG115" s="138"/>
      <c r="AH115" s="138"/>
      <c r="AI115" s="138">
        <v>3.5000000000000003E-2</v>
      </c>
      <c r="AJ115" s="142">
        <v>3.5000000000000003E-2</v>
      </c>
      <c r="AK115" s="138"/>
      <c r="AL115" s="138"/>
      <c r="AM115" s="138"/>
      <c r="AN115" s="138"/>
      <c r="AO115" s="142"/>
      <c r="AP115" s="138"/>
      <c r="AQ115" s="138">
        <v>3.5000000000000003E-2</v>
      </c>
      <c r="AR115" s="138">
        <v>3.5000000000000003E-2</v>
      </c>
      <c r="AS115" s="138">
        <v>3.5000000000000003E-2</v>
      </c>
      <c r="AT115" s="142">
        <v>3.5000000000000003E-2</v>
      </c>
      <c r="AU115" s="138"/>
      <c r="AV115" s="138"/>
      <c r="AW115" s="138">
        <f t="shared" ref="AW115:AX115" si="221">$AY115</f>
        <v>3.5000000000000003E-2</v>
      </c>
      <c r="AX115" s="138">
        <f t="shared" si="221"/>
        <v>3.5000000000000003E-2</v>
      </c>
      <c r="AY115" s="142">
        <v>3.5000000000000003E-2</v>
      </c>
      <c r="AZ115" s="138">
        <f t="shared" ref="AZ115:BB115" si="222">$BD115</f>
        <v>3.5000000000000003E-2</v>
      </c>
      <c r="BA115" s="138">
        <f t="shared" si="222"/>
        <v>3.5000000000000003E-2</v>
      </c>
      <c r="BB115" s="138">
        <f t="shared" si="222"/>
        <v>3.5000000000000003E-2</v>
      </c>
      <c r="BC115" s="138">
        <f>$BD115</f>
        <v>3.5000000000000003E-2</v>
      </c>
      <c r="BD115" s="142">
        <v>3.5000000000000003E-2</v>
      </c>
      <c r="BE115" s="138">
        <f t="shared" ref="BE115:BG115" si="223">$BD115</f>
        <v>3.5000000000000003E-2</v>
      </c>
      <c r="BF115" s="138">
        <f t="shared" si="223"/>
        <v>3.5000000000000003E-2</v>
      </c>
      <c r="BG115" s="138">
        <f t="shared" si="223"/>
        <v>3.5000000000000003E-2</v>
      </c>
      <c r="BH115" s="138">
        <f>$BD115</f>
        <v>3.5000000000000003E-2</v>
      </c>
      <c r="BI115" s="142">
        <v>0.06</v>
      </c>
    </row>
    <row r="116" spans="1:61">
      <c r="A116" s="1" t="s">
        <v>115</v>
      </c>
      <c r="B116" s="74"/>
      <c r="C116" s="74"/>
      <c r="D116" s="74"/>
      <c r="E116" s="74"/>
      <c r="F116" s="76"/>
      <c r="G116" s="74"/>
      <c r="H116" s="74"/>
      <c r="I116" s="74"/>
      <c r="J116" s="74"/>
      <c r="K116" s="76"/>
      <c r="L116" s="74"/>
      <c r="M116" s="74"/>
      <c r="N116" s="74"/>
      <c r="O116" s="74"/>
      <c r="P116" s="76"/>
      <c r="Q116" s="74"/>
      <c r="R116" s="74"/>
      <c r="S116" s="74"/>
      <c r="T116" s="74"/>
      <c r="U116" s="76"/>
      <c r="V116" s="74"/>
      <c r="W116" s="74"/>
      <c r="X116" s="74"/>
      <c r="Y116" s="74"/>
      <c r="Z116" s="76"/>
      <c r="AA116" s="74"/>
      <c r="AB116" s="74"/>
      <c r="AC116" s="74"/>
      <c r="AD116" s="74"/>
      <c r="AE116" s="76"/>
      <c r="AF116" s="74"/>
      <c r="AG116" s="74"/>
      <c r="AH116" s="74"/>
      <c r="AI116" s="74">
        <f>-AI115*AI111</f>
        <v>3279.2900000000004</v>
      </c>
      <c r="AJ116" s="76">
        <f>-AJ115*AJ111</f>
        <v>1845.4246167754229</v>
      </c>
      <c r="AK116" s="74"/>
      <c r="AL116" s="74"/>
      <c r="AM116" s="74"/>
      <c r="AN116" s="74"/>
      <c r="AO116" s="76"/>
      <c r="AP116" s="74"/>
      <c r="AQ116" s="74">
        <f t="shared" ref="AQ116:AR116" si="224">-AQ115*AQ111</f>
        <v>1425.5500000000002</v>
      </c>
      <c r="AR116" s="74">
        <f t="shared" si="224"/>
        <v>1734.3550000000002</v>
      </c>
      <c r="AS116" s="74">
        <f>-AS115*AS111</f>
        <v>1509.8650000000002</v>
      </c>
      <c r="AT116" s="76">
        <f>-AT115*AT111</f>
        <v>1696.2885579793406</v>
      </c>
      <c r="AU116" s="74"/>
      <c r="AV116" s="74"/>
      <c r="AW116" s="74">
        <f t="shared" ref="AW116" si="225">-AW115*AW111</f>
        <v>3902.2550000000006</v>
      </c>
      <c r="AX116" s="74">
        <f>-AX115*AX111</f>
        <v>2771.8250000000003</v>
      </c>
      <c r="AY116" s="76">
        <f>-AY115*AY111</f>
        <v>2333.6600000000003</v>
      </c>
      <c r="AZ116" s="74">
        <f t="shared" ref="AZ116:BB116" si="226">-AZ115*AZ111</f>
        <v>1132.3200000000002</v>
      </c>
      <c r="BA116" s="74">
        <f t="shared" si="226"/>
        <v>1498.9800000000002</v>
      </c>
      <c r="BB116" s="74">
        <f t="shared" si="226"/>
        <v>3453.1000000000004</v>
      </c>
      <c r="BC116" s="74">
        <f>-BC115*BC111</f>
        <v>-2400.2650000000003</v>
      </c>
      <c r="BD116" s="76">
        <f>-BD115*BD111</f>
        <v>856.62500000000011</v>
      </c>
      <c r="BE116" s="74">
        <f t="shared" ref="BE116:BG116" ca="1" si="227">-BE115*BE111</f>
        <v>1271.335299624423</v>
      </c>
      <c r="BF116" s="74">
        <f t="shared" ca="1" si="227"/>
        <v>1158.2845024651704</v>
      </c>
      <c r="BG116" s="74">
        <f t="shared" ca="1" si="227"/>
        <v>1027.9051006855921</v>
      </c>
      <c r="BH116" s="74">
        <f ca="1">-BH115*BH111</f>
        <v>928.6632755282634</v>
      </c>
      <c r="BI116" s="76">
        <f ca="1">-BI115*BI111</f>
        <v>1725.6846710776867</v>
      </c>
    </row>
    <row r="117" spans="1:61">
      <c r="A117" s="1" t="s">
        <v>129</v>
      </c>
      <c r="B117" s="138"/>
      <c r="C117" s="138"/>
      <c r="D117" s="138"/>
      <c r="E117" s="138"/>
      <c r="F117" s="142"/>
      <c r="G117" s="138"/>
      <c r="H117" s="138"/>
      <c r="I117" s="138"/>
      <c r="J117" s="138"/>
      <c r="K117" s="142"/>
      <c r="L117" s="138"/>
      <c r="M117" s="138"/>
      <c r="N117" s="138"/>
      <c r="O117" s="138"/>
      <c r="P117" s="142"/>
      <c r="Q117" s="138"/>
      <c r="R117" s="138"/>
      <c r="S117" s="138"/>
      <c r="T117" s="138"/>
      <c r="U117" s="142"/>
      <c r="V117" s="138"/>
      <c r="W117" s="138"/>
      <c r="X117" s="138"/>
      <c r="Y117" s="138"/>
      <c r="Z117" s="142"/>
      <c r="AA117" s="138"/>
      <c r="AB117" s="138"/>
      <c r="AC117" s="138"/>
      <c r="AD117" s="138"/>
      <c r="AE117" s="142"/>
      <c r="AF117" s="138"/>
      <c r="AG117" s="138"/>
      <c r="AH117" s="138"/>
      <c r="AI117" s="138">
        <v>0.21</v>
      </c>
      <c r="AJ117" s="142">
        <v>0.21</v>
      </c>
      <c r="AK117" s="138"/>
      <c r="AL117" s="138"/>
      <c r="AM117" s="138"/>
      <c r="AN117" s="138"/>
      <c r="AO117" s="142"/>
      <c r="AP117" s="138"/>
      <c r="AQ117" s="138">
        <v>0.21</v>
      </c>
      <c r="AR117" s="138">
        <v>0.21</v>
      </c>
      <c r="AS117" s="138">
        <v>0.21</v>
      </c>
      <c r="AT117" s="142">
        <v>0.21</v>
      </c>
      <c r="AU117" s="138"/>
      <c r="AV117" s="138"/>
      <c r="AW117" s="138">
        <f t="shared" ref="AW117:AX117" si="228">$AY117</f>
        <v>0.21</v>
      </c>
      <c r="AX117" s="138">
        <f t="shared" si="228"/>
        <v>0.21</v>
      </c>
      <c r="AY117" s="142">
        <v>0.21</v>
      </c>
      <c r="AZ117" s="138">
        <f t="shared" ref="AZ117:BB117" si="229">$BD117</f>
        <v>0.21</v>
      </c>
      <c r="BA117" s="138">
        <f t="shared" si="229"/>
        <v>0.21</v>
      </c>
      <c r="BB117" s="138">
        <f t="shared" si="229"/>
        <v>0.21</v>
      </c>
      <c r="BC117" s="138">
        <f>$BD117</f>
        <v>0.21</v>
      </c>
      <c r="BD117" s="142">
        <v>0.21</v>
      </c>
      <c r="BE117" s="138">
        <f t="shared" ref="BE117:BG117" si="230">$BD117</f>
        <v>0.21</v>
      </c>
      <c r="BF117" s="138">
        <f t="shared" si="230"/>
        <v>0.21</v>
      </c>
      <c r="BG117" s="138">
        <f t="shared" si="230"/>
        <v>0.21</v>
      </c>
      <c r="BH117" s="138">
        <f>$BD117</f>
        <v>0.21</v>
      </c>
      <c r="BI117" s="142">
        <v>0.21</v>
      </c>
    </row>
    <row r="118" spans="1:61">
      <c r="A118" s="1" t="s">
        <v>131</v>
      </c>
      <c r="B118" s="74"/>
      <c r="C118" s="74"/>
      <c r="D118" s="74"/>
      <c r="E118" s="74"/>
      <c r="F118" s="76"/>
      <c r="G118" s="74"/>
      <c r="H118" s="74"/>
      <c r="I118" s="74"/>
      <c r="J118" s="74"/>
      <c r="K118" s="76"/>
      <c r="L118" s="74"/>
      <c r="M118" s="74"/>
      <c r="N118" s="74"/>
      <c r="O118" s="74"/>
      <c r="P118" s="76"/>
      <c r="Q118" s="74"/>
      <c r="R118" s="74"/>
      <c r="S118" s="74"/>
      <c r="T118" s="74"/>
      <c r="U118" s="76"/>
      <c r="V118" s="74"/>
      <c r="W118" s="74"/>
      <c r="X118" s="74"/>
      <c r="Y118" s="74"/>
      <c r="Z118" s="76"/>
      <c r="AA118" s="74"/>
      <c r="AB118" s="74"/>
      <c r="AC118" s="74"/>
      <c r="AD118" s="74"/>
      <c r="AE118" s="76"/>
      <c r="AF118" s="74"/>
      <c r="AG118" s="74"/>
      <c r="AH118" s="74"/>
      <c r="AI118" s="74">
        <f>AI116*(1-AI117)</f>
        <v>2590.6391000000003</v>
      </c>
      <c r="AJ118" s="76">
        <f>AJ116*(1-AJ117)</f>
        <v>1457.8854472525841</v>
      </c>
      <c r="AK118" s="74"/>
      <c r="AL118" s="74"/>
      <c r="AM118" s="74"/>
      <c r="AN118" s="74"/>
      <c r="AO118" s="76"/>
      <c r="AP118" s="74"/>
      <c r="AQ118" s="74">
        <f t="shared" ref="AQ118:AR118" si="231">AQ116*(1-AQ117)</f>
        <v>1126.1845000000003</v>
      </c>
      <c r="AR118" s="74">
        <f t="shared" si="231"/>
        <v>1370.1404500000003</v>
      </c>
      <c r="AS118" s="74">
        <f>AS116*(1-AS117)</f>
        <v>1192.7933500000001</v>
      </c>
      <c r="AT118" s="76">
        <f>AT116*(1-AT117)</f>
        <v>1340.0679608036792</v>
      </c>
      <c r="AU118" s="74"/>
      <c r="AV118" s="74"/>
      <c r="AW118" s="74">
        <f t="shared" ref="AW118" si="232">AW116*(1-AW117)</f>
        <v>3082.7814500000004</v>
      </c>
      <c r="AX118" s="74">
        <f>AX116*(1-AX117)</f>
        <v>2189.7417500000001</v>
      </c>
      <c r="AY118" s="76">
        <f>AY116*(1-AY117)</f>
        <v>1843.5914000000002</v>
      </c>
      <c r="AZ118" s="74">
        <f t="shared" ref="AZ118:BB118" si="233">AZ116*(1-AZ117)</f>
        <v>894.53280000000018</v>
      </c>
      <c r="BA118" s="74">
        <f t="shared" si="233"/>
        <v>1184.1942000000001</v>
      </c>
      <c r="BB118" s="74">
        <f t="shared" si="233"/>
        <v>2727.9490000000005</v>
      </c>
      <c r="BC118" s="74">
        <f>BC116*(1-BC117)</f>
        <v>-1896.2093500000003</v>
      </c>
      <c r="BD118" s="76">
        <f>BD116*(1-BD117)</f>
        <v>676.7337500000001</v>
      </c>
      <c r="BE118" s="74">
        <f t="shared" ref="BE118:BG118" ca="1" si="234">BE116*(1-BE117)</f>
        <v>1004.3548867032943</v>
      </c>
      <c r="BF118" s="74">
        <f t="shared" ca="1" si="234"/>
        <v>915.04475694748464</v>
      </c>
      <c r="BG118" s="74">
        <f t="shared" ca="1" si="234"/>
        <v>812.04502954161774</v>
      </c>
      <c r="BH118" s="74">
        <f ca="1">BH116*(1-BH117)</f>
        <v>733.64398766732813</v>
      </c>
      <c r="BI118" s="76">
        <f ca="1">BI116*(1-BI117)</f>
        <v>1363.2908901513727</v>
      </c>
    </row>
    <row r="119" spans="1:61">
      <c r="A119" s="1" t="s">
        <v>130</v>
      </c>
      <c r="B119" s="74"/>
      <c r="C119" s="74"/>
      <c r="D119" s="74"/>
      <c r="E119" s="74"/>
      <c r="F119" s="76"/>
      <c r="G119" s="74"/>
      <c r="H119" s="74"/>
      <c r="I119" s="74"/>
      <c r="J119" s="74"/>
      <c r="K119" s="76"/>
      <c r="L119" s="74"/>
      <c r="M119" s="74"/>
      <c r="N119" s="74"/>
      <c r="O119" s="74"/>
      <c r="P119" s="76"/>
      <c r="Q119" s="74"/>
      <c r="R119" s="74"/>
      <c r="S119" s="74"/>
      <c r="T119" s="74"/>
      <c r="U119" s="76"/>
      <c r="V119" s="74"/>
      <c r="W119" s="74"/>
      <c r="X119" s="74"/>
      <c r="Y119" s="74"/>
      <c r="Z119" s="76"/>
      <c r="AA119" s="74"/>
      <c r="AB119" s="74"/>
      <c r="AC119" s="74"/>
      <c r="AD119" s="74"/>
      <c r="AE119" s="76"/>
      <c r="AF119" s="74"/>
      <c r="AG119" s="74"/>
      <c r="AH119" s="74"/>
      <c r="AI119" s="74">
        <f>AI118+Income_Statement_Qtr!AI50*4</f>
        <v>-13981.3609</v>
      </c>
      <c r="AJ119" s="76">
        <f>AJ118+Income_Statement_Qtr!AJ50</f>
        <v>-2744.1145527474159</v>
      </c>
      <c r="AK119" s="74"/>
      <c r="AL119" s="74"/>
      <c r="AM119" s="74"/>
      <c r="AN119" s="74"/>
      <c r="AO119" s="76"/>
      <c r="AP119" s="74"/>
      <c r="AQ119" s="74">
        <f>AQ118+Income_Statement_Qtr!AQ50*4</f>
        <v>530.1845000000003</v>
      </c>
      <c r="AR119" s="74">
        <f>AR118+Income_Statement_Qtr!AR50*4</f>
        <v>-5173.8595499999992</v>
      </c>
      <c r="AS119" s="74">
        <f>AS118+Income_Statement_Qtr!AS50*4</f>
        <v>1100.7933500000001</v>
      </c>
      <c r="AT119" s="76">
        <f>AT118+Income_Statement_Qtr!AT50</f>
        <v>-882.13203919632065</v>
      </c>
      <c r="AU119" s="74"/>
      <c r="AV119" s="74"/>
      <c r="AW119" s="74">
        <f>AW118+Income_Statement_Qtr!AW50*4</f>
        <v>-21597.218549999998</v>
      </c>
      <c r="AX119" s="74">
        <f>AX118+Income_Statement_Qtr!AX50*4</f>
        <v>-13502.258249999999</v>
      </c>
      <c r="AY119" s="76">
        <f>AY118+Income_Statement_Qtr!AY50</f>
        <v>-10031.408599999999</v>
      </c>
      <c r="AZ119" s="74">
        <f>AZ118+Income_Statement_Qtr!AZ50*4</f>
        <v>402.53280000000018</v>
      </c>
      <c r="BA119" s="74">
        <f>BA118+Income_Statement_Qtr!BA50*4</f>
        <v>-1603.8057999999999</v>
      </c>
      <c r="BB119" s="74">
        <f>BB118+Income_Statement_Qtr!BB50*4</f>
        <v>-18968.050999999999</v>
      </c>
      <c r="BC119" s="74">
        <f>BC118+Income_Statement_Qtr!BC50*4</f>
        <v>30639.790649999999</v>
      </c>
      <c r="BD119" s="76">
        <f>BD118+Income_Statement_Qtr!BD50</f>
        <v>2566.7337500000003</v>
      </c>
      <c r="BE119" s="74">
        <f ca="1">BE118+Income_Statement_Qtr!BE50*4</f>
        <v>-283.5107704525102</v>
      </c>
      <c r="BF119" s="74">
        <f ca="1">BF118+Income_Statement_Qtr!BF50*4</f>
        <v>741.78267337121042</v>
      </c>
      <c r="BG119" s="74">
        <f ca="1">BG118+Income_Statement_Qtr!BG50*4</f>
        <v>1429.5251072329486</v>
      </c>
      <c r="BH119" s="74">
        <f ca="1">BH118+Income_Statement_Qtr!BH50*4</f>
        <v>2093.5354696246909</v>
      </c>
      <c r="BI119" s="76">
        <f ca="1">BI118+Income_Statement_Qtr!BI50</f>
        <v>1492.3518448805262</v>
      </c>
    </row>
    <row r="120" spans="1:61">
      <c r="A120" s="1" t="s">
        <v>128</v>
      </c>
      <c r="B120" s="49"/>
      <c r="C120" s="49"/>
      <c r="D120" s="49"/>
      <c r="E120" s="49"/>
      <c r="F120" s="50"/>
      <c r="G120" s="49"/>
      <c r="H120" s="49"/>
      <c r="I120" s="49"/>
      <c r="J120" s="49"/>
      <c r="K120" s="50"/>
      <c r="L120" s="49"/>
      <c r="M120" s="49"/>
      <c r="N120" s="49"/>
      <c r="O120" s="49"/>
      <c r="P120" s="50"/>
      <c r="Q120" s="49"/>
      <c r="R120" s="49"/>
      <c r="S120" s="49"/>
      <c r="T120" s="49"/>
      <c r="U120" s="50"/>
      <c r="V120" s="49"/>
      <c r="W120" s="49"/>
      <c r="X120" s="49"/>
      <c r="Y120" s="49"/>
      <c r="Z120" s="50"/>
      <c r="AA120" s="49"/>
      <c r="AB120" s="49"/>
      <c r="AC120" s="49"/>
      <c r="AD120" s="49"/>
      <c r="AE120" s="50"/>
      <c r="AF120" s="49"/>
      <c r="AG120" s="49"/>
      <c r="AH120" s="49"/>
      <c r="AI120" s="49">
        <f>AI119/(Income_Statement_Qtr!AI79-AI124)</f>
        <v>-16.834040063474227</v>
      </c>
      <c r="AJ120" s="50">
        <f>AJ119/(Income_Statement_Qtr!AJ79-AJ124)</f>
        <v>-3.7916749276451465</v>
      </c>
      <c r="AK120" s="49"/>
      <c r="AL120" s="49"/>
      <c r="AM120" s="49"/>
      <c r="AN120" s="49"/>
      <c r="AO120" s="50"/>
      <c r="AP120" s="49"/>
      <c r="AQ120" s="49">
        <f>AQ119/(Income_Statement_Qtr!AQ79-AQ124)</f>
        <v>0.74680615801354444</v>
      </c>
      <c r="AR120" s="49">
        <f>AR119/(Income_Statement_Qtr!AR79-AR124)</f>
        <v>-7.0463688299035114</v>
      </c>
      <c r="AS120" s="49">
        <f>AS119/(Income_Statement_Qtr!AS79-AS124)</f>
        <v>1.5286401222742878</v>
      </c>
      <c r="AT120" s="50">
        <f>AT119/(Income_Statement_Qtr!AT79-AT124)</f>
        <v>-1.2076635046391366</v>
      </c>
      <c r="AU120" s="49"/>
      <c r="AV120" s="49"/>
      <c r="AW120" s="49">
        <f>AW119/(Income_Statement_Qtr!AW79-AW124)</f>
        <v>-23.8727846226883</v>
      </c>
      <c r="AX120" s="49">
        <f>AX119/(Income_Statement_Qtr!AX79-AX124)</f>
        <v>-14.6578206992824</v>
      </c>
      <c r="AY120" s="50">
        <f>AY119/(Income_Statement_Qtr!AY79-AY124)</f>
        <v>-12.260875988767845</v>
      </c>
      <c r="AZ120" s="49">
        <f>AZ119/(Income_Statement_Qtr!AZ79-AZ124)</f>
        <v>0.48129485127752353</v>
      </c>
      <c r="BA120" s="49">
        <f>BA119/(Income_Statement_Qtr!BA79-BA124)</f>
        <v>-1.8510818580535184</v>
      </c>
      <c r="BB120" s="49">
        <f>BB119/(Income_Statement_Qtr!BB79-BB124)</f>
        <v>-18.726953478422665</v>
      </c>
      <c r="BC120" s="49">
        <f>BC119/(Income_Statement_Qtr!BC79-BC124)</f>
        <v>48.792862290376192</v>
      </c>
      <c r="BD120" s="50">
        <f>BD119/(Income_Statement_Qtr!BD79-BD124)</f>
        <v>3.1109797076812158</v>
      </c>
      <c r="BE120" s="49">
        <f ca="1">BE119/(Income_Statement_Qtr!BE79-BE124)</f>
        <v>-0.31608732533427986</v>
      </c>
      <c r="BF120" s="49">
        <f ca="1">BF119/(Income_Statement_Qtr!BF79-BF124)</f>
        <v>0.83472419823336008</v>
      </c>
      <c r="BG120" s="49">
        <f ca="1">BG119/(Income_Statement_Qtr!BG79-BG124)</f>
        <v>1.6261152854952172</v>
      </c>
      <c r="BH120" s="49">
        <f ca="1">BH119/(Income_Statement_Qtr!BH79-BH124)</f>
        <v>2.401300723148351</v>
      </c>
      <c r="BI120" s="50">
        <f ca="1">BI119/(Income_Statement_Qtr!BI79-BI124)</f>
        <v>1.7005943737202518</v>
      </c>
    </row>
    <row r="121" spans="1:61">
      <c r="A121" s="141" t="s">
        <v>117</v>
      </c>
      <c r="B121" s="47"/>
      <c r="C121" s="47"/>
      <c r="D121" s="47"/>
      <c r="E121" s="47"/>
      <c r="F121" s="48"/>
      <c r="G121" s="47"/>
      <c r="H121" s="47"/>
      <c r="I121" s="47"/>
      <c r="J121" s="47"/>
      <c r="K121" s="48"/>
      <c r="L121" s="47"/>
      <c r="M121" s="47"/>
      <c r="N121" s="47"/>
      <c r="O121" s="47"/>
      <c r="P121" s="48"/>
      <c r="Q121" s="47"/>
      <c r="R121" s="47"/>
      <c r="S121" s="47"/>
      <c r="T121" s="47"/>
      <c r="U121" s="48"/>
      <c r="V121" s="47"/>
      <c r="W121" s="47"/>
      <c r="X121" s="47"/>
      <c r="Y121" s="47"/>
      <c r="Z121" s="48"/>
      <c r="AA121" s="47"/>
      <c r="AB121" s="47"/>
      <c r="AC121" s="47"/>
      <c r="AD121" s="47"/>
      <c r="AE121" s="48"/>
      <c r="AF121" s="47"/>
      <c r="AG121" s="47"/>
      <c r="AH121" s="47"/>
      <c r="AI121" s="47">
        <f>AI120-Income_Statement_Qtr!AI70*4</f>
        <v>11.239820685297587</v>
      </c>
      <c r="AJ121" s="48">
        <f>AJ120-Income_Statement_Qtr!AJ70</f>
        <v>3.348208679678248</v>
      </c>
      <c r="AK121" s="47"/>
      <c r="AL121" s="47"/>
      <c r="AM121" s="47"/>
      <c r="AN121" s="47"/>
      <c r="AO121" s="48"/>
      <c r="AP121" s="47"/>
      <c r="AQ121" s="47">
        <f>AQ120-Income_Statement_Qtr!AQ70*4</f>
        <v>1.7311166452142051</v>
      </c>
      <c r="AR121" s="47">
        <f>AR120-Income_Statement_Qtr!AR70*4</f>
        <v>3.7309697735220473</v>
      </c>
      <c r="AS121" s="47">
        <f>AS120-Income_Statement_Qtr!AS70*4</f>
        <v>1.6795835185007029</v>
      </c>
      <c r="AT121" s="48">
        <f>AT120-Income_Statement_Qtr!AT70</f>
        <v>2.4582745495531348</v>
      </c>
      <c r="AU121" s="47"/>
      <c r="AV121" s="47"/>
      <c r="AW121" s="47">
        <f>AW120-Income_Statement_Qtr!AW70*4</f>
        <v>16.010861143310407</v>
      </c>
      <c r="AX121" s="47">
        <f>AX120-Income_Statement_Qtr!AX70*4</f>
        <v>7.1942890347379311</v>
      </c>
      <c r="AY121" s="48">
        <f>AY120-Income_Statement_Qtr!AY70</f>
        <v>6.0873934797117588</v>
      </c>
      <c r="AZ121" s="47">
        <f>AZ120-Income_Statement_Qtr!AZ70*4</f>
        <v>1.1343344052992916</v>
      </c>
      <c r="BA121" s="47">
        <f>BA120-Income_Statement_Qtr!BA70*4</f>
        <v>1.8338243010794446</v>
      </c>
      <c r="BB121" s="47">
        <f>BB120-Income_Statement_Qtr!BB70*4</f>
        <v>9.82417166962313</v>
      </c>
      <c r="BC121" s="47">
        <f>BC120-Income_Statement_Qtr!BC70*4</f>
        <v>8.315131511575494</v>
      </c>
      <c r="BD121" s="48">
        <f>BD120-Income_Statement_Qtr!BD70</f>
        <v>0.631640864706009</v>
      </c>
      <c r="BE121" s="47">
        <f ca="1">BE120-Income_Statement_Qtr!BE70*4</f>
        <v>1.2861341938941409</v>
      </c>
      <c r="BF121" s="47">
        <f ca="1">BF120-Income_Statement_Qtr!BF70*4</f>
        <v>1.0502779225133727</v>
      </c>
      <c r="BG121" s="47">
        <f ca="1">BG120-Income_Statement_Qtr!BG70*4</f>
        <v>0.85791414380408648</v>
      </c>
      <c r="BH121" s="47">
        <f ca="1">BH120-Income_Statement_Qtr!BH70*4</f>
        <v>0.70947255450271407</v>
      </c>
      <c r="BI121" s="48">
        <f ca="1">BI120-Income_Statement_Qtr!BI70</f>
        <v>1.5400308570131684</v>
      </c>
    </row>
    <row r="122" spans="1:61">
      <c r="A122" s="1" t="s">
        <v>123</v>
      </c>
      <c r="B122" s="33"/>
      <c r="C122" s="33"/>
      <c r="D122" s="33"/>
      <c r="E122" s="33"/>
      <c r="F122" s="133"/>
      <c r="G122" s="33"/>
      <c r="H122" s="33"/>
      <c r="I122" s="33"/>
      <c r="J122" s="33"/>
      <c r="K122" s="133"/>
      <c r="L122" s="33"/>
      <c r="M122" s="33"/>
      <c r="N122" s="33"/>
      <c r="O122" s="33"/>
      <c r="P122" s="133"/>
      <c r="Q122" s="33"/>
      <c r="R122" s="33"/>
      <c r="S122" s="33"/>
      <c r="T122" s="33"/>
      <c r="U122" s="133"/>
      <c r="V122" s="33"/>
      <c r="W122" s="33"/>
      <c r="X122" s="33"/>
      <c r="Y122" s="33"/>
      <c r="Z122" s="133"/>
      <c r="AA122" s="33"/>
      <c r="AB122" s="33"/>
      <c r="AC122" s="33"/>
      <c r="AD122" s="33"/>
      <c r="AE122" s="133"/>
      <c r="AF122" s="33"/>
      <c r="AG122" s="33"/>
      <c r="AH122" s="33"/>
      <c r="AI122" s="33">
        <f>AI120/(Income_Statement_Qtr!AI70*4)-1</f>
        <v>-0.40036604818556387</v>
      </c>
      <c r="AJ122" s="133">
        <f>AJ120/(Income_Statement_Qtr!AJ70)-1</f>
        <v>-0.46894443436640665</v>
      </c>
      <c r="AK122" s="33"/>
      <c r="AL122" s="33"/>
      <c r="AM122" s="33"/>
      <c r="AN122" s="33"/>
      <c r="AO122" s="133"/>
      <c r="AP122" s="33"/>
      <c r="AQ122" s="33">
        <f>AQ120/(Income_Statement_Qtr!AQ70*4)-1</f>
        <v>-1.7587099474449683</v>
      </c>
      <c r="AR122" s="33">
        <f>AR120/(Income_Statement_Qtr!AR70*4)-1</f>
        <v>-0.34618655967032208</v>
      </c>
      <c r="AS122" s="33">
        <f>AS120/(Income_Statement_Qtr!AS70*4)-1</f>
        <v>-11.127240810067157</v>
      </c>
      <c r="AT122" s="133">
        <f>AT120/(Income_Statement_Qtr!AT70)-1</f>
        <v>-0.67057176450156208</v>
      </c>
      <c r="AU122" s="33"/>
      <c r="AV122" s="33"/>
      <c r="AW122" s="33">
        <f>AW120/(Income_Statement_Qtr!AW70*4)-1</f>
        <v>-0.40143925751541654</v>
      </c>
      <c r="AX122" s="33">
        <f>AX120/(Income_Statement_Qtr!AX70*4)-1</f>
        <v>-0.32922629083898214</v>
      </c>
      <c r="AY122" s="133">
        <f>AY120/(Income_Statement_Qtr!AY70)-1</f>
        <v>-0.33176935242690109</v>
      </c>
      <c r="AZ122" s="33">
        <f>AZ120/(Income_Statement_Qtr!AZ70*4)-1</f>
        <v>-1.7370071970578986</v>
      </c>
      <c r="BA122" s="33">
        <f>BA120/(Income_Statement_Qtr!BA70*4)-1</f>
        <v>-0.49765834512077045</v>
      </c>
      <c r="BB122" s="33">
        <f>BB120/(Income_Statement_Qtr!BB70*4)-1</f>
        <v>-0.34409052598389644</v>
      </c>
      <c r="BC122" s="33">
        <f>BC120/(Income_Statement_Qtr!BC70*4)-1</f>
        <v>0.2054248435273045</v>
      </c>
      <c r="BD122" s="133">
        <f>BD120/(Income_Statement_Qtr!BD70)-1</f>
        <v>0.25476181543142351</v>
      </c>
      <c r="BE122" s="33">
        <f ca="1">BE120/(Income_Statement_Qtr!BE70*4)-1</f>
        <v>-0.80271933590899613</v>
      </c>
      <c r="BF122" s="33">
        <f ca="1">BF120/(Income_Statement_Qtr!BF70*4)-1</f>
        <v>-4.8724647464175606</v>
      </c>
      <c r="BG122" s="33">
        <f ca="1">BG120/(Income_Statement_Qtr!BG70*4)-1</f>
        <v>1.1167832189307347</v>
      </c>
      <c r="BH122" s="33">
        <f ca="1">BH120/(Income_Statement_Qtr!BH70*4)-1</f>
        <v>0.41935260781871819</v>
      </c>
      <c r="BI122" s="133">
        <f ca="1">BI120/(Income_Statement_Qtr!BI70)-1</f>
        <v>9.5914121003132529</v>
      </c>
    </row>
    <row r="123" spans="1:61">
      <c r="A123" s="1" t="s">
        <v>127</v>
      </c>
      <c r="B123" s="73"/>
      <c r="C123" s="73"/>
      <c r="D123" s="73"/>
      <c r="E123" s="73"/>
      <c r="F123" s="75"/>
      <c r="G123" s="73"/>
      <c r="H123" s="73"/>
      <c r="I123" s="73"/>
      <c r="J123" s="73"/>
      <c r="K123" s="75"/>
      <c r="L123" s="73"/>
      <c r="M123" s="73"/>
      <c r="N123" s="73"/>
      <c r="O123" s="73"/>
      <c r="P123" s="75"/>
      <c r="Q123" s="73"/>
      <c r="R123" s="73"/>
      <c r="S123" s="73"/>
      <c r="T123" s="73"/>
      <c r="U123" s="75"/>
      <c r="V123" s="73"/>
      <c r="W123" s="73"/>
      <c r="X123" s="73"/>
      <c r="Y123" s="73"/>
      <c r="Z123" s="75"/>
      <c r="AA123" s="73"/>
      <c r="AB123" s="73"/>
      <c r="AC123" s="73"/>
      <c r="AD123" s="73"/>
      <c r="AE123" s="75"/>
      <c r="AF123" s="73"/>
      <c r="AG123" s="73"/>
      <c r="AH123" s="73"/>
      <c r="AI123" s="73">
        <v>390</v>
      </c>
      <c r="AJ123" s="75">
        <v>390</v>
      </c>
      <c r="AK123" s="73"/>
      <c r="AL123" s="73"/>
      <c r="AM123" s="73"/>
      <c r="AN123" s="73"/>
      <c r="AO123" s="75"/>
      <c r="AP123" s="73"/>
      <c r="AQ123" s="73">
        <v>390</v>
      </c>
      <c r="AR123" s="73">
        <v>390</v>
      </c>
      <c r="AS123" s="73">
        <v>390</v>
      </c>
      <c r="AT123" s="75">
        <v>390</v>
      </c>
      <c r="AU123" s="73"/>
      <c r="AV123" s="73"/>
      <c r="AW123" s="73">
        <f t="shared" ref="AW123:AX123" si="235">$AY123</f>
        <v>390</v>
      </c>
      <c r="AX123" s="73">
        <f t="shared" si="235"/>
        <v>390</v>
      </c>
      <c r="AY123" s="75">
        <v>390</v>
      </c>
      <c r="AZ123" s="73">
        <f t="shared" ref="AZ123:BB123" si="236">$BD123</f>
        <v>390</v>
      </c>
      <c r="BA123" s="73">
        <f t="shared" si="236"/>
        <v>390</v>
      </c>
      <c r="BB123" s="73">
        <f t="shared" si="236"/>
        <v>390</v>
      </c>
      <c r="BC123" s="73">
        <f>$BD123</f>
        <v>390</v>
      </c>
      <c r="BD123" s="75">
        <v>390</v>
      </c>
      <c r="BE123" s="73">
        <f t="shared" ref="BE123:BG123" si="237">$BD123</f>
        <v>390</v>
      </c>
      <c r="BF123" s="73">
        <f t="shared" si="237"/>
        <v>390</v>
      </c>
      <c r="BG123" s="73">
        <f t="shared" si="237"/>
        <v>390</v>
      </c>
      <c r="BH123" s="73">
        <f>$BD123</f>
        <v>390</v>
      </c>
      <c r="BI123" s="75">
        <v>390</v>
      </c>
    </row>
    <row r="124" spans="1:61">
      <c r="A124" s="1" t="s">
        <v>153</v>
      </c>
      <c r="B124" s="22"/>
      <c r="C124" s="22"/>
      <c r="D124" s="22"/>
      <c r="E124" s="22"/>
      <c r="F124" s="23"/>
      <c r="G124" s="22"/>
      <c r="H124" s="22"/>
      <c r="I124" s="22"/>
      <c r="J124" s="22"/>
      <c r="K124" s="23"/>
      <c r="L124" s="22"/>
      <c r="M124" s="22"/>
      <c r="N124" s="22"/>
      <c r="O124" s="22"/>
      <c r="P124" s="23"/>
      <c r="Q124" s="22"/>
      <c r="R124" s="22"/>
      <c r="S124" s="22"/>
      <c r="T124" s="22"/>
      <c r="U124" s="23"/>
      <c r="V124" s="22"/>
      <c r="W124" s="22"/>
      <c r="X124" s="22"/>
      <c r="Y124" s="22"/>
      <c r="Z124" s="23"/>
      <c r="AA124" s="22"/>
      <c r="AB124" s="22"/>
      <c r="AC124" s="22"/>
      <c r="AD124" s="22"/>
      <c r="AE124" s="23"/>
      <c r="AF124" s="22"/>
      <c r="AG124" s="22"/>
      <c r="AH124" s="22"/>
      <c r="AI124" s="22">
        <f>AI112/AI123</f>
        <v>-240.24102564102563</v>
      </c>
      <c r="AJ124" s="23">
        <f>AJ112/AJ123</f>
        <v>-135.1959426209101</v>
      </c>
      <c r="AK124" s="22"/>
      <c r="AL124" s="22"/>
      <c r="AM124" s="22"/>
      <c r="AN124" s="22"/>
      <c r="AO124" s="23"/>
      <c r="AP124" s="22"/>
      <c r="AQ124" s="22">
        <f t="shared" ref="AQ124:AR124" si="238">AQ112/AQ123</f>
        <v>-104.43589743589743</v>
      </c>
      <c r="AR124" s="22">
        <f t="shared" si="238"/>
        <v>-127.05897435897435</v>
      </c>
      <c r="AS124" s="22">
        <f>AS112/AS123</f>
        <v>-110.61282051282052</v>
      </c>
      <c r="AT124" s="23">
        <f>AT112/AT123</f>
        <v>-124.2702240277905</v>
      </c>
      <c r="AU124" s="22"/>
      <c r="AV124" s="22"/>
      <c r="AW124" s="22">
        <f t="shared" ref="AW124" si="239">AW112/AW123</f>
        <v>-285.87948717948717</v>
      </c>
      <c r="AX124" s="22">
        <f>AX112/AX123</f>
        <v>-203.06410256410257</v>
      </c>
      <c r="AY124" s="23">
        <f>AY112/AY123</f>
        <v>-170.96410256410257</v>
      </c>
      <c r="AZ124" s="22">
        <f t="shared" ref="AZ124:BB124" si="240">AZ112/AZ123</f>
        <v>-82.953846153846158</v>
      </c>
      <c r="BA124" s="22">
        <f t="shared" si="240"/>
        <v>-109.81538461538462</v>
      </c>
      <c r="BB124" s="22">
        <f t="shared" si="240"/>
        <v>-252.97435897435898</v>
      </c>
      <c r="BC124" s="22">
        <f>BC112/BC123</f>
        <v>175.84358974358975</v>
      </c>
      <c r="BD124" s="23">
        <f>BD112/BD123</f>
        <v>-62.756410256410255</v>
      </c>
      <c r="BE124" s="22">
        <f t="shared" ref="BE124:BG124" ca="1" si="241">BE112/BE123</f>
        <v>-93.138117188602408</v>
      </c>
      <c r="BF124" s="22">
        <f t="shared" ca="1" si="241"/>
        <v>-84.856007506605877</v>
      </c>
      <c r="BG124" s="22">
        <f t="shared" ca="1" si="241"/>
        <v>-75.304402980629447</v>
      </c>
      <c r="BH124" s="22">
        <f ca="1">BH112/BH123</f>
        <v>-68.033939599140169</v>
      </c>
      <c r="BI124" s="23">
        <f ca="1">BI112/BI123</f>
        <v>-73.747208165713104</v>
      </c>
    </row>
    <row r="145" customFormat="1"/>
  </sheetData>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tabColor theme="4" tint="0.39997558519241921"/>
  </sheetPr>
  <dimension ref="A1:AR114"/>
  <sheetViews>
    <sheetView showGridLines="0" zoomScale="90" zoomScaleNormal="90" workbookViewId="0">
      <pane xSplit="1" ySplit="2" topLeftCell="R48" activePane="bottomRight" state="frozen"/>
      <selection activeCell="A72" sqref="A72"/>
      <selection pane="topRight" activeCell="A72" sqref="A72"/>
      <selection pane="bottomLeft" activeCell="A72" sqref="A72"/>
      <selection pane="bottomRight" activeCell="AF75" sqref="AF75"/>
    </sheetView>
  </sheetViews>
  <sheetFormatPr defaultRowHeight="14.5" outlineLevelCol="1"/>
  <cols>
    <col min="1" max="1" width="48.1796875" customWidth="1"/>
    <col min="2" max="22" width="12.1796875" style="26" customWidth="1"/>
    <col min="23" max="27" width="12.1796875" customWidth="1"/>
    <col min="28" max="32" width="12.81640625" customWidth="1"/>
    <col min="33" max="33" width="9.1796875" customWidth="1"/>
    <col min="34" max="34" width="11.453125" customWidth="1"/>
    <col min="35" max="35" width="9.54296875" customWidth="1"/>
    <col min="36" max="38" width="9.1796875" customWidth="1"/>
    <col min="39" max="39" width="71.1796875" customWidth="1" outlineLevel="1"/>
    <col min="40" max="44" width="9.1796875" customWidth="1" outlineLevel="1"/>
  </cols>
  <sheetData>
    <row r="1" spans="1:35">
      <c r="A1" s="15" t="s">
        <v>30</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row>
    <row r="2" spans="1:35">
      <c r="B2" s="103" t="str">
        <f>Income_Statement_Annual!B2</f>
        <v>CY2000A</v>
      </c>
      <c r="C2" s="103" t="str">
        <f>Income_Statement_Annual!C2</f>
        <v>CY2001A</v>
      </c>
      <c r="D2" s="103" t="str">
        <f>Income_Statement_Annual!D2</f>
        <v>CY2002A</v>
      </c>
      <c r="E2" s="103" t="str">
        <f>Income_Statement_Annual!E2</f>
        <v>CY2003A</v>
      </c>
      <c r="F2" s="103" t="str">
        <f>Income_Statement_Annual!F2</f>
        <v>CY2004A</v>
      </c>
      <c r="G2" s="103" t="str">
        <f>Income_Statement_Annual!G2</f>
        <v>CY2005A</v>
      </c>
      <c r="H2" s="103" t="str">
        <f>Income_Statement_Annual!H2</f>
        <v>CY2006A</v>
      </c>
      <c r="I2" s="103" t="str">
        <f>Income_Statement_Annual!I2</f>
        <v>CY2007A</v>
      </c>
      <c r="J2" s="103" t="str">
        <f>Income_Statement_Annual!J2</f>
        <v>CY2008A</v>
      </c>
      <c r="K2" s="103" t="str">
        <f>Income_Statement_Annual!K2</f>
        <v>CY2009A</v>
      </c>
      <c r="L2" s="103" t="str">
        <f>Income_Statement_Annual!L2</f>
        <v>CY2010A</v>
      </c>
      <c r="M2" s="103" t="str">
        <f>Income_Statement_Annual!M2</f>
        <v>CY2011A</v>
      </c>
      <c r="N2" s="103" t="str">
        <f>Income_Statement_Annual!N2</f>
        <v>CY2012A</v>
      </c>
      <c r="O2" s="103" t="str">
        <f>Income_Statement_Annual!O2</f>
        <v>CY2013A</v>
      </c>
      <c r="P2" s="103" t="str">
        <f>Income_Statement_Annual!P2</f>
        <v>CY2014A</v>
      </c>
      <c r="Q2" s="103" t="str">
        <f>Income_Statement_Annual!Q2</f>
        <v>CY2015A</v>
      </c>
      <c r="R2" s="103" t="str">
        <f>Income_Statement_Annual!R2</f>
        <v>CY2016A</v>
      </c>
      <c r="S2" s="103" t="str">
        <f>Income_Statement_Annual!S2</f>
        <v>CY2017A</v>
      </c>
      <c r="T2" s="103" t="str">
        <f>Income_Statement_Annual!T2</f>
        <v>CY2018A</v>
      </c>
      <c r="U2" s="103" t="str">
        <f>Income_Statement_Annual!U2</f>
        <v>CY2019A</v>
      </c>
      <c r="V2" s="103" t="str">
        <f>Income_Statement_Annual!V2</f>
        <v>CY2020A</v>
      </c>
      <c r="W2" s="103" t="str">
        <f>Income_Statement_Annual!W2</f>
        <v>CY2021A</v>
      </c>
      <c r="X2" s="103" t="str">
        <f>Income_Statement_Annual!X2</f>
        <v>CY2022A</v>
      </c>
      <c r="Y2" s="103" t="str">
        <f>Income_Statement_Annual!Y2</f>
        <v>CY2023A</v>
      </c>
      <c r="Z2" s="103" t="str">
        <f>Income_Statement_Annual!Z2</f>
        <v>CY2024A</v>
      </c>
      <c r="AA2" s="103" t="str">
        <f>Income_Statement_Annual!AA2</f>
        <v>CY2025A</v>
      </c>
      <c r="AB2" s="103" t="str">
        <f>Income_Statement_Annual!AB2</f>
        <v>CY2026E</v>
      </c>
      <c r="AC2" s="103" t="str">
        <f>Income_Statement_Annual!AC2</f>
        <v>CY2027E</v>
      </c>
      <c r="AD2" s="103" t="str">
        <f>Income_Statement_Annual!AD2</f>
        <v>CY2028E</v>
      </c>
      <c r="AE2" s="103" t="str">
        <f>Income_Statement_Annual!AE2</f>
        <v>CY2029E</v>
      </c>
      <c r="AF2" s="103" t="str">
        <f>Income_Statement_Annual!AF2</f>
        <v>CY2030E</v>
      </c>
    </row>
    <row r="3" spans="1:35">
      <c r="A3" s="5" t="str">
        <f>Cash_Flow_Qtr!A3</f>
        <v>Operating activities</v>
      </c>
      <c r="B3" s="27"/>
      <c r="C3" s="27"/>
      <c r="D3" s="27"/>
      <c r="E3" s="27"/>
      <c r="F3" s="27"/>
      <c r="G3" s="27"/>
      <c r="H3" s="27"/>
      <c r="I3" s="27"/>
      <c r="J3" s="27"/>
      <c r="K3" s="27"/>
      <c r="L3" s="27"/>
      <c r="M3" s="27"/>
      <c r="N3" s="27"/>
      <c r="O3" s="27"/>
      <c r="P3" s="76"/>
      <c r="Q3" s="27"/>
      <c r="R3" s="27"/>
      <c r="S3" s="27"/>
      <c r="T3" s="27"/>
      <c r="U3" s="76"/>
      <c r="V3" s="27"/>
      <c r="W3" s="201"/>
      <c r="X3" s="201"/>
      <c r="Y3" s="201"/>
      <c r="Z3" s="201"/>
      <c r="AA3" s="201"/>
      <c r="AB3" s="201"/>
      <c r="AC3" s="201"/>
      <c r="AD3" s="201"/>
      <c r="AE3" s="201"/>
      <c r="AF3" s="201"/>
    </row>
    <row r="4" spans="1:35">
      <c r="A4" s="1" t="str">
        <f>Cash_Flow_Qtr!A4</f>
        <v>Net Earnings + Loss from Minority Interest</v>
      </c>
      <c r="B4" s="38">
        <f>Income_Statement_Annual!B56-Income_Statement_Annual!B48</f>
        <v>2128</v>
      </c>
      <c r="C4" s="38">
        <f>Income_Statement_Annual!C56-Income_Statement_Annual!C48</f>
        <v>2827</v>
      </c>
      <c r="D4" s="38">
        <f>Income_Statement_Annual!D56-Income_Statement_Annual!D48</f>
        <v>492</v>
      </c>
      <c r="E4" s="38">
        <f>Income_Statement_Annual!E56-Income_Statement_Annual!E48</f>
        <v>718</v>
      </c>
      <c r="F4" s="38">
        <f>Income_Statement_Annual!F56-Income_Statement_Annual!F48</f>
        <v>1872</v>
      </c>
      <c r="G4" s="38">
        <f>Income_Statement_Annual!G56-Income_Statement_Annual!G48</f>
        <v>2572</v>
      </c>
      <c r="H4" s="38">
        <f>Income_Statement_Annual!H56-Income_Statement_Annual!H48</f>
        <v>2215</v>
      </c>
      <c r="I4" s="38">
        <f>Income_Statement_Annual!I56-Income_Statement_Annual!I48</f>
        <v>4074</v>
      </c>
      <c r="J4" s="38">
        <f>Income_Statement_Annual!J56-Income_Statement_Annual!J48</f>
        <v>2672</v>
      </c>
      <c r="K4" s="38">
        <f>Income_Statement_Annual!K56-Income_Statement_Annual!K48</f>
        <v>1312</v>
      </c>
      <c r="L4" s="38">
        <f>Income_Statement_Annual!L56-Income_Statement_Annual!L48</f>
        <v>3307</v>
      </c>
      <c r="M4" s="38">
        <f>Income_Statement_Annual!M56-Income_Statement_Annual!M48</f>
        <v>4018</v>
      </c>
      <c r="N4" s="38">
        <f>Income_Statement_Annual!N56-Income_Statement_Annual!N48</f>
        <v>3900</v>
      </c>
      <c r="O4" s="38">
        <f>Income_Statement_Annual!O56-Income_Statement_Annual!O48</f>
        <v>4585</v>
      </c>
      <c r="P4" s="38">
        <f>Income_Statement_Annual!P56-Income_Statement_Annual!P48</f>
        <v>5446</v>
      </c>
      <c r="Q4" s="38">
        <f>+Cash_Flow_Qtr!F4</f>
        <v>5176</v>
      </c>
      <c r="R4" s="38">
        <f>+Cash_Flow_Qtr!K4</f>
        <v>4895</v>
      </c>
      <c r="S4" s="38">
        <f>+Cash_Flow_Qtr!P4</f>
        <v>8458</v>
      </c>
      <c r="T4" s="38">
        <f>+Cash_Flow_Qtr!U4</f>
        <v>10460</v>
      </c>
      <c r="U4" s="38">
        <f>+Cash_Flow_Qtr!Z4</f>
        <v>-636</v>
      </c>
      <c r="V4" s="38">
        <f>+Cash_Flow_Qtr!AE4</f>
        <v>-11941</v>
      </c>
      <c r="W4" s="38">
        <f>+Cash_Flow_Qtr!AJ4</f>
        <v>-4290</v>
      </c>
      <c r="X4" s="38">
        <f>+Cash_Flow_Qtr!AO4</f>
        <v>-5053</v>
      </c>
      <c r="Y4" s="38">
        <f>+Cash_Flow_Qtr!AT4</f>
        <v>-2242</v>
      </c>
      <c r="Z4" s="38">
        <f>+Cash_Flow_Qtr!AY4</f>
        <v>-11829</v>
      </c>
      <c r="AA4" s="38">
        <f>+Cash_Flow_Qtr!BD4</f>
        <v>2238</v>
      </c>
      <c r="AB4" s="38">
        <f>+Cash_Flow_Qtr!BI4</f>
        <v>821.06095472915354</v>
      </c>
      <c r="AC4" s="38">
        <f>Income_Statement_Annual!AC56-Income_Statement_Annual!AC49</f>
        <v>6222.5893546701664</v>
      </c>
      <c r="AD4" s="38">
        <f>Income_Statement_Annual!AD56-Income_Statement_Annual!AD49</f>
        <v>7737.3963898070069</v>
      </c>
      <c r="AE4" s="38">
        <f>Income_Statement_Annual!AE56-Income_Statement_Annual!AE49</f>
        <v>8229.9557417603428</v>
      </c>
      <c r="AF4" s="38">
        <f>Income_Statement_Annual!AF56-Income_Statement_Annual!AF49</f>
        <v>8593.8031165079792</v>
      </c>
    </row>
    <row r="5" spans="1:35">
      <c r="A5" s="1" t="str">
        <f>Cash_Flow_Qtr!A5</f>
        <v>Depreciation and Amortization</v>
      </c>
      <c r="B5" s="43">
        <f>1317+162</f>
        <v>1479</v>
      </c>
      <c r="C5" s="43">
        <f>1441+302</f>
        <v>1743</v>
      </c>
      <c r="D5" s="43">
        <f>1409+88</f>
        <v>1497</v>
      </c>
      <c r="E5" s="43">
        <f>1306+94</f>
        <v>1400</v>
      </c>
      <c r="F5" s="43">
        <f>1412+97</f>
        <v>1509</v>
      </c>
      <c r="G5" s="43">
        <f>1412+91</f>
        <v>1503</v>
      </c>
      <c r="H5" s="43">
        <f>1445+100</f>
        <v>1545</v>
      </c>
      <c r="I5" s="43">
        <f>1334+152</f>
        <v>1486</v>
      </c>
      <c r="J5" s="43">
        <f>1325+166</f>
        <v>1491</v>
      </c>
      <c r="K5" s="43">
        <f>1459+207</f>
        <v>1666</v>
      </c>
      <c r="L5" s="43">
        <f>1510+217</f>
        <v>1727</v>
      </c>
      <c r="M5" s="43">
        <v>1675</v>
      </c>
      <c r="N5" s="43">
        <v>1811</v>
      </c>
      <c r="O5" s="43">
        <v>1844</v>
      </c>
      <c r="P5" s="43">
        <v>1906</v>
      </c>
      <c r="Q5" s="38">
        <f>+Cash_Flow_Qtr!F5</f>
        <v>1833</v>
      </c>
      <c r="R5" s="38">
        <f>+Cash_Flow_Qtr!K5</f>
        <v>1910</v>
      </c>
      <c r="S5" s="38">
        <f>+Cash_Flow_Qtr!P5</f>
        <v>2047</v>
      </c>
      <c r="T5" s="38">
        <f>+Cash_Flow_Qtr!U5</f>
        <v>2114</v>
      </c>
      <c r="U5" s="38">
        <f>+Cash_Flow_Qtr!Z5</f>
        <v>2271</v>
      </c>
      <c r="V5" s="38">
        <f>+Cash_Flow_Qtr!AE5</f>
        <v>2246</v>
      </c>
      <c r="W5" s="38">
        <f>+Cash_Flow_Qtr!AJ5</f>
        <v>2144</v>
      </c>
      <c r="X5" s="38">
        <f>+Cash_Flow_Qtr!AO5</f>
        <v>1979</v>
      </c>
      <c r="Y5" s="38">
        <f>+Cash_Flow_Qtr!AT5</f>
        <v>1861</v>
      </c>
      <c r="Z5" s="38">
        <f>+Cash_Flow_Qtr!AY5</f>
        <v>1836</v>
      </c>
      <c r="AA5" s="38">
        <f>+Cash_Flow_Qtr!BD5</f>
        <v>1953</v>
      </c>
      <c r="AB5" s="38">
        <f>+Cash_Flow_Qtr!BI5</f>
        <v>2073.7350000000001</v>
      </c>
      <c r="AC5" s="23">
        <f>AC68+AC70+AC71</f>
        <v>2827.3433314026465</v>
      </c>
      <c r="AD5" s="23">
        <f>AD68+AD70+AD71</f>
        <v>2896.4570485048507</v>
      </c>
      <c r="AE5" s="23">
        <f>AE68+AE70+AE71</f>
        <v>2977.453601868021</v>
      </c>
      <c r="AF5" s="23">
        <f>AF68+AF70+AF71</f>
        <v>3064.4801036758035</v>
      </c>
    </row>
    <row r="6" spans="1:35">
      <c r="A6" s="1" t="str">
        <f>Cash_Flow_Qtr!A6</f>
        <v>Stock-Based Plan Expense</v>
      </c>
      <c r="B6" s="43">
        <v>316</v>
      </c>
      <c r="C6" s="43">
        <v>378</v>
      </c>
      <c r="D6" s="43">
        <v>447</v>
      </c>
      <c r="E6" s="43">
        <v>456</v>
      </c>
      <c r="F6" s="43">
        <v>576</v>
      </c>
      <c r="G6" s="43">
        <v>1036</v>
      </c>
      <c r="H6" s="43">
        <v>743</v>
      </c>
      <c r="I6" s="43">
        <v>287</v>
      </c>
      <c r="J6" s="43">
        <v>209</v>
      </c>
      <c r="K6" s="43">
        <v>238</v>
      </c>
      <c r="L6" s="43">
        <v>215</v>
      </c>
      <c r="M6" s="43">
        <v>186</v>
      </c>
      <c r="N6" s="43">
        <v>193</v>
      </c>
      <c r="O6" s="43">
        <v>206</v>
      </c>
      <c r="P6" s="43">
        <v>195</v>
      </c>
      <c r="Q6" s="38">
        <f>+Cash_Flow_Qtr!F6</f>
        <v>189</v>
      </c>
      <c r="R6" s="38">
        <f>+Cash_Flow_Qtr!K6</f>
        <v>190</v>
      </c>
      <c r="S6" s="38">
        <f>+Cash_Flow_Qtr!P6</f>
        <v>202</v>
      </c>
      <c r="T6" s="38">
        <f>+Cash_Flow_Qtr!U6</f>
        <v>202</v>
      </c>
      <c r="U6" s="38">
        <f>+Cash_Flow_Qtr!Z6</f>
        <v>212</v>
      </c>
      <c r="V6" s="38">
        <f>+Cash_Flow_Qtr!AE6</f>
        <v>250</v>
      </c>
      <c r="W6" s="38">
        <f>+Cash_Flow_Qtr!AJ6</f>
        <v>833</v>
      </c>
      <c r="X6" s="38">
        <f>+Cash_Flow_Qtr!AO6</f>
        <v>725</v>
      </c>
      <c r="Y6" s="38">
        <f>+Cash_Flow_Qtr!AT6</f>
        <v>690</v>
      </c>
      <c r="Z6" s="38">
        <f>+Cash_Flow_Qtr!AY6</f>
        <v>407</v>
      </c>
      <c r="AA6" s="38">
        <f>+Cash_Flow_Qtr!BD6</f>
        <v>426</v>
      </c>
      <c r="AB6" s="38">
        <f>+Cash_Flow_Qtr!BI6</f>
        <v>425</v>
      </c>
      <c r="AC6" s="43">
        <v>426</v>
      </c>
      <c r="AD6" s="43">
        <v>426</v>
      </c>
      <c r="AE6" s="43">
        <v>426</v>
      </c>
      <c r="AF6" s="43">
        <v>426</v>
      </c>
    </row>
    <row r="7" spans="1:35">
      <c r="A7" s="1" t="str">
        <f>Cash_Flow_Qtr!A7</f>
        <v>Pension Expense / (Income)</v>
      </c>
      <c r="B7" s="43">
        <v>0</v>
      </c>
      <c r="C7" s="43">
        <v>-802</v>
      </c>
      <c r="D7" s="43">
        <v>-526</v>
      </c>
      <c r="E7" s="43">
        <v>-147</v>
      </c>
      <c r="F7" s="43">
        <v>335</v>
      </c>
      <c r="G7" s="43">
        <v>1225</v>
      </c>
      <c r="H7" s="43">
        <v>746</v>
      </c>
      <c r="I7" s="43">
        <v>0</v>
      </c>
      <c r="J7" s="43">
        <v>0</v>
      </c>
      <c r="K7" s="43">
        <v>0</v>
      </c>
      <c r="L7" s="43">
        <v>0</v>
      </c>
      <c r="M7" s="43">
        <v>0</v>
      </c>
      <c r="N7" s="43">
        <v>0</v>
      </c>
      <c r="O7" s="43">
        <v>0</v>
      </c>
      <c r="P7" s="43">
        <v>0</v>
      </c>
      <c r="Q7" s="38">
        <f>+Cash_Flow_Qtr!F7</f>
        <v>0</v>
      </c>
      <c r="R7" s="38">
        <f>+Cash_Flow_Qtr!K7</f>
        <v>0</v>
      </c>
      <c r="S7" s="38">
        <f>+Cash_Flow_Qtr!P7</f>
        <v>0</v>
      </c>
      <c r="T7" s="38">
        <f>+Cash_Flow_Qtr!U7</f>
        <v>0</v>
      </c>
      <c r="U7" s="38">
        <f>+Cash_Flow_Qtr!Z7</f>
        <v>0</v>
      </c>
      <c r="V7" s="38">
        <f>+Cash_Flow_Qtr!AE7</f>
        <v>0</v>
      </c>
      <c r="W7" s="38">
        <f>+Cash_Flow_Qtr!AJ7</f>
        <v>0</v>
      </c>
      <c r="X7" s="38">
        <f>+Cash_Flow_Qtr!AO7</f>
        <v>0</v>
      </c>
      <c r="Y7" s="38">
        <f>+Cash_Flow_Qtr!AT7</f>
        <v>0</v>
      </c>
      <c r="Z7" s="38">
        <f>+Cash_Flow_Qtr!AY7</f>
        <v>0</v>
      </c>
      <c r="AA7" s="38">
        <f>+Cash_Flow_Qtr!BD7</f>
        <v>0</v>
      </c>
      <c r="AB7" s="38">
        <f>+Cash_Flow_Qtr!BI7</f>
        <v>0</v>
      </c>
      <c r="AC7" s="43">
        <v>0</v>
      </c>
      <c r="AD7" s="43">
        <v>0</v>
      </c>
      <c r="AE7" s="43">
        <v>0</v>
      </c>
      <c r="AF7" s="43">
        <v>0</v>
      </c>
    </row>
    <row r="8" spans="1:35">
      <c r="A8" s="1" t="str">
        <f>Cash_Flow_Qtr!A8</f>
        <v>Investment/Asset Impairment Charges, Net</v>
      </c>
      <c r="B8" s="43">
        <v>0</v>
      </c>
      <c r="C8" s="43">
        <v>438</v>
      </c>
      <c r="D8" s="43">
        <v>357</v>
      </c>
      <c r="E8" s="43">
        <v>153</v>
      </c>
      <c r="F8" s="43">
        <v>122</v>
      </c>
      <c r="G8" s="43">
        <v>83</v>
      </c>
      <c r="H8" s="43">
        <v>118</v>
      </c>
      <c r="I8" s="43">
        <v>51</v>
      </c>
      <c r="J8" s="43">
        <v>50</v>
      </c>
      <c r="K8" s="43">
        <v>151</v>
      </c>
      <c r="L8" s="43">
        <v>174</v>
      </c>
      <c r="M8" s="43">
        <v>119</v>
      </c>
      <c r="N8" s="43">
        <v>84</v>
      </c>
      <c r="O8" s="43">
        <v>96</v>
      </c>
      <c r="P8" s="43">
        <v>229</v>
      </c>
      <c r="Q8" s="38">
        <f>+Cash_Flow_Qtr!F8</f>
        <v>167</v>
      </c>
      <c r="R8" s="38">
        <f>+Cash_Flow_Qtr!K8</f>
        <v>90</v>
      </c>
      <c r="S8" s="38">
        <f>+Cash_Flow_Qtr!P8</f>
        <v>113</v>
      </c>
      <c r="T8" s="38">
        <f>+Cash_Flow_Qtr!U8</f>
        <v>93</v>
      </c>
      <c r="U8" s="38">
        <f>+Cash_Flow_Qtr!Z8</f>
        <v>443</v>
      </c>
      <c r="V8" s="38">
        <f>+Cash_Flow_Qtr!AE8</f>
        <v>410</v>
      </c>
      <c r="W8" s="38">
        <f>+Cash_Flow_Qtr!AJ8</f>
        <v>98</v>
      </c>
      <c r="X8" s="38">
        <f>+Cash_Flow_Qtr!AO8</f>
        <v>112</v>
      </c>
      <c r="Y8" s="38">
        <f>+Cash_Flow_Qtr!AT8</f>
        <v>46</v>
      </c>
      <c r="Z8" s="38">
        <f>+Cash_Flow_Qtr!AY8</f>
        <v>112</v>
      </c>
      <c r="AA8" s="38">
        <f>+Cash_Flow_Qtr!BD8</f>
        <v>45</v>
      </c>
      <c r="AB8" s="38">
        <f>+Cash_Flow_Qtr!BI8</f>
        <v>0</v>
      </c>
      <c r="AC8" s="43">
        <v>0</v>
      </c>
      <c r="AD8" s="43">
        <v>0</v>
      </c>
      <c r="AE8" s="43">
        <v>0</v>
      </c>
      <c r="AF8" s="43">
        <v>0</v>
      </c>
    </row>
    <row r="9" spans="1:35">
      <c r="A9" s="1" t="str">
        <f>Cash_Flow_Qtr!A9</f>
        <v>Customer Financing Valuation Adjustments</v>
      </c>
      <c r="B9" s="43">
        <v>13</v>
      </c>
      <c r="C9" s="43">
        <v>42</v>
      </c>
      <c r="D9" s="43">
        <v>219</v>
      </c>
      <c r="E9" s="43">
        <v>216</v>
      </c>
      <c r="F9" s="43">
        <v>45</v>
      </c>
      <c r="G9" s="43">
        <v>73</v>
      </c>
      <c r="H9" s="43">
        <v>32</v>
      </c>
      <c r="I9" s="43">
        <v>-60</v>
      </c>
      <c r="J9" s="43">
        <v>84</v>
      </c>
      <c r="K9" s="43">
        <v>45</v>
      </c>
      <c r="L9" s="43">
        <v>51</v>
      </c>
      <c r="M9" s="43">
        <v>-269</v>
      </c>
      <c r="N9" s="43">
        <v>-10</v>
      </c>
      <c r="O9" s="43">
        <v>-11</v>
      </c>
      <c r="P9" s="43">
        <v>-28</v>
      </c>
      <c r="Q9" s="38">
        <f>+Cash_Flow_Qtr!F9</f>
        <v>-5</v>
      </c>
      <c r="R9" s="38">
        <f>+Cash_Flow_Qtr!K9</f>
        <v>-7</v>
      </c>
      <c r="S9" s="38">
        <f>+Cash_Flow_Qtr!P9</f>
        <v>2</v>
      </c>
      <c r="T9" s="38">
        <f>+Cash_Flow_Qtr!U9</f>
        <v>-3</v>
      </c>
      <c r="U9" s="38">
        <f>+Cash_Flow_Qtr!Z9</f>
        <v>250</v>
      </c>
      <c r="V9" s="38">
        <f>+Cash_Flow_Qtr!AE9</f>
        <v>12</v>
      </c>
      <c r="W9" s="38">
        <f>+Cash_Flow_Qtr!AJ9</f>
        <v>0</v>
      </c>
      <c r="X9" s="38">
        <f>+Cash_Flow_Qtr!AO9</f>
        <v>37</v>
      </c>
      <c r="Y9" s="38">
        <f>+Cash_Flow_Qtr!AT9</f>
        <v>0</v>
      </c>
      <c r="Z9" s="38">
        <f>+Cash_Flow_Qtr!AY9</f>
        <v>0</v>
      </c>
      <c r="AA9" s="38">
        <f>+Cash_Flow_Qtr!BD9</f>
        <v>0</v>
      </c>
      <c r="AB9" s="38">
        <f>+Cash_Flow_Qtr!BI9</f>
        <v>0</v>
      </c>
      <c r="AC9" s="43">
        <v>0</v>
      </c>
      <c r="AD9" s="43">
        <v>0</v>
      </c>
      <c r="AE9" s="43">
        <v>0</v>
      </c>
      <c r="AF9" s="43">
        <v>0</v>
      </c>
    </row>
    <row r="10" spans="1:35">
      <c r="A10" s="1" t="str">
        <f>Cash_Flow_Qtr!A10</f>
        <v>Loss/(Gain) on Disposal of Discontinued Operations</v>
      </c>
      <c r="B10" s="43">
        <v>0</v>
      </c>
      <c r="C10" s="43">
        <v>0</v>
      </c>
      <c r="D10" s="43">
        <v>0</v>
      </c>
      <c r="E10" s="43">
        <v>0</v>
      </c>
      <c r="F10" s="43">
        <v>-66</v>
      </c>
      <c r="G10" s="43">
        <v>12</v>
      </c>
      <c r="H10" s="43">
        <v>-14</v>
      </c>
      <c r="I10" s="43">
        <v>-25</v>
      </c>
      <c r="J10" s="43">
        <v>-28</v>
      </c>
      <c r="K10" s="43">
        <v>36</v>
      </c>
      <c r="L10" s="43">
        <v>6</v>
      </c>
      <c r="M10" s="43">
        <v>-11</v>
      </c>
      <c r="N10" s="43">
        <v>5</v>
      </c>
      <c r="O10" s="43">
        <v>1</v>
      </c>
      <c r="P10" s="43">
        <v>0</v>
      </c>
      <c r="Q10" s="38">
        <f>+Cash_Flow_Qtr!F10</f>
        <v>0</v>
      </c>
      <c r="R10" s="38">
        <f>+Cash_Flow_Qtr!K10</f>
        <v>0</v>
      </c>
      <c r="S10" s="38">
        <f>+Cash_Flow_Qtr!P10</f>
        <v>0</v>
      </c>
      <c r="T10" s="38">
        <f>+Cash_Flow_Qtr!U10</f>
        <v>0</v>
      </c>
      <c r="U10" s="38">
        <f>+Cash_Flow_Qtr!Z10</f>
        <v>0</v>
      </c>
      <c r="V10" s="38">
        <f>+Cash_Flow_Qtr!AE10</f>
        <v>0</v>
      </c>
      <c r="W10" s="38">
        <f>+Cash_Flow_Qtr!AJ10</f>
        <v>0</v>
      </c>
      <c r="X10" s="38">
        <f>+Cash_Flow_Qtr!AO10</f>
        <v>0</v>
      </c>
      <c r="Y10" s="38">
        <f>+Cash_Flow_Qtr!AT10</f>
        <v>0</v>
      </c>
      <c r="Z10" s="38">
        <f>+Cash_Flow_Qtr!AY10</f>
        <v>0</v>
      </c>
      <c r="AA10" s="38">
        <f>+Cash_Flow_Qtr!BD10</f>
        <v>0</v>
      </c>
      <c r="AB10" s="38">
        <f>+Cash_Flow_Qtr!BI10</f>
        <v>0</v>
      </c>
      <c r="AC10" s="43">
        <v>0</v>
      </c>
      <c r="AD10" s="43">
        <v>0</v>
      </c>
      <c r="AE10" s="43">
        <v>0</v>
      </c>
      <c r="AF10" s="43">
        <v>0</v>
      </c>
    </row>
    <row r="11" spans="1:35">
      <c r="A11" s="1" t="str">
        <f>Cash_Flow_Qtr!A11</f>
        <v>Gain on Dispositions, Net</v>
      </c>
      <c r="B11" s="43">
        <v>-34</v>
      </c>
      <c r="C11" s="43">
        <v>-21</v>
      </c>
      <c r="D11" s="43">
        <v>-44</v>
      </c>
      <c r="E11" s="43">
        <v>2</v>
      </c>
      <c r="F11" s="43">
        <v>-23</v>
      </c>
      <c r="G11" s="43">
        <v>-520</v>
      </c>
      <c r="H11" s="43">
        <v>226</v>
      </c>
      <c r="I11" s="43">
        <v>-38</v>
      </c>
      <c r="J11" s="43">
        <v>-4</v>
      </c>
      <c r="K11" s="43">
        <v>24</v>
      </c>
      <c r="L11" s="43">
        <v>-6</v>
      </c>
      <c r="M11" s="43">
        <v>-24</v>
      </c>
      <c r="N11" s="43">
        <v>-4</v>
      </c>
      <c r="O11" s="43">
        <v>-20</v>
      </c>
      <c r="P11" s="43">
        <v>10</v>
      </c>
      <c r="Q11" s="38">
        <f>+Cash_Flow_Qtr!F11</f>
        <v>1</v>
      </c>
      <c r="R11" s="38">
        <f>+Cash_Flow_Qtr!K11</f>
        <v>7</v>
      </c>
      <c r="S11" s="38">
        <f>+Cash_Flow_Qtr!P11</f>
        <v>-21</v>
      </c>
      <c r="T11" s="38">
        <f>+Cash_Flow_Qtr!U11</f>
        <v>-75</v>
      </c>
      <c r="U11" s="38">
        <f>+Cash_Flow_Qtr!Z11</f>
        <v>-691</v>
      </c>
      <c r="V11" s="38">
        <f>+Cash_Flow_Qtr!AE11</f>
        <v>-202</v>
      </c>
      <c r="W11" s="38">
        <f>+Cash_Flow_Qtr!AJ11</f>
        <v>-277</v>
      </c>
      <c r="X11" s="38">
        <f>+Cash_Flow_Qtr!AO11</f>
        <v>-6</v>
      </c>
      <c r="Y11" s="38">
        <f>+Cash_Flow_Qtr!AT11</f>
        <v>-2</v>
      </c>
      <c r="Z11" s="38">
        <f>+Cash_Flow_Qtr!AY11</f>
        <v>-46</v>
      </c>
      <c r="AA11" s="38">
        <f>+Cash_Flow_Qtr!BD11</f>
        <v>-9672</v>
      </c>
      <c r="AB11" s="38">
        <f>+Cash_Flow_Qtr!BI11</f>
        <v>0</v>
      </c>
      <c r="AC11" s="43">
        <v>0</v>
      </c>
      <c r="AD11" s="43">
        <v>0</v>
      </c>
      <c r="AE11" s="43">
        <v>0</v>
      </c>
      <c r="AF11" s="43">
        <v>0</v>
      </c>
    </row>
    <row r="12" spans="1:35">
      <c r="A12" s="1" t="str">
        <f>Cash_Flow_Qtr!A12</f>
        <v>Excess Tax Benefits from Share-Based Payment Arrangements</v>
      </c>
      <c r="B12" s="43">
        <v>0</v>
      </c>
      <c r="C12" s="43">
        <v>0</v>
      </c>
      <c r="D12" s="43">
        <v>0</v>
      </c>
      <c r="E12" s="43">
        <v>0</v>
      </c>
      <c r="F12" s="43">
        <v>-23</v>
      </c>
      <c r="G12" s="43">
        <v>-70</v>
      </c>
      <c r="H12" s="43">
        <v>-395</v>
      </c>
      <c r="I12" s="43">
        <v>-144</v>
      </c>
      <c r="J12" s="43">
        <v>-100</v>
      </c>
      <c r="K12" s="43">
        <v>-5</v>
      </c>
      <c r="L12" s="43">
        <v>-19</v>
      </c>
      <c r="M12" s="43">
        <v>-36</v>
      </c>
      <c r="N12" s="43">
        <v>-45</v>
      </c>
      <c r="O12" s="43">
        <v>-128</v>
      </c>
      <c r="P12" s="43">
        <v>-114</v>
      </c>
      <c r="Q12" s="38">
        <f>+Cash_Flow_Qtr!F12</f>
        <v>-157</v>
      </c>
      <c r="R12" s="38">
        <f>+Cash_Flow_Qtr!K12</f>
        <v>0</v>
      </c>
      <c r="S12" s="38">
        <f>+Cash_Flow_Qtr!P12</f>
        <v>0</v>
      </c>
      <c r="T12" s="38">
        <f>+Cash_Flow_Qtr!U12</f>
        <v>0</v>
      </c>
      <c r="U12" s="38">
        <f>+Cash_Flow_Qtr!Z12</f>
        <v>0</v>
      </c>
      <c r="V12" s="38">
        <f>+Cash_Flow_Qtr!AE12</f>
        <v>0</v>
      </c>
      <c r="W12" s="38">
        <f>+Cash_Flow_Qtr!AJ12</f>
        <v>0</v>
      </c>
      <c r="X12" s="38">
        <f>+Cash_Flow_Qtr!AO12</f>
        <v>0</v>
      </c>
      <c r="Y12" s="38">
        <f>+Cash_Flow_Qtr!AT12</f>
        <v>0</v>
      </c>
      <c r="Z12" s="38">
        <f>+Cash_Flow_Qtr!AY12</f>
        <v>0</v>
      </c>
      <c r="AA12" s="38">
        <f>+Cash_Flow_Qtr!BD12</f>
        <v>0</v>
      </c>
      <c r="AB12" s="38">
        <f>+Cash_Flow_Qtr!BI12</f>
        <v>0</v>
      </c>
      <c r="AC12" s="43">
        <v>0</v>
      </c>
      <c r="AD12" s="43">
        <v>0</v>
      </c>
      <c r="AE12" s="43">
        <v>0</v>
      </c>
      <c r="AF12" s="43">
        <v>0</v>
      </c>
    </row>
    <row r="13" spans="1:35">
      <c r="A13" s="1" t="str">
        <f>Cash_Flow_Qtr!A13</f>
        <v>Other Charges and Credits, Net</v>
      </c>
      <c r="B13" s="43">
        <v>557</v>
      </c>
      <c r="C13" s="43">
        <f>-1+9</f>
        <v>8</v>
      </c>
      <c r="D13" s="43">
        <f>-17+12+2410</f>
        <v>2405</v>
      </c>
      <c r="E13" s="43">
        <f>63+18+63+913</f>
        <v>1057</v>
      </c>
      <c r="F13" s="43">
        <f>539+15+15+3</f>
        <v>572</v>
      </c>
      <c r="G13" s="43">
        <f>129+23</f>
        <v>152</v>
      </c>
      <c r="H13" s="43">
        <f>82+14</f>
        <v>96</v>
      </c>
      <c r="I13" s="43">
        <f>197-1</f>
        <v>196</v>
      </c>
      <c r="J13" s="43">
        <f>116+11</f>
        <v>127</v>
      </c>
      <c r="K13" s="43">
        <f>214+12</f>
        <v>226</v>
      </c>
      <c r="L13" s="43">
        <f>512+19</f>
        <v>531</v>
      </c>
      <c r="M13" s="43">
        <v>500</v>
      </c>
      <c r="N13" s="43">
        <v>694</v>
      </c>
      <c r="O13" s="43">
        <v>528</v>
      </c>
      <c r="P13" s="43">
        <v>317</v>
      </c>
      <c r="Q13" s="38">
        <f>+Cash_Flow_Qtr!F13</f>
        <v>364</v>
      </c>
      <c r="R13" s="38">
        <f>+Cash_Flow_Qtr!K13</f>
        <v>369</v>
      </c>
      <c r="S13" s="38">
        <f>+Cash_Flow_Qtr!P13</f>
        <v>293</v>
      </c>
      <c r="T13" s="38">
        <f>+Cash_Flow_Qtr!U13</f>
        <v>247</v>
      </c>
      <c r="U13" s="38">
        <f>+Cash_Flow_Qtr!Z13</f>
        <v>334</v>
      </c>
      <c r="V13" s="38">
        <f>+Cash_Flow_Qtr!AE13</f>
        <v>8150</v>
      </c>
      <c r="W13" s="38">
        <f>+Cash_Flow_Qtr!AJ13</f>
        <v>5053</v>
      </c>
      <c r="X13" s="38">
        <f>+Cash_Flow_Qtr!AO13</f>
        <v>1579</v>
      </c>
      <c r="Y13" s="38">
        <f>+Cash_Flow_Qtr!AT13</f>
        <v>1518</v>
      </c>
      <c r="Z13" s="38">
        <f>+Cash_Flow_Qtr!AY13</f>
        <v>6208</v>
      </c>
      <c r="AA13" s="38">
        <f>+Cash_Flow_Qtr!BD13</f>
        <v>7077</v>
      </c>
      <c r="AB13" s="38">
        <f>+Cash_Flow_Qtr!BI13</f>
        <v>2500</v>
      </c>
      <c r="AC13" s="43">
        <v>2000</v>
      </c>
      <c r="AD13" s="43">
        <v>1500</v>
      </c>
      <c r="AE13" s="43">
        <v>1500</v>
      </c>
      <c r="AF13" s="43">
        <v>1500</v>
      </c>
    </row>
    <row r="14" spans="1:35">
      <c r="A14" s="1" t="str">
        <f>Cash_Flow_Qtr!A14</f>
        <v>Changes in Assets and Liabilities</v>
      </c>
      <c r="B14" s="43"/>
      <c r="C14" s="43"/>
      <c r="D14" s="43"/>
      <c r="E14" s="43"/>
      <c r="F14" s="43"/>
      <c r="G14" s="43"/>
      <c r="H14" s="43"/>
      <c r="I14" s="43"/>
      <c r="J14" s="43"/>
      <c r="K14" s="43"/>
      <c r="L14" s="43"/>
      <c r="M14" s="43"/>
      <c r="N14" s="43"/>
      <c r="O14" s="43"/>
      <c r="P14" s="43"/>
      <c r="Q14" s="38"/>
      <c r="R14" s="38"/>
      <c r="S14" s="38"/>
      <c r="T14" s="38"/>
      <c r="U14" s="38"/>
      <c r="V14" s="38"/>
      <c r="W14" s="38"/>
      <c r="X14" s="38"/>
      <c r="Y14" s="38"/>
      <c r="Z14" s="38"/>
      <c r="AA14" s="38"/>
      <c r="AB14" s="38"/>
      <c r="AC14" s="38"/>
      <c r="AD14" s="38"/>
      <c r="AE14" s="38"/>
      <c r="AF14" s="38"/>
    </row>
    <row r="15" spans="1:35">
      <c r="A15" s="3" t="str">
        <f>Cash_Flow_Qtr!A15</f>
        <v>Accounts Receivables, Net</v>
      </c>
      <c r="B15" s="43">
        <v>-1359</v>
      </c>
      <c r="C15" s="43">
        <v>342</v>
      </c>
      <c r="D15" s="43">
        <v>-155</v>
      </c>
      <c r="E15" s="43">
        <v>357</v>
      </c>
      <c r="F15" s="43">
        <v>-241</v>
      </c>
      <c r="G15" s="43">
        <v>-592</v>
      </c>
      <c r="H15" s="43">
        <v>-244</v>
      </c>
      <c r="I15" s="43">
        <v>-392</v>
      </c>
      <c r="J15" s="43">
        <v>564</v>
      </c>
      <c r="K15" s="43">
        <v>-391</v>
      </c>
      <c r="L15" s="43">
        <v>8</v>
      </c>
      <c r="M15" s="43">
        <v>-292</v>
      </c>
      <c r="N15" s="43">
        <v>-27</v>
      </c>
      <c r="O15" s="43">
        <v>-879</v>
      </c>
      <c r="P15" s="43">
        <v>-1328</v>
      </c>
      <c r="Q15" s="38">
        <f>+Cash_Flow_Qtr!F15</f>
        <v>-1069</v>
      </c>
      <c r="R15" s="38">
        <f>+Cash_Flow_Qtr!K15</f>
        <v>112</v>
      </c>
      <c r="S15" s="38">
        <f>+Cash_Flow_Qtr!P15</f>
        <v>-840</v>
      </c>
      <c r="T15" s="38">
        <f>+Cash_Flow_Qtr!U15</f>
        <v>-795</v>
      </c>
      <c r="U15" s="38">
        <f>+Cash_Flow_Qtr!Z15</f>
        <v>603</v>
      </c>
      <c r="V15" s="38">
        <f>+Cash_Flow_Qtr!AE15</f>
        <v>909</v>
      </c>
      <c r="W15" s="38">
        <f>+Cash_Flow_Qtr!AJ15</f>
        <v>-713</v>
      </c>
      <c r="X15" s="38">
        <f>+Cash_Flow_Qtr!AO15</f>
        <v>142</v>
      </c>
      <c r="Y15" s="38">
        <f>+Cash_Flow_Qtr!AT15</f>
        <v>-128</v>
      </c>
      <c r="Z15" s="38">
        <f>+Cash_Flow_Qtr!AY15</f>
        <v>-37</v>
      </c>
      <c r="AA15" s="38">
        <f>+Cash_Flow_Qtr!BD15</f>
        <v>-95</v>
      </c>
      <c r="AB15" s="38">
        <f>+Cash_Flow_Qtr!BI15</f>
        <v>52.486930548418968</v>
      </c>
      <c r="AC15" s="38">
        <f>(Balance_Sheet_Annual!AB8-Balance_Sheet_Annual!AC8)</f>
        <v>-100.75986732649835</v>
      </c>
      <c r="AD15" s="38">
        <f>(Balance_Sheet_Annual!AC8-Balance_Sheet_Annual!AD8)</f>
        <v>-36.724657985494559</v>
      </c>
      <c r="AE15" s="38">
        <f>(Balance_Sheet_Annual!AD8-Balance_Sheet_Annual!AE8)</f>
        <v>42.988212715012196</v>
      </c>
      <c r="AF15" s="38">
        <f>(Balance_Sheet_Annual!AE8-Balance_Sheet_Annual!AF8)</f>
        <v>325.30645956808576</v>
      </c>
      <c r="AH15" s="109"/>
      <c r="AI15" s="77"/>
    </row>
    <row r="16" spans="1:35">
      <c r="A16" s="3" t="str">
        <f>Cash_Flow_Qtr!A16</f>
        <v>Unbilled Receivables</v>
      </c>
      <c r="B16" s="43">
        <v>0</v>
      </c>
      <c r="C16" s="43">
        <v>0</v>
      </c>
      <c r="D16" s="43">
        <v>0</v>
      </c>
      <c r="E16" s="43">
        <v>0</v>
      </c>
      <c r="F16" s="43">
        <v>0</v>
      </c>
      <c r="G16" s="43">
        <v>0</v>
      </c>
      <c r="H16" s="43">
        <v>0</v>
      </c>
      <c r="I16" s="43">
        <v>0</v>
      </c>
      <c r="J16" s="43">
        <v>0</v>
      </c>
      <c r="K16" s="43">
        <v>0</v>
      </c>
      <c r="L16" s="43">
        <v>0</v>
      </c>
      <c r="M16" s="43">
        <v>0</v>
      </c>
      <c r="N16" s="43">
        <v>0</v>
      </c>
      <c r="O16" s="43">
        <v>0</v>
      </c>
      <c r="P16" s="43">
        <v>0</v>
      </c>
      <c r="Q16" s="38">
        <f>+Cash_Flow_Qtr!F16</f>
        <v>0</v>
      </c>
      <c r="R16" s="38">
        <f>+Cash_Flow_Qtr!K16</f>
        <v>0</v>
      </c>
      <c r="S16" s="38">
        <f>+Cash_Flow_Qtr!P16</f>
        <v>-1600</v>
      </c>
      <c r="T16" s="38">
        <f>+Cash_Flow_Qtr!U16</f>
        <v>-1826</v>
      </c>
      <c r="U16" s="38">
        <f>+Cash_Flow_Qtr!Z16</f>
        <v>982</v>
      </c>
      <c r="V16" s="38">
        <f>+Cash_Flow_Qtr!AE16</f>
        <v>919</v>
      </c>
      <c r="W16" s="38">
        <f>+Cash_Flow_Qtr!AJ16</f>
        <v>-586</v>
      </c>
      <c r="X16" s="38">
        <f>+Cash_Flow_Qtr!AO16</f>
        <v>6</v>
      </c>
      <c r="Y16" s="38">
        <f>+Cash_Flow_Qtr!AT16</f>
        <v>321</v>
      </c>
      <c r="Z16" s="38">
        <f>+Cash_Flow_Qtr!AY16</f>
        <v>-60</v>
      </c>
      <c r="AA16" s="38">
        <f>+Cash_Flow_Qtr!BD16</f>
        <v>-677</v>
      </c>
      <c r="AB16" s="38">
        <f>+Cash_Flow_Qtr!BI16</f>
        <v>347.56700097014436</v>
      </c>
      <c r="AC16" s="38">
        <f>(Balance_Sheet_Annual!AB9-Balance_Sheet_Annual!AC9)</f>
        <v>-245.84945814328603</v>
      </c>
      <c r="AD16" s="38">
        <f>(Balance_Sheet_Annual!AC9-Balance_Sheet_Annual!AD9)</f>
        <v>-119.13783001860247</v>
      </c>
      <c r="AE16" s="38">
        <f>(Balance_Sheet_Annual!AD9-Balance_Sheet_Annual!AE9)</f>
        <v>-69.553791213020304</v>
      </c>
      <c r="AF16" s="38">
        <f>(Balance_Sheet_Annual!AE9-Balance_Sheet_Annual!AF9)</f>
        <v>672.43958034321804</v>
      </c>
      <c r="AH16" s="109"/>
      <c r="AI16" s="77"/>
    </row>
    <row r="17" spans="1:35">
      <c r="A17" s="3" t="str">
        <f>Cash_Flow_Qtr!A17</f>
        <v>Advance and Progress Billings</v>
      </c>
      <c r="B17" s="43">
        <v>0</v>
      </c>
      <c r="C17" s="43">
        <v>0</v>
      </c>
      <c r="D17" s="43">
        <v>0</v>
      </c>
      <c r="E17" s="43">
        <v>0</v>
      </c>
      <c r="F17" s="43">
        <v>0</v>
      </c>
      <c r="G17" s="43">
        <v>0</v>
      </c>
      <c r="H17" s="43">
        <v>0</v>
      </c>
      <c r="I17" s="43">
        <v>0</v>
      </c>
      <c r="J17" s="43">
        <v>0</v>
      </c>
      <c r="K17" s="43">
        <v>0</v>
      </c>
      <c r="L17" s="43">
        <v>0</v>
      </c>
      <c r="M17" s="43">
        <v>0</v>
      </c>
      <c r="N17" s="43">
        <v>0</v>
      </c>
      <c r="O17" s="43">
        <v>0</v>
      </c>
      <c r="P17" s="43">
        <v>0</v>
      </c>
      <c r="Q17" s="38">
        <f>+Cash_Flow_Qtr!F17</f>
        <v>0</v>
      </c>
      <c r="R17" s="38">
        <f>+Cash_Flow_Qtr!K17</f>
        <v>0</v>
      </c>
      <c r="S17" s="38">
        <f>+Cash_Flow_Qtr!P17</f>
        <v>4700</v>
      </c>
      <c r="T17" s="38">
        <f>+Cash_Flow_Qtr!U17</f>
        <v>2636</v>
      </c>
      <c r="U17" s="38">
        <f>+Cash_Flow_Qtr!Z17</f>
        <v>737</v>
      </c>
      <c r="V17" s="38">
        <f>+Cash_Flow_Qtr!AE17</f>
        <v>-1060</v>
      </c>
      <c r="W17" s="38">
        <f>+Cash_Flow_Qtr!AJ17</f>
        <v>2505</v>
      </c>
      <c r="X17" s="38">
        <f>+Cash_Flow_Qtr!AO17</f>
        <v>108</v>
      </c>
      <c r="Y17" s="38">
        <f>+Cash_Flow_Qtr!AT17</f>
        <v>3365</v>
      </c>
      <c r="Z17" s="38">
        <f>+Cash_Flow_Qtr!AY17</f>
        <v>4069</v>
      </c>
      <c r="AA17" s="38">
        <f>+Cash_Flow_Qtr!BD17</f>
        <v>-723</v>
      </c>
      <c r="AB17" s="38">
        <f>+Cash_Flow_Qtr!BI17</f>
        <v>-189.06323943661118</v>
      </c>
      <c r="AC17" s="38">
        <f>(Balance_Sheet_Annual!AC33-Balance_Sheet_Annual!AB33)</f>
        <v>29.308478873237618</v>
      </c>
      <c r="AD17" s="38">
        <f>(Balance_Sheet_Annual!AD33-Balance_Sheet_Annual!AC33)</f>
        <v>314.71787830987159</v>
      </c>
      <c r="AE17" s="38">
        <f>(Balance_Sheet_Annual!AE33-Balance_Sheet_Annual!AD33)</f>
        <v>524.41016465915891</v>
      </c>
      <c r="AF17" s="38">
        <f>(Balance_Sheet_Annual!AF33-Balance_Sheet_Annual!AE33)</f>
        <v>194.28990112005704</v>
      </c>
      <c r="AH17" s="109"/>
      <c r="AI17" s="77"/>
    </row>
    <row r="18" spans="1:35">
      <c r="A18" s="3" t="str">
        <f>Cash_Flow_Qtr!A18</f>
        <v>Inventories</v>
      </c>
      <c r="B18" s="43">
        <v>1039</v>
      </c>
      <c r="C18" s="43">
        <v>-27</v>
      </c>
      <c r="D18" s="43">
        <v>1371</v>
      </c>
      <c r="E18" s="43">
        <v>493</v>
      </c>
      <c r="F18" s="43">
        <v>535</v>
      </c>
      <c r="G18" s="43">
        <v>-1965</v>
      </c>
      <c r="H18" s="43">
        <v>444</v>
      </c>
      <c r="I18" s="43">
        <v>-1577</v>
      </c>
      <c r="J18" s="43">
        <v>-6168</v>
      </c>
      <c r="K18" s="43">
        <v>-1525</v>
      </c>
      <c r="L18" s="43">
        <v>-7387</v>
      </c>
      <c r="M18" s="43">
        <v>-10012</v>
      </c>
      <c r="N18" s="43">
        <v>-5681</v>
      </c>
      <c r="O18" s="43">
        <v>-5562</v>
      </c>
      <c r="P18" s="43">
        <v>-4330</v>
      </c>
      <c r="Q18" s="38">
        <f>+Cash_Flow_Qtr!F18</f>
        <v>-1110</v>
      </c>
      <c r="R18" s="38">
        <f>+Cash_Flow_Qtr!K18</f>
        <v>3755</v>
      </c>
      <c r="S18" s="38">
        <f>+Cash_Flow_Qtr!P18</f>
        <v>-1403</v>
      </c>
      <c r="T18" s="38">
        <f>+Cash_Flow_Qtr!U18</f>
        <v>568</v>
      </c>
      <c r="U18" s="38">
        <f>+Cash_Flow_Qtr!Z18</f>
        <v>-12391</v>
      </c>
      <c r="V18" s="38">
        <f>+Cash_Flow_Qtr!AE18</f>
        <v>-11002</v>
      </c>
      <c r="W18" s="38">
        <f>+Cash_Flow_Qtr!AJ18</f>
        <v>-1127</v>
      </c>
      <c r="X18" s="38">
        <f>+Cash_Flow_Qtr!AO18</f>
        <v>420</v>
      </c>
      <c r="Y18" s="38">
        <f>+Cash_Flow_Qtr!AT18</f>
        <v>-1681</v>
      </c>
      <c r="Z18" s="38">
        <f>+Cash_Flow_Qtr!AY18</f>
        <v>-12353</v>
      </c>
      <c r="AA18" s="38">
        <f>+Cash_Flow_Qtr!BD18</f>
        <v>-1501</v>
      </c>
      <c r="AB18" s="38">
        <f ca="1">+Cash_Flow_Qtr!BI18</f>
        <v>1910.75</v>
      </c>
      <c r="AC18" s="38">
        <f ca="1">(Balance_Sheet_Annual!AB12-Balance_Sheet_Annual!AC12)</f>
        <v>910</v>
      </c>
      <c r="AD18" s="38">
        <f ca="1">(Balance_Sheet_Annual!AC12-Balance_Sheet_Annual!AD12)</f>
        <v>1660</v>
      </c>
      <c r="AE18" s="38">
        <f ca="1">(Balance_Sheet_Annual!AD12-Balance_Sheet_Annual!AE12)</f>
        <v>1660</v>
      </c>
      <c r="AF18" s="38">
        <f ca="1">(Balance_Sheet_Annual!AE12-Balance_Sheet_Annual!AF12)</f>
        <v>1660</v>
      </c>
      <c r="AH18" s="109"/>
      <c r="AI18" s="77"/>
    </row>
    <row r="19" spans="1:35">
      <c r="A19" s="3" t="str">
        <f>Cash_Flow_Qtr!A19</f>
        <v>Other Current Assets</v>
      </c>
      <c r="B19" s="43">
        <v>100</v>
      </c>
      <c r="C19" s="43">
        <v>0</v>
      </c>
      <c r="D19" s="43">
        <v>0</v>
      </c>
      <c r="E19" s="43">
        <v>0</v>
      </c>
      <c r="F19" s="43">
        <v>0</v>
      </c>
      <c r="G19" s="43">
        <v>0</v>
      </c>
      <c r="H19" s="43">
        <v>0</v>
      </c>
      <c r="I19" s="43">
        <v>0</v>
      </c>
      <c r="J19" s="43">
        <v>0</v>
      </c>
      <c r="K19" s="43">
        <v>0</v>
      </c>
      <c r="L19" s="43">
        <v>0</v>
      </c>
      <c r="M19" s="43">
        <v>0</v>
      </c>
      <c r="N19" s="43">
        <v>0</v>
      </c>
      <c r="O19" s="43">
        <v>0</v>
      </c>
      <c r="P19" s="43">
        <v>0</v>
      </c>
      <c r="Q19" s="38">
        <f>+Cash_Flow_Qtr!F19</f>
        <v>0</v>
      </c>
      <c r="R19" s="38">
        <f>+Cash_Flow_Qtr!K19</f>
        <v>0</v>
      </c>
      <c r="S19" s="38">
        <f>+Cash_Flow_Qtr!P19</f>
        <v>-19</v>
      </c>
      <c r="T19" s="38">
        <f>+Cash_Flow_Qtr!U19</f>
        <v>98</v>
      </c>
      <c r="U19" s="38">
        <f>+Cash_Flow_Qtr!Z19</f>
        <v>-682</v>
      </c>
      <c r="V19" s="38">
        <f>+Cash_Flow_Qtr!AE19</f>
        <v>372</v>
      </c>
      <c r="W19" s="38">
        <f>+Cash_Flow_Qtr!AJ19</f>
        <v>345</v>
      </c>
      <c r="X19" s="38">
        <f>+Cash_Flow_Qtr!AO19</f>
        <v>-591</v>
      </c>
      <c r="Y19" s="38">
        <f>+Cash_Flow_Qtr!AT19</f>
        <v>389</v>
      </c>
      <c r="Z19" s="38">
        <f>+Cash_Flow_Qtr!AY19</f>
        <v>-16</v>
      </c>
      <c r="AA19" s="38">
        <f>+Cash_Flow_Qtr!BD19</f>
        <v>155</v>
      </c>
      <c r="AB19" s="38">
        <f>+Cash_Flow_Qtr!BI19</f>
        <v>63.275328071675631</v>
      </c>
      <c r="AC19" s="38">
        <f>Balance_Sheet_Annual!AB14-Balance_Sheet_Annual!AC14</f>
        <v>-129.95226095767407</v>
      </c>
      <c r="AD19" s="38">
        <f>Balance_Sheet_Annual!AC14-Balance_Sheet_Annual!AD14</f>
        <v>-71.007276529524233</v>
      </c>
      <c r="AE19" s="38">
        <f>Balance_Sheet_Annual!AD14-Balance_Sheet_Annual!AE14</f>
        <v>-58.995051051563451</v>
      </c>
      <c r="AF19" s="38">
        <f>Balance_Sheet_Annual!AE14-Balance_Sheet_Annual!AF14</f>
        <v>-49.498677105489605</v>
      </c>
      <c r="AH19" s="109"/>
      <c r="AI19" s="77"/>
    </row>
    <row r="20" spans="1:35">
      <c r="A20" s="3" t="str">
        <f>Cash_Flow_Qtr!A20</f>
        <v>Accounts Payable</v>
      </c>
      <c r="B20" s="43">
        <v>22</v>
      </c>
      <c r="C20" s="43">
        <v>300</v>
      </c>
      <c r="D20" s="43">
        <v>-823</v>
      </c>
      <c r="E20" s="43">
        <v>-225</v>
      </c>
      <c r="F20" s="43">
        <v>1321</v>
      </c>
      <c r="G20" s="43">
        <v>963</v>
      </c>
      <c r="H20" s="43">
        <v>-744</v>
      </c>
      <c r="I20" s="43">
        <v>928</v>
      </c>
      <c r="J20" s="43">
        <v>318</v>
      </c>
      <c r="K20" s="43">
        <v>1141</v>
      </c>
      <c r="L20" s="43">
        <v>313</v>
      </c>
      <c r="M20" s="43">
        <v>1164</v>
      </c>
      <c r="N20" s="43">
        <v>1199</v>
      </c>
      <c r="O20" s="43">
        <v>-298</v>
      </c>
      <c r="P20" s="43">
        <v>1339</v>
      </c>
      <c r="Q20" s="38">
        <f>+Cash_Flow_Qtr!F20</f>
        <v>-238</v>
      </c>
      <c r="R20" s="38">
        <f>+Cash_Flow_Qtr!K20</f>
        <v>622</v>
      </c>
      <c r="S20" s="38">
        <f>+Cash_Flow_Qtr!P20</f>
        <v>130</v>
      </c>
      <c r="T20" s="38">
        <f>+Cash_Flow_Qtr!U20</f>
        <v>2</v>
      </c>
      <c r="U20" s="38">
        <f>+Cash_Flow_Qtr!Z20</f>
        <v>1600</v>
      </c>
      <c r="V20" s="38">
        <f>+Cash_Flow_Qtr!AE20</f>
        <v>-5363</v>
      </c>
      <c r="W20" s="38">
        <f>+Cash_Flow_Qtr!AJ20</f>
        <v>-3783</v>
      </c>
      <c r="X20" s="38">
        <f>+Cash_Flow_Qtr!AO20</f>
        <v>838</v>
      </c>
      <c r="Y20" s="38">
        <f>+Cash_Flow_Qtr!AT20</f>
        <v>1672</v>
      </c>
      <c r="Z20" s="38">
        <f>+Cash_Flow_Qtr!AY20</f>
        <v>-793</v>
      </c>
      <c r="AA20" s="38">
        <f>+Cash_Flow_Qtr!BD20</f>
        <v>724</v>
      </c>
      <c r="AB20" s="38">
        <f>+Cash_Flow_Qtr!BI20</f>
        <v>413.99018455745318</v>
      </c>
      <c r="AC20" s="38">
        <f>(Balance_Sheet_Annual!AC31-Balance_Sheet_Annual!AB31)</f>
        <v>210.72854446346355</v>
      </c>
      <c r="AD20" s="38">
        <f>(Balance_Sheet_Annual!AD31-Balance_Sheet_Annual!AC31)</f>
        <v>292.56044997221579</v>
      </c>
      <c r="AE20" s="38">
        <f>(Balance_Sheet_Annual!AE31-Balance_Sheet_Annual!AD31)</f>
        <v>-4.8954960847568145</v>
      </c>
      <c r="AF20" s="38">
        <f>(Balance_Sheet_Annual!AF31-Balance_Sheet_Annual!AE31)</f>
        <v>833.2524661220632</v>
      </c>
      <c r="AH20" s="109"/>
      <c r="AI20" s="77"/>
    </row>
    <row r="21" spans="1:35">
      <c r="A21" s="3" t="str">
        <f>Cash_Flow_Qtr!A21</f>
        <v>Accrued Liabilities</v>
      </c>
      <c r="B21" s="43">
        <v>0</v>
      </c>
      <c r="C21" s="43">
        <v>0</v>
      </c>
      <c r="D21" s="43">
        <v>0</v>
      </c>
      <c r="E21" s="43">
        <v>0</v>
      </c>
      <c r="F21" s="43">
        <v>0</v>
      </c>
      <c r="G21" s="43">
        <v>0</v>
      </c>
      <c r="H21" s="43">
        <v>0</v>
      </c>
      <c r="I21" s="43">
        <v>0</v>
      </c>
      <c r="J21" s="43">
        <v>554</v>
      </c>
      <c r="K21" s="43">
        <v>1327</v>
      </c>
      <c r="L21" s="43">
        <v>668</v>
      </c>
      <c r="M21" s="43">
        <v>237</v>
      </c>
      <c r="N21" s="43">
        <v>801</v>
      </c>
      <c r="O21" s="43">
        <v>883</v>
      </c>
      <c r="P21" s="43">
        <v>-1088</v>
      </c>
      <c r="Q21" s="38">
        <f>+Cash_Flow_Qtr!F21</f>
        <v>2</v>
      </c>
      <c r="R21" s="38">
        <f>+Cash_Flow_Qtr!K21</f>
        <v>726</v>
      </c>
      <c r="S21" s="38">
        <f>+Cash_Flow_Qtr!P21</f>
        <v>335</v>
      </c>
      <c r="T21" s="38">
        <f>+Cash_Flow_Qtr!U21</f>
        <v>1117</v>
      </c>
      <c r="U21" s="38">
        <f>+Cash_Flow_Qtr!Z21</f>
        <v>7781</v>
      </c>
      <c r="V21" s="38">
        <f>+Cash_Flow_Qtr!AE21</f>
        <v>1074</v>
      </c>
      <c r="W21" s="38">
        <f>+Cash_Flow_Qtr!AJ21</f>
        <v>-3687</v>
      </c>
      <c r="X21" s="38">
        <f>+Cash_Flow_Qtr!AO21</f>
        <v>2956</v>
      </c>
      <c r="Y21" s="38">
        <f>+Cash_Flow_Qtr!AT21</f>
        <v>779</v>
      </c>
      <c r="Z21" s="38">
        <f>+Cash_Flow_Qtr!AY21</f>
        <v>1563</v>
      </c>
      <c r="AA21" s="38">
        <f>+Cash_Flow_Qtr!BD21</f>
        <v>1341</v>
      </c>
      <c r="AB21" s="38">
        <f>+Cash_Flow_Qtr!BI21</f>
        <v>-1669</v>
      </c>
      <c r="AC21" s="38">
        <f>Balance_Sheet_Annual!AC32-Balance_Sheet_Annual!AB32</f>
        <v>-1569</v>
      </c>
      <c r="AD21" s="38">
        <f>Balance_Sheet_Annual!AD32-Balance_Sheet_Annual!AC32</f>
        <v>-400</v>
      </c>
      <c r="AE21" s="38">
        <f>Balance_Sheet_Annual!AE32-Balance_Sheet_Annual!AD32</f>
        <v>-400</v>
      </c>
      <c r="AF21" s="38">
        <f>Balance_Sheet_Annual!AF32-Balance_Sheet_Annual!AE32</f>
        <v>-400</v>
      </c>
      <c r="AH21" s="109"/>
      <c r="AI21" s="77"/>
    </row>
    <row r="22" spans="1:35">
      <c r="A22" s="3" t="str">
        <f>Cash_Flow_Qtr!A22</f>
        <v>Advances and Billings in Excess of Related Costs</v>
      </c>
      <c r="B22" s="43">
        <v>1387</v>
      </c>
      <c r="C22" s="43">
        <v>504</v>
      </c>
      <c r="D22" s="43">
        <v>-898</v>
      </c>
      <c r="E22" s="43">
        <v>341</v>
      </c>
      <c r="F22" s="43">
        <v>735</v>
      </c>
      <c r="G22" s="43">
        <v>3562</v>
      </c>
      <c r="H22" s="43">
        <v>1739</v>
      </c>
      <c r="I22" s="43">
        <v>2369</v>
      </c>
      <c r="J22" s="43">
        <v>-1120</v>
      </c>
      <c r="K22" s="43">
        <v>-680</v>
      </c>
      <c r="L22" s="43">
        <v>238</v>
      </c>
      <c r="M22" s="43">
        <v>3173</v>
      </c>
      <c r="N22" s="43">
        <v>1177</v>
      </c>
      <c r="O22" s="43">
        <v>3353</v>
      </c>
      <c r="P22" s="43">
        <v>3145</v>
      </c>
      <c r="Q22" s="38">
        <f>+Cash_Flow_Qtr!F22</f>
        <v>1192</v>
      </c>
      <c r="R22" s="38">
        <f>+Cash_Flow_Qtr!K22</f>
        <v>-493</v>
      </c>
      <c r="S22" s="38">
        <f>+Cash_Flow_Qtr!P22</f>
        <v>0</v>
      </c>
      <c r="T22" s="38">
        <f>+Cash_Flow_Qtr!U22</f>
        <v>0</v>
      </c>
      <c r="U22" s="38">
        <f>+Cash_Flow_Qtr!Z22</f>
        <v>0</v>
      </c>
      <c r="V22" s="38">
        <f>+Cash_Flow_Qtr!AE22</f>
        <v>0</v>
      </c>
      <c r="W22" s="38">
        <f>+Cash_Flow_Qtr!AJ22</f>
        <v>0</v>
      </c>
      <c r="X22" s="38">
        <f>+Cash_Flow_Qtr!AO22</f>
        <v>0</v>
      </c>
      <c r="Y22" s="38">
        <f>+Cash_Flow_Qtr!AT22</f>
        <v>0</v>
      </c>
      <c r="Z22" s="38">
        <f>+Cash_Flow_Qtr!AY22</f>
        <v>0</v>
      </c>
      <c r="AA22" s="38">
        <f>+Cash_Flow_Qtr!BD22</f>
        <v>0</v>
      </c>
      <c r="AB22" s="38">
        <f>+Cash_Flow_Qtr!BI22</f>
        <v>0</v>
      </c>
      <c r="AC22" s="43">
        <v>0</v>
      </c>
      <c r="AD22" s="43">
        <v>0</v>
      </c>
      <c r="AE22" s="43">
        <v>0</v>
      </c>
      <c r="AF22" s="43">
        <v>0</v>
      </c>
      <c r="AH22" s="109"/>
      <c r="AI22" s="77"/>
    </row>
    <row r="23" spans="1:35">
      <c r="A23" s="3" t="str">
        <f>Cash_Flow_Qtr!A23</f>
        <v>Income Taxes Receivable, Payable and Deferred</v>
      </c>
      <c r="B23" s="43">
        <v>726</v>
      </c>
      <c r="C23" s="43">
        <v>-762</v>
      </c>
      <c r="D23" s="43">
        <v>322</v>
      </c>
      <c r="E23" s="43">
        <v>320</v>
      </c>
      <c r="F23" s="43">
        <v>1086</v>
      </c>
      <c r="G23" s="43">
        <v>628</v>
      </c>
      <c r="H23" s="43">
        <v>933</v>
      </c>
      <c r="I23" s="43">
        <v>1290</v>
      </c>
      <c r="J23" s="43">
        <v>744</v>
      </c>
      <c r="K23" s="43">
        <v>607</v>
      </c>
      <c r="L23" s="43">
        <v>822</v>
      </c>
      <c r="M23" s="43">
        <v>1262</v>
      </c>
      <c r="N23" s="43">
        <v>1605</v>
      </c>
      <c r="O23" s="43">
        <v>1445</v>
      </c>
      <c r="P23" s="43">
        <v>1325</v>
      </c>
      <c r="Q23" s="38">
        <f>+Cash_Flow_Qtr!F23</f>
        <v>477</v>
      </c>
      <c r="R23" s="38">
        <f>+Cash_Flow_Qtr!K23</f>
        <v>-810</v>
      </c>
      <c r="S23" s="38">
        <f>+Cash_Flow_Qtr!P23</f>
        <v>656</v>
      </c>
      <c r="T23" s="38">
        <f>+Cash_Flow_Qtr!U23</f>
        <v>-180</v>
      </c>
      <c r="U23" s="38">
        <f>+Cash_Flow_Qtr!Z23</f>
        <v>-2476</v>
      </c>
      <c r="V23" s="38">
        <f>+Cash_Flow_Qtr!AE23</f>
        <v>-2576</v>
      </c>
      <c r="W23" s="38">
        <f>+Cash_Flow_Qtr!AJ23</f>
        <v>733</v>
      </c>
      <c r="X23" s="38">
        <f>+Cash_Flow_Qtr!AO23</f>
        <v>1347</v>
      </c>
      <c r="Y23" s="38">
        <f>+Cash_Flow_Qtr!AT23</f>
        <v>44</v>
      </c>
      <c r="Z23" s="38">
        <f>+Cash_Flow_Qtr!AY23</f>
        <v>-567</v>
      </c>
      <c r="AA23" s="38">
        <f>+Cash_Flow_Qtr!BD23</f>
        <v>115</v>
      </c>
      <c r="AB23" s="38">
        <f>+Cash_Flow_Qtr!BI23</f>
        <v>0</v>
      </c>
      <c r="AC23" s="38">
        <f>(Balance_Sheet_Annual!AB11-Balance_Sheet_Annual!AC11)+(Balance_Sheet_Annual!AB22-Balance_Sheet_Annual!AC22)+(Balance_Sheet_Annual!AC35-Balance_Sheet_Annual!AB35)+(Balance_Sheet_Annual!AC43-Balance_Sheet_Annual!AB43)</f>
        <v>0</v>
      </c>
      <c r="AD23" s="38">
        <f>(Balance_Sheet_Annual!AC11-Balance_Sheet_Annual!AD11)+(Balance_Sheet_Annual!AC22-Balance_Sheet_Annual!AD22)+(Balance_Sheet_Annual!AD35-Balance_Sheet_Annual!AC35)+(Balance_Sheet_Annual!AD43-Balance_Sheet_Annual!AC43)</f>
        <v>0</v>
      </c>
      <c r="AE23" s="38">
        <f>(Balance_Sheet_Annual!AD11-Balance_Sheet_Annual!AE11)+(Balance_Sheet_Annual!AD22-Balance_Sheet_Annual!AE22)+(Balance_Sheet_Annual!AE35-Balance_Sheet_Annual!AD35)+(Balance_Sheet_Annual!AE43-Balance_Sheet_Annual!AD43)</f>
        <v>0</v>
      </c>
      <c r="AF23" s="38">
        <f>(Balance_Sheet_Annual!AE11-Balance_Sheet_Annual!AF11)+(Balance_Sheet_Annual!AE22-Balance_Sheet_Annual!AF22)+(Balance_Sheet_Annual!AF35-Balance_Sheet_Annual!AE35)+(Balance_Sheet_Annual!AF43-Balance_Sheet_Annual!AE43)</f>
        <v>0</v>
      </c>
      <c r="AH23" s="109"/>
      <c r="AI23" s="77"/>
    </row>
    <row r="24" spans="1:35">
      <c r="A24" s="3" t="str">
        <f>Cash_Flow_Qtr!A24</f>
        <v>Other Long-Term Liabilities</v>
      </c>
      <c r="B24" s="43">
        <v>0</v>
      </c>
      <c r="C24" s="43">
        <v>622</v>
      </c>
      <c r="D24" s="43">
        <v>-80</v>
      </c>
      <c r="E24" s="43">
        <v>233</v>
      </c>
      <c r="F24" s="43">
        <v>-30</v>
      </c>
      <c r="G24" s="43">
        <v>-476</v>
      </c>
      <c r="H24" s="43">
        <v>-62</v>
      </c>
      <c r="I24" s="43">
        <v>71</v>
      </c>
      <c r="J24" s="43">
        <v>-211</v>
      </c>
      <c r="K24" s="43">
        <v>-12</v>
      </c>
      <c r="L24" s="43">
        <v>328</v>
      </c>
      <c r="M24" s="43">
        <v>127</v>
      </c>
      <c r="N24" s="43">
        <v>157</v>
      </c>
      <c r="O24" s="43">
        <v>2</v>
      </c>
      <c r="P24" s="43">
        <v>36</v>
      </c>
      <c r="Q24" s="38">
        <f>+Cash_Flow_Qtr!F24</f>
        <v>46</v>
      </c>
      <c r="R24" s="38">
        <f>+Cash_Flow_Qtr!K24</f>
        <v>-68</v>
      </c>
      <c r="S24" s="38">
        <f>+Cash_Flow_Qtr!P24</f>
        <v>94</v>
      </c>
      <c r="T24" s="38">
        <f>+Cash_Flow_Qtr!U24</f>
        <v>87</v>
      </c>
      <c r="U24" s="38">
        <f>+Cash_Flow_Qtr!Z24</f>
        <v>-621</v>
      </c>
      <c r="V24" s="38">
        <f>+Cash_Flow_Qtr!AE24</f>
        <v>-222</v>
      </c>
      <c r="W24" s="38">
        <f>+Cash_Flow_Qtr!AJ24</f>
        <v>-206</v>
      </c>
      <c r="X24" s="38">
        <f>+Cash_Flow_Qtr!AO24</f>
        <v>-158</v>
      </c>
      <c r="Y24" s="38">
        <f>+Cash_Flow_Qtr!AT24</f>
        <v>-313</v>
      </c>
      <c r="Z24" s="38">
        <f>+Cash_Flow_Qtr!AY24</f>
        <v>-329</v>
      </c>
      <c r="AA24" s="38">
        <f>+Cash_Flow_Qtr!BD24</f>
        <v>-346</v>
      </c>
      <c r="AB24" s="38">
        <f>+Cash_Flow_Qtr!BI24</f>
        <v>0</v>
      </c>
      <c r="AC24" s="38">
        <f>(Balance_Sheet_Annual!AC36-Balance_Sheet_Annual!AB36)</f>
        <v>0</v>
      </c>
      <c r="AD24" s="38">
        <f>(Balance_Sheet_Annual!AD36-Balance_Sheet_Annual!AC36)</f>
        <v>0</v>
      </c>
      <c r="AE24" s="38">
        <f>(Balance_Sheet_Annual!AE36-Balance_Sheet_Annual!AD36)</f>
        <v>0</v>
      </c>
      <c r="AF24" s="38">
        <f>(Balance_Sheet_Annual!AF36-Balance_Sheet_Annual!AE36)</f>
        <v>0</v>
      </c>
      <c r="AH24" s="109"/>
      <c r="AI24" s="77"/>
    </row>
    <row r="25" spans="1:35">
      <c r="A25" s="3" t="str">
        <f>Cash_Flow_Qtr!A25</f>
        <v>Pension and Other Postretirement Benefit Plans</v>
      </c>
      <c r="B25" s="43">
        <f>-374+280</f>
        <v>-94</v>
      </c>
      <c r="C25" s="43">
        <f>-19+227</f>
        <v>208</v>
      </c>
      <c r="D25" s="43">
        <f>-340+67</f>
        <v>-273</v>
      </c>
      <c r="E25" s="43">
        <f>-1728+311</f>
        <v>-1417</v>
      </c>
      <c r="F25" s="43">
        <f>-4355+214</f>
        <v>-4141</v>
      </c>
      <c r="G25" s="43">
        <f>-1862+30</f>
        <v>-1832</v>
      </c>
      <c r="H25" s="43">
        <f>-522+114</f>
        <v>-408</v>
      </c>
      <c r="I25" s="43">
        <v>-143</v>
      </c>
      <c r="J25" s="43">
        <v>14</v>
      </c>
      <c r="K25" s="43">
        <v>1140</v>
      </c>
      <c r="L25" s="43">
        <v>1335</v>
      </c>
      <c r="M25" s="43">
        <v>2126</v>
      </c>
      <c r="N25" s="43">
        <v>1288</v>
      </c>
      <c r="O25" s="43">
        <v>1720</v>
      </c>
      <c r="P25" s="43">
        <v>1186</v>
      </c>
      <c r="Q25" s="38">
        <f>+Cash_Flow_Qtr!F25</f>
        <v>2470</v>
      </c>
      <c r="R25" s="38">
        <f>+Cash_Flow_Qtr!K25</f>
        <v>153</v>
      </c>
      <c r="S25" s="38">
        <f>+Cash_Flow_Qtr!P25</f>
        <v>-582</v>
      </c>
      <c r="T25" s="38">
        <f>+Cash_Flow_Qtr!U25</f>
        <v>-153</v>
      </c>
      <c r="U25" s="38">
        <f>+Cash_Flow_Qtr!Z25</f>
        <v>-777</v>
      </c>
      <c r="V25" s="38">
        <f>+Cash_Flow_Qtr!AE25</f>
        <v>-794</v>
      </c>
      <c r="W25" s="38">
        <f>+Cash_Flow_Qtr!AJ25</f>
        <v>-972</v>
      </c>
      <c r="X25" s="38">
        <f>+Cash_Flow_Qtr!AO25</f>
        <v>-1378</v>
      </c>
      <c r="Y25" s="38">
        <f>+Cash_Flow_Qtr!AT25</f>
        <v>-1049</v>
      </c>
      <c r="Z25" s="38">
        <f>+Cash_Flow_Qtr!AY25</f>
        <v>-959</v>
      </c>
      <c r="AA25" s="38">
        <f>+Cash_Flow_Qtr!BD25</f>
        <v>-593</v>
      </c>
      <c r="AB25" s="38">
        <f>+Cash_Flow_Qtr!BI25</f>
        <v>-520</v>
      </c>
      <c r="AC25" s="38">
        <f>+(Balance_Sheet_Annual!AC41-Balance_Sheet_Annual!AB41)+(Balance_Sheet_Annual!AC42-Balance_Sheet_Annual!AB42)</f>
        <v>-520</v>
      </c>
      <c r="AD25" s="38">
        <f>+(Balance_Sheet_Annual!AD41-Balance_Sheet_Annual!AC41)+(Balance_Sheet_Annual!AD42-Balance_Sheet_Annual!AC42)</f>
        <v>-520</v>
      </c>
      <c r="AE25" s="38">
        <f>+(Balance_Sheet_Annual!AE41-Balance_Sheet_Annual!AD41)+(Balance_Sheet_Annual!AE42-Balance_Sheet_Annual!AD42)</f>
        <v>-520</v>
      </c>
      <c r="AF25" s="38">
        <f>+(Balance_Sheet_Annual!AF41-Balance_Sheet_Annual!AE41)+(Balance_Sheet_Annual!AF42-Balance_Sheet_Annual!AE42)</f>
        <v>-520</v>
      </c>
      <c r="AH25" s="109"/>
      <c r="AI25" s="77"/>
    </row>
    <row r="26" spans="1:35">
      <c r="A26" s="3" t="str">
        <f>Cash_Flow_Qtr!A26</f>
        <v>Customer Financing, Net</v>
      </c>
      <c r="B26" s="43">
        <v>0</v>
      </c>
      <c r="C26" s="43">
        <v>0</v>
      </c>
      <c r="D26" s="43">
        <v>0</v>
      </c>
      <c r="E26" s="43">
        <v>-1316</v>
      </c>
      <c r="F26" s="43">
        <v>-421</v>
      </c>
      <c r="G26" s="43">
        <v>589</v>
      </c>
      <c r="H26" s="43">
        <v>718</v>
      </c>
      <c r="I26" s="43">
        <v>1458</v>
      </c>
      <c r="J26" s="43">
        <v>432</v>
      </c>
      <c r="K26" s="43">
        <v>104</v>
      </c>
      <c r="L26" s="43">
        <v>717</v>
      </c>
      <c r="M26" s="43">
        <v>-6</v>
      </c>
      <c r="N26" s="43">
        <v>407</v>
      </c>
      <c r="O26" s="43">
        <v>391</v>
      </c>
      <c r="P26" s="43">
        <v>578</v>
      </c>
      <c r="Q26" s="38">
        <f>+Cash_Flow_Qtr!F26</f>
        <v>167</v>
      </c>
      <c r="R26" s="38">
        <f>+Cash_Flow_Qtr!K26</f>
        <v>-696</v>
      </c>
      <c r="S26" s="38">
        <f>+Cash_Flow_Qtr!P26</f>
        <v>1041</v>
      </c>
      <c r="T26" s="38">
        <f>+Cash_Flow_Qtr!U26</f>
        <v>120</v>
      </c>
      <c r="U26" s="38">
        <f>+Cash_Flow_Qtr!Z26</f>
        <v>419</v>
      </c>
      <c r="V26" s="38">
        <f>+Cash_Flow_Qtr!AE26</f>
        <v>173</v>
      </c>
      <c r="W26" s="38">
        <f>+Cash_Flow_Qtr!AJ26</f>
        <v>210</v>
      </c>
      <c r="X26" s="38">
        <f>+Cash_Flow_Qtr!AO26</f>
        <v>142</v>
      </c>
      <c r="Y26" s="38">
        <f>+Cash_Flow_Qtr!AT26</f>
        <v>571</v>
      </c>
      <c r="Z26" s="38">
        <f>+Cash_Flow_Qtr!AY26</f>
        <v>512</v>
      </c>
      <c r="AA26" s="38">
        <f>+Cash_Flow_Qtr!BD26</f>
        <v>274</v>
      </c>
      <c r="AB26" s="38">
        <f>+Cash_Flow_Qtr!BI26</f>
        <v>0</v>
      </c>
      <c r="AC26" s="38">
        <f>(Balance_Sheet_Annual!AB10-Balance_Sheet_Annual!AC10)</f>
        <v>0</v>
      </c>
      <c r="AD26" s="38">
        <f>(Balance_Sheet_Annual!AC10-Balance_Sheet_Annual!AD10)</f>
        <v>0</v>
      </c>
      <c r="AE26" s="38">
        <f>(Balance_Sheet_Annual!AD10-Balance_Sheet_Annual!AE10)</f>
        <v>0</v>
      </c>
      <c r="AF26" s="38">
        <f>(Balance_Sheet_Annual!AE10-Balance_Sheet_Annual!AF10)</f>
        <v>0</v>
      </c>
      <c r="AH26" s="109"/>
      <c r="AI26" s="77"/>
    </row>
    <row r="27" spans="1:35">
      <c r="A27" s="3" t="str">
        <f>Cash_Flow_Qtr!A27</f>
        <v>Other</v>
      </c>
      <c r="B27" s="43">
        <v>-338</v>
      </c>
      <c r="C27" s="43">
        <f>-412-1494</f>
        <v>-1906</v>
      </c>
      <c r="D27" s="43">
        <v>-75</v>
      </c>
      <c r="E27" s="43">
        <f>73-3-2</f>
        <v>68</v>
      </c>
      <c r="F27" s="43">
        <f>-255-3-1</f>
        <v>-259</v>
      </c>
      <c r="G27" s="43">
        <f>46+11</f>
        <v>57</v>
      </c>
      <c r="H27" s="43">
        <v>-189</v>
      </c>
      <c r="I27" s="43">
        <v>-247</v>
      </c>
      <c r="J27" s="43">
        <v>-29</v>
      </c>
      <c r="K27" s="43">
        <v>199</v>
      </c>
      <c r="L27" s="43">
        <v>-76</v>
      </c>
      <c r="M27" s="43">
        <v>86</v>
      </c>
      <c r="N27" s="43">
        <v>-46</v>
      </c>
      <c r="O27" s="43">
        <v>23</v>
      </c>
      <c r="P27" s="43">
        <v>34</v>
      </c>
      <c r="Q27" s="38">
        <f>+Cash_Flow_Qtr!F27</f>
        <v>-142</v>
      </c>
      <c r="R27" s="38">
        <f>+Cash_Flow_Qtr!K27</f>
        <v>-256</v>
      </c>
      <c r="S27" s="38">
        <f>+Cash_Flow_Qtr!P27</f>
        <v>-260</v>
      </c>
      <c r="T27" s="38">
        <f>+Cash_Flow_Qtr!U27</f>
        <v>610</v>
      </c>
      <c r="U27" s="38">
        <f>+Cash_Flow_Qtr!Z27</f>
        <v>196</v>
      </c>
      <c r="V27" s="38">
        <f>+Cash_Flow_Qtr!AE27</f>
        <v>235</v>
      </c>
      <c r="W27" s="38">
        <f>+Cash_Flow_Qtr!AJ27</f>
        <v>304</v>
      </c>
      <c r="X27" s="38">
        <f>+Cash_Flow_Qtr!AO27</f>
        <v>307</v>
      </c>
      <c r="Y27" s="38">
        <f>+Cash_Flow_Qtr!AT27</f>
        <v>119</v>
      </c>
      <c r="Z27" s="38">
        <f>+Cash_Flow_Qtr!AY27</f>
        <v>202</v>
      </c>
      <c r="AA27" s="38">
        <f>+Cash_Flow_Qtr!BD27</f>
        <v>324</v>
      </c>
      <c r="AB27" s="38">
        <f>+Cash_Flow_Qtr!BI27</f>
        <v>0</v>
      </c>
      <c r="AC27" s="43">
        <v>0</v>
      </c>
      <c r="AD27" s="43">
        <v>0</v>
      </c>
      <c r="AE27" s="43">
        <v>0</v>
      </c>
      <c r="AF27" s="43">
        <v>0</v>
      </c>
      <c r="AH27" s="109"/>
      <c r="AI27" s="77"/>
    </row>
    <row r="28" spans="1:35">
      <c r="A28" s="1" t="str">
        <f>Cash_Flow_Qtr!A28</f>
        <v>Working Capital</v>
      </c>
      <c r="B28" s="72">
        <f t="shared" ref="B28:P28" si="0">+SUM(B15:B27)</f>
        <v>1483</v>
      </c>
      <c r="C28" s="72">
        <f t="shared" si="0"/>
        <v>-719</v>
      </c>
      <c r="D28" s="72">
        <f t="shared" si="0"/>
        <v>-611</v>
      </c>
      <c r="E28" s="72">
        <f t="shared" si="0"/>
        <v>-1146</v>
      </c>
      <c r="F28" s="72">
        <f t="shared" si="0"/>
        <v>-1415</v>
      </c>
      <c r="G28" s="72">
        <f t="shared" si="0"/>
        <v>934</v>
      </c>
      <c r="H28" s="72">
        <f t="shared" si="0"/>
        <v>2187</v>
      </c>
      <c r="I28" s="72">
        <f t="shared" si="0"/>
        <v>3757</v>
      </c>
      <c r="J28" s="72">
        <f t="shared" si="0"/>
        <v>-4902</v>
      </c>
      <c r="K28" s="72">
        <f t="shared" si="0"/>
        <v>1910</v>
      </c>
      <c r="L28" s="72">
        <f t="shared" si="0"/>
        <v>-3034</v>
      </c>
      <c r="M28" s="72">
        <f t="shared" si="0"/>
        <v>-2135</v>
      </c>
      <c r="N28" s="72">
        <f t="shared" si="0"/>
        <v>880</v>
      </c>
      <c r="O28" s="72">
        <f t="shared" si="0"/>
        <v>1078</v>
      </c>
      <c r="P28" s="72">
        <f t="shared" si="0"/>
        <v>897</v>
      </c>
      <c r="Q28" s="38">
        <f>+Cash_Flow_Qtr!F28</f>
        <v>1795</v>
      </c>
      <c r="R28" s="38">
        <f>+Cash_Flow_Qtr!K28</f>
        <v>3045</v>
      </c>
      <c r="S28" s="38">
        <f>+Cash_Flow_Qtr!P28</f>
        <v>2252</v>
      </c>
      <c r="T28" s="38">
        <f>+Cash_Flow_Qtr!U28</f>
        <v>2284</v>
      </c>
      <c r="U28" s="38">
        <f>+Cash_Flow_Qtr!Z28</f>
        <v>-4629</v>
      </c>
      <c r="V28" s="38">
        <f>+Cash_Flow_Qtr!AE28</f>
        <v>-17335</v>
      </c>
      <c r="W28" s="38">
        <f>+Cash_Flow_Qtr!AJ28</f>
        <v>-6977</v>
      </c>
      <c r="X28" s="38">
        <f>+Cash_Flow_Qtr!AO28</f>
        <v>4139</v>
      </c>
      <c r="Y28" s="38">
        <f>+Cash_Flow_Qtr!AT28</f>
        <v>4089</v>
      </c>
      <c r="Z28" s="38">
        <f>+Cash_Flow_Qtr!AY28</f>
        <v>-8768</v>
      </c>
      <c r="AA28" s="38">
        <f>+Cash_Flow_Qtr!BD28</f>
        <v>-1002</v>
      </c>
      <c r="AB28" s="38">
        <f ca="1">+Cash_Flow_Qtr!BI28</f>
        <v>410.00620471108095</v>
      </c>
      <c r="AC28" s="23">
        <f ca="1">+SUM(AC15:AC27)</f>
        <v>-1415.5245630907573</v>
      </c>
      <c r="AD28" s="23">
        <f ca="1">+SUM(AD15:AD27)</f>
        <v>1120.4085637484661</v>
      </c>
      <c r="AE28" s="23">
        <f ca="1">+SUM(AE15:AE27)</f>
        <v>1173.9540390248303</v>
      </c>
      <c r="AF28" s="23">
        <f ca="1">+SUM(AF15:AF27)</f>
        <v>2715.7897300479344</v>
      </c>
      <c r="AH28" s="109"/>
      <c r="AI28" s="77"/>
    </row>
    <row r="29" spans="1:35">
      <c r="A29" s="16" t="str">
        <f>Cash_Flow_Qtr!A29</f>
        <v>Net Cash from Operating Activities</v>
      </c>
      <c r="B29" s="25">
        <f t="shared" ref="B29:P29" si="1">+SUM(B4:B13,B28:B28)</f>
        <v>5942</v>
      </c>
      <c r="C29" s="25">
        <f t="shared" si="1"/>
        <v>3894</v>
      </c>
      <c r="D29" s="25">
        <f t="shared" si="1"/>
        <v>4236</v>
      </c>
      <c r="E29" s="25">
        <f t="shared" si="1"/>
        <v>2709</v>
      </c>
      <c r="F29" s="25">
        <f t="shared" si="1"/>
        <v>3504</v>
      </c>
      <c r="G29" s="25">
        <f t="shared" si="1"/>
        <v>7000</v>
      </c>
      <c r="H29" s="25">
        <f t="shared" si="1"/>
        <v>7499</v>
      </c>
      <c r="I29" s="25">
        <f t="shared" si="1"/>
        <v>9584</v>
      </c>
      <c r="J29" s="25">
        <f t="shared" si="1"/>
        <v>-401</v>
      </c>
      <c r="K29" s="25">
        <f t="shared" si="1"/>
        <v>5603</v>
      </c>
      <c r="L29" s="25">
        <f t="shared" si="1"/>
        <v>2952</v>
      </c>
      <c r="M29" s="25">
        <f t="shared" si="1"/>
        <v>4023</v>
      </c>
      <c r="N29" s="25">
        <f t="shared" si="1"/>
        <v>7508</v>
      </c>
      <c r="O29" s="25">
        <f t="shared" si="1"/>
        <v>8179</v>
      </c>
      <c r="P29" s="25">
        <f t="shared" si="1"/>
        <v>8858</v>
      </c>
      <c r="Q29" s="178">
        <f>+Cash_Flow_Qtr!F29</f>
        <v>9363</v>
      </c>
      <c r="R29" s="178">
        <f>+Cash_Flow_Qtr!K29</f>
        <v>10499</v>
      </c>
      <c r="S29" s="178">
        <f>+Cash_Flow_Qtr!P29</f>
        <v>13346</v>
      </c>
      <c r="T29" s="178">
        <f>+Cash_Flow_Qtr!U29</f>
        <v>15322</v>
      </c>
      <c r="U29" s="178">
        <f>+Cash_Flow_Qtr!Z29</f>
        <v>-2446</v>
      </c>
      <c r="V29" s="178">
        <f>+Cash_Flow_Qtr!AE29</f>
        <v>-18410</v>
      </c>
      <c r="W29" s="178">
        <f>+Cash_Flow_Qtr!AJ29</f>
        <v>-3416</v>
      </c>
      <c r="X29" s="178">
        <f>+Cash_Flow_Qtr!AO29</f>
        <v>3512</v>
      </c>
      <c r="Y29" s="178">
        <f>+Cash_Flow_Qtr!AT29</f>
        <v>5960</v>
      </c>
      <c r="Z29" s="178">
        <f>+Cash_Flow_Qtr!AY29</f>
        <v>-12080</v>
      </c>
      <c r="AA29" s="178">
        <f>+Cash_Flow_Qtr!BD29</f>
        <v>1065</v>
      </c>
      <c r="AB29" s="178">
        <f ca="1">+Cash_Flow_Qtr!BI29</f>
        <v>6229.8021594402344</v>
      </c>
      <c r="AC29" s="25">
        <f ca="1">+SUM(AC4:AC13,AC28:AC28)</f>
        <v>10060.408122982055</v>
      </c>
      <c r="AD29" s="25">
        <f ca="1">+SUM(AD4:AD13,AD28:AD28)</f>
        <v>13680.262002060323</v>
      </c>
      <c r="AE29" s="25">
        <f ca="1">+SUM(AE4:AE13,AE28:AE28)</f>
        <v>14307.363382653195</v>
      </c>
      <c r="AF29" s="25">
        <f ca="1">+SUM(AF4:AF13,AF28:AF28)</f>
        <v>16300.072950231717</v>
      </c>
    </row>
    <row r="30" spans="1:35">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01"/>
      <c r="AD30" s="201"/>
      <c r="AE30" s="201"/>
      <c r="AF30" s="201"/>
    </row>
    <row r="31" spans="1:35">
      <c r="A31" s="5" t="str">
        <f>Cash_Flow_Qtr!A31</f>
        <v>Investing Activities</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01"/>
      <c r="AD31" s="201"/>
      <c r="AE31" s="201"/>
      <c r="AF31" s="201"/>
    </row>
    <row r="32" spans="1:35">
      <c r="A32" s="1" t="str">
        <f>Cash_Flow_Qtr!A32</f>
        <v>Customer Financing and Properties on Lease, Additions/ Reductions</v>
      </c>
      <c r="B32" s="43">
        <f>-2571+1433</f>
        <v>-1138</v>
      </c>
      <c r="C32" s="43">
        <f>-5073+1297</f>
        <v>-3776</v>
      </c>
      <c r="D32" s="43">
        <f>-2840+789</f>
        <v>-2051</v>
      </c>
      <c r="E32" s="43">
        <f>-333+558</f>
        <v>225</v>
      </c>
      <c r="F32" s="43">
        <v>174</v>
      </c>
      <c r="G32" s="43">
        <v>2</v>
      </c>
      <c r="H32" s="43">
        <v>0</v>
      </c>
      <c r="I32" s="43">
        <v>0</v>
      </c>
      <c r="J32" s="43">
        <v>0</v>
      </c>
      <c r="K32" s="43">
        <v>0</v>
      </c>
      <c r="L32" s="43">
        <v>0</v>
      </c>
      <c r="M32" s="43">
        <v>0</v>
      </c>
      <c r="N32" s="43">
        <v>0</v>
      </c>
      <c r="O32" s="43">
        <v>0</v>
      </c>
      <c r="P32" s="43">
        <v>0</v>
      </c>
      <c r="Q32" s="38">
        <f>+Cash_Flow_Qtr!F32</f>
        <v>0</v>
      </c>
      <c r="R32" s="38">
        <f>+Cash_Flow_Qtr!K32</f>
        <v>0</v>
      </c>
      <c r="S32" s="38">
        <f>+Cash_Flow_Qtr!P32</f>
        <v>0</v>
      </c>
      <c r="T32" s="38">
        <f>+Cash_Flow_Qtr!U32</f>
        <v>0</v>
      </c>
      <c r="U32" s="38">
        <f>+Cash_Flow_Qtr!Z32</f>
        <v>0</v>
      </c>
      <c r="V32" s="38">
        <f>+Cash_Flow_Qtr!AE32</f>
        <v>0</v>
      </c>
      <c r="W32" s="38">
        <f>+Cash_Flow_Qtr!AJ32</f>
        <v>0</v>
      </c>
      <c r="X32" s="38">
        <f>+Cash_Flow_Qtr!AO32</f>
        <v>0</v>
      </c>
      <c r="Y32" s="38">
        <f>+Cash_Flow_Qtr!AT32</f>
        <v>0</v>
      </c>
      <c r="Z32" s="38">
        <f>+Cash_Flow_Qtr!AY32</f>
        <v>0</v>
      </c>
      <c r="AA32" s="38">
        <f>+Cash_Flow_Qtr!BD32</f>
        <v>0</v>
      </c>
      <c r="AB32" s="38">
        <f>+Cash_Flow_Qtr!BI32</f>
        <v>0</v>
      </c>
      <c r="AC32" s="38">
        <f>+(Balance_Sheet_Annual!AB18-Balance_Sheet_Annual!AC18)</f>
        <v>0</v>
      </c>
      <c r="AD32" s="38">
        <f>+(Balance_Sheet_Annual!AC18-Balance_Sheet_Annual!AD18)</f>
        <v>0</v>
      </c>
      <c r="AE32" s="38">
        <f>+(Balance_Sheet_Annual!AD18-Balance_Sheet_Annual!AE18)</f>
        <v>0</v>
      </c>
      <c r="AF32" s="38">
        <f>+(Balance_Sheet_Annual!AE18-Balance_Sheet_Annual!AF18)</f>
        <v>0</v>
      </c>
    </row>
    <row r="33" spans="1:32">
      <c r="A33" s="1" t="str">
        <f>Cash_Flow_Qtr!A33</f>
        <v>Property, Plant and Equipment Additions</v>
      </c>
      <c r="B33" s="43">
        <v>-932</v>
      </c>
      <c r="C33" s="43">
        <v>-1189</v>
      </c>
      <c r="D33" s="43">
        <v>-1001</v>
      </c>
      <c r="E33" s="43">
        <v>-741</v>
      </c>
      <c r="F33" s="43">
        <v>-1246</v>
      </c>
      <c r="G33" s="43">
        <v>-1547</v>
      </c>
      <c r="H33" s="43">
        <v>-1681</v>
      </c>
      <c r="I33" s="43">
        <v>-1731</v>
      </c>
      <c r="J33" s="43">
        <v>-1674</v>
      </c>
      <c r="K33" s="43">
        <v>-1186</v>
      </c>
      <c r="L33" s="43">
        <v>-1125</v>
      </c>
      <c r="M33" s="43">
        <v>-1713</v>
      </c>
      <c r="N33" s="43">
        <v>-1703</v>
      </c>
      <c r="O33" s="43">
        <v>-2098</v>
      </c>
      <c r="P33" s="43">
        <v>-2236</v>
      </c>
      <c r="Q33" s="38">
        <f>+Cash_Flow_Qtr!F33</f>
        <v>-2450</v>
      </c>
      <c r="R33" s="38">
        <f>+Cash_Flow_Qtr!K33</f>
        <v>-2613</v>
      </c>
      <c r="S33" s="38">
        <f>+Cash_Flow_Qtr!P33</f>
        <v>-1739</v>
      </c>
      <c r="T33" s="38">
        <f>+Cash_Flow_Qtr!U33</f>
        <v>-1722</v>
      </c>
      <c r="U33" s="38">
        <f>+Cash_Flow_Qtr!Z33</f>
        <v>-1834</v>
      </c>
      <c r="V33" s="38">
        <f>+Cash_Flow_Qtr!AE33</f>
        <v>-1303</v>
      </c>
      <c r="W33" s="38">
        <f>+Cash_Flow_Qtr!AJ33</f>
        <v>-980</v>
      </c>
      <c r="X33" s="38">
        <f>+Cash_Flow_Qtr!AO33</f>
        <v>-1222</v>
      </c>
      <c r="Y33" s="38">
        <f>+Cash_Flow_Qtr!AT33</f>
        <v>-1527</v>
      </c>
      <c r="Z33" s="38">
        <f>+Cash_Flow_Qtr!AY33</f>
        <v>-2230</v>
      </c>
      <c r="AA33" s="38">
        <f>+Cash_Flow_Qtr!BD33</f>
        <v>-2942</v>
      </c>
      <c r="AB33" s="38">
        <f>+Cash_Flow_Qtr!BI33</f>
        <v>-4058.3996098321868</v>
      </c>
      <c r="AC33" s="23">
        <f>-Income_Statement_Annual!AC10*AC74</f>
        <v>-3251.3538657719969</v>
      </c>
      <c r="AD33" s="23">
        <f>-Income_Statement_Annual!AD10*AD74</f>
        <v>-3393.3684188310453</v>
      </c>
      <c r="AE33" s="23">
        <f>-Income_Statement_Annual!AE10*AE74</f>
        <v>-3511.3585209341722</v>
      </c>
      <c r="AF33" s="23">
        <f>-Income_Statement_Annual!AF10*AF74</f>
        <v>-3610.3558751451515</v>
      </c>
    </row>
    <row r="34" spans="1:32">
      <c r="A34" s="1" t="str">
        <f>Cash_Flow_Qtr!A34</f>
        <v>Property, Plant and Equipment Reductions</v>
      </c>
      <c r="B34" s="43">
        <v>0</v>
      </c>
      <c r="C34" s="43">
        <v>0</v>
      </c>
      <c r="D34" s="43">
        <v>0</v>
      </c>
      <c r="E34" s="43">
        <v>0</v>
      </c>
      <c r="F34" s="43">
        <v>268</v>
      </c>
      <c r="G34" s="43">
        <v>51</v>
      </c>
      <c r="H34" s="43">
        <v>225</v>
      </c>
      <c r="I34" s="43">
        <v>59</v>
      </c>
      <c r="J34" s="43">
        <v>34</v>
      </c>
      <c r="K34" s="43">
        <v>27</v>
      </c>
      <c r="L34" s="43">
        <v>63</v>
      </c>
      <c r="M34" s="43">
        <v>94</v>
      </c>
      <c r="N34" s="43">
        <v>97</v>
      </c>
      <c r="O34" s="43">
        <v>51</v>
      </c>
      <c r="P34" s="43">
        <v>34</v>
      </c>
      <c r="Q34" s="38">
        <f>+Cash_Flow_Qtr!F34</f>
        <v>42</v>
      </c>
      <c r="R34" s="38">
        <f>+Cash_Flow_Qtr!K34</f>
        <v>38</v>
      </c>
      <c r="S34" s="38">
        <f>+Cash_Flow_Qtr!P34</f>
        <v>92</v>
      </c>
      <c r="T34" s="38">
        <f>+Cash_Flow_Qtr!U34</f>
        <v>120</v>
      </c>
      <c r="U34" s="38">
        <f>+Cash_Flow_Qtr!Z34</f>
        <v>334</v>
      </c>
      <c r="V34" s="38">
        <f>+Cash_Flow_Qtr!AE34</f>
        <v>296</v>
      </c>
      <c r="W34" s="38">
        <f>+Cash_Flow_Qtr!AJ34</f>
        <v>529</v>
      </c>
      <c r="X34" s="38">
        <f>+Cash_Flow_Qtr!AO34</f>
        <v>35</v>
      </c>
      <c r="Y34" s="38">
        <f>+Cash_Flow_Qtr!AT34</f>
        <v>27</v>
      </c>
      <c r="Z34" s="38">
        <f>+Cash_Flow_Qtr!AY34</f>
        <v>49</v>
      </c>
      <c r="AA34" s="38">
        <f>+Cash_Flow_Qtr!BD34</f>
        <v>82</v>
      </c>
      <c r="AB34" s="38">
        <f>+Cash_Flow_Qtr!BI34</f>
        <v>0</v>
      </c>
      <c r="AC34" s="43">
        <v>0</v>
      </c>
      <c r="AD34" s="43">
        <v>0</v>
      </c>
      <c r="AE34" s="43">
        <v>0</v>
      </c>
      <c r="AF34" s="43">
        <v>0</v>
      </c>
    </row>
    <row r="35" spans="1:32">
      <c r="A35" s="1" t="str">
        <f>Cash_Flow_Qtr!A35</f>
        <v xml:space="preserve">Acquisitions, Net </v>
      </c>
      <c r="B35" s="43">
        <v>-5727</v>
      </c>
      <c r="C35" s="43">
        <v>-22</v>
      </c>
      <c r="D35" s="43">
        <v>-22</v>
      </c>
      <c r="E35" s="43">
        <v>289</v>
      </c>
      <c r="F35" s="43">
        <v>-34</v>
      </c>
      <c r="G35" s="43">
        <v>-172</v>
      </c>
      <c r="H35" s="43">
        <v>-1854</v>
      </c>
      <c r="I35" s="43">
        <v>-75</v>
      </c>
      <c r="J35" s="43">
        <v>-964</v>
      </c>
      <c r="K35" s="43">
        <v>-639</v>
      </c>
      <c r="L35" s="43">
        <v>-932</v>
      </c>
      <c r="M35" s="43">
        <v>-42</v>
      </c>
      <c r="N35" s="43">
        <v>-124</v>
      </c>
      <c r="O35" s="43">
        <v>-26</v>
      </c>
      <c r="P35" s="43">
        <v>-163</v>
      </c>
      <c r="Q35" s="38">
        <f>+Cash_Flow_Qtr!F35</f>
        <v>-31</v>
      </c>
      <c r="R35" s="38">
        <f>+Cash_Flow_Qtr!K35</f>
        <v>-297</v>
      </c>
      <c r="S35" s="38">
        <f>+Cash_Flow_Qtr!P35</f>
        <v>-324</v>
      </c>
      <c r="T35" s="38">
        <f>+Cash_Flow_Qtr!U35</f>
        <v>-3230</v>
      </c>
      <c r="U35" s="38">
        <f>+Cash_Flow_Qtr!Z35</f>
        <v>-455</v>
      </c>
      <c r="V35" s="38">
        <f>+Cash_Flow_Qtr!AE35</f>
        <v>0</v>
      </c>
      <c r="W35" s="38">
        <f>+Cash_Flow_Qtr!AJ35</f>
        <v>-6</v>
      </c>
      <c r="X35" s="38">
        <f>+Cash_Flow_Qtr!AO35</f>
        <v>0</v>
      </c>
      <c r="Y35" s="38">
        <f>+Cash_Flow_Qtr!AT35</f>
        <v>-70</v>
      </c>
      <c r="Z35" s="38">
        <f>+Cash_Flow_Qtr!AY35</f>
        <v>-50</v>
      </c>
      <c r="AA35" s="38">
        <f>+Cash_Flow_Qtr!BD35</f>
        <v>-1248</v>
      </c>
      <c r="AB35" s="38">
        <f>+Cash_Flow_Qtr!BI35</f>
        <v>0</v>
      </c>
      <c r="AC35" s="43">
        <v>0</v>
      </c>
      <c r="AD35" s="43">
        <v>0</v>
      </c>
      <c r="AE35" s="43">
        <v>0</v>
      </c>
      <c r="AF35" s="43">
        <v>0</v>
      </c>
    </row>
    <row r="36" spans="1:32">
      <c r="A36" s="1" t="str">
        <f>Cash_Flow_Qtr!A36</f>
        <v>Proceeds from Dispositions</v>
      </c>
      <c r="B36" s="43">
        <v>169</v>
      </c>
      <c r="C36" s="43">
        <v>152</v>
      </c>
      <c r="D36" s="43">
        <v>157</v>
      </c>
      <c r="E36" s="43">
        <v>186</v>
      </c>
      <c r="F36" s="43">
        <f>194+2017</f>
        <v>2211</v>
      </c>
      <c r="G36" s="43">
        <f>1676+33</f>
        <v>1709</v>
      </c>
      <c r="H36" s="43">
        <v>123</v>
      </c>
      <c r="I36" s="43">
        <v>0</v>
      </c>
      <c r="J36" s="43">
        <v>0</v>
      </c>
      <c r="K36" s="43">
        <v>0</v>
      </c>
      <c r="L36" s="43">
        <v>0</v>
      </c>
      <c r="M36" s="43">
        <v>0</v>
      </c>
      <c r="N36" s="43">
        <v>0</v>
      </c>
      <c r="O36" s="43">
        <v>0</v>
      </c>
      <c r="P36" s="43">
        <v>0</v>
      </c>
      <c r="Q36" s="38">
        <f>+Cash_Flow_Qtr!F36</f>
        <v>0</v>
      </c>
      <c r="R36" s="38">
        <f>+Cash_Flow_Qtr!K36</f>
        <v>0</v>
      </c>
      <c r="S36" s="38">
        <f>+Cash_Flow_Qtr!P36</f>
        <v>0</v>
      </c>
      <c r="T36" s="38">
        <f>+Cash_Flow_Qtr!U36</f>
        <v>0</v>
      </c>
      <c r="U36" s="38">
        <f>+Cash_Flow_Qtr!Z36</f>
        <v>464</v>
      </c>
      <c r="V36" s="38">
        <f>+Cash_Flow_Qtr!AE36</f>
        <v>0</v>
      </c>
      <c r="W36" s="38">
        <f>+Cash_Flow_Qtr!AJ36</f>
        <v>0</v>
      </c>
      <c r="X36" s="38">
        <f>+Cash_Flow_Qtr!AO36</f>
        <v>0</v>
      </c>
      <c r="Y36" s="38">
        <f>+Cash_Flow_Qtr!AT36</f>
        <v>0</v>
      </c>
      <c r="Z36" s="38">
        <f>+Cash_Flow_Qtr!AY36</f>
        <v>124</v>
      </c>
      <c r="AA36" s="38">
        <f>+Cash_Flow_Qtr!BD36</f>
        <v>10585</v>
      </c>
      <c r="AB36" s="38">
        <f>+Cash_Flow_Qtr!BI36</f>
        <v>0</v>
      </c>
      <c r="AC36" s="43">
        <v>0</v>
      </c>
      <c r="AD36" s="43">
        <v>0</v>
      </c>
      <c r="AE36" s="43">
        <v>0</v>
      </c>
      <c r="AF36" s="43">
        <v>0</v>
      </c>
    </row>
    <row r="37" spans="1:32">
      <c r="A37" s="1" t="str">
        <f>Cash_Flow_Qtr!A37</f>
        <v>Contributions to Investments</v>
      </c>
      <c r="B37" s="43">
        <v>0</v>
      </c>
      <c r="C37" s="43">
        <v>-96</v>
      </c>
      <c r="D37" s="43">
        <v>-505</v>
      </c>
      <c r="E37" s="43">
        <v>-102</v>
      </c>
      <c r="F37" s="43">
        <v>-4142</v>
      </c>
      <c r="G37" s="43">
        <v>-2866</v>
      </c>
      <c r="H37" s="43">
        <v>-2815</v>
      </c>
      <c r="I37" s="43">
        <v>-5710</v>
      </c>
      <c r="J37" s="43">
        <v>-6673</v>
      </c>
      <c r="K37" s="43">
        <v>-2629</v>
      </c>
      <c r="L37" s="43">
        <v>-15548</v>
      </c>
      <c r="M37" s="43">
        <v>-6796</v>
      </c>
      <c r="N37" s="43">
        <v>-12921</v>
      </c>
      <c r="O37" s="43">
        <v>-15394</v>
      </c>
      <c r="P37" s="43">
        <v>-8617</v>
      </c>
      <c r="Q37" s="38">
        <f>+Cash_Flow_Qtr!F37</f>
        <v>-2036</v>
      </c>
      <c r="R37" s="38">
        <f>+Cash_Flow_Qtr!K37</f>
        <v>-1719</v>
      </c>
      <c r="S37" s="38">
        <f>+Cash_Flow_Qtr!P37</f>
        <v>-3569</v>
      </c>
      <c r="T37" s="38">
        <f>+Cash_Flow_Qtr!U37</f>
        <v>-2607</v>
      </c>
      <c r="U37" s="38">
        <f>+Cash_Flow_Qtr!Z37</f>
        <v>-1658</v>
      </c>
      <c r="V37" s="38">
        <f>+Cash_Flow_Qtr!AE37</f>
        <v>-37616</v>
      </c>
      <c r="W37" s="38">
        <f>+Cash_Flow_Qtr!AJ37</f>
        <v>-35713</v>
      </c>
      <c r="X37" s="38">
        <f>+Cash_Flow_Qtr!AO37</f>
        <v>-5051</v>
      </c>
      <c r="Y37" s="38">
        <f>+Cash_Flow_Qtr!AT37</f>
        <v>-16448</v>
      </c>
      <c r="Z37" s="38">
        <f>+Cash_Flow_Qtr!AY37</f>
        <v>-13856</v>
      </c>
      <c r="AA37" s="38">
        <f>+Cash_Flow_Qtr!BD37</f>
        <v>-51938</v>
      </c>
      <c r="AB37" s="38">
        <f>+Cash_Flow_Qtr!BI37</f>
        <v>0</v>
      </c>
      <c r="AC37" s="23">
        <f>IF(((Balance_Sheet_Annual!AB7-Balance_Sheet_Annual!AC7)+(Balance_Sheet_Annual!AB23-Balance_Sheet_Annual!AC23))&lt;0,((Balance_Sheet_Annual!AB7-Balance_Sheet_Annual!AC7)+(Balance_Sheet_Annual!AB23-Balance_Sheet_Annual!AC23)),0)</f>
        <v>0</v>
      </c>
      <c r="AD37" s="23">
        <f>IF(((Balance_Sheet_Annual!AC7-Balance_Sheet_Annual!AD7)+(Balance_Sheet_Annual!AC23-Balance_Sheet_Annual!AD23))&lt;0,((Balance_Sheet_Annual!AC7-Balance_Sheet_Annual!AD7)+(Balance_Sheet_Annual!AC23-Balance_Sheet_Annual!AD23)),0)</f>
        <v>0</v>
      </c>
      <c r="AE37" s="23">
        <f>IF(((Balance_Sheet_Annual!AD7-Balance_Sheet_Annual!AE7)+(Balance_Sheet_Annual!AD23-Balance_Sheet_Annual!AE23))&lt;0,((Balance_Sheet_Annual!AD7-Balance_Sheet_Annual!AE7)+(Balance_Sheet_Annual!AD23-Balance_Sheet_Annual!AE23)),0)</f>
        <v>0</v>
      </c>
      <c r="AF37" s="23">
        <f>IF(((Balance_Sheet_Annual!AE7-Balance_Sheet_Annual!AF7)+(Balance_Sheet_Annual!AE23-Balance_Sheet_Annual!AF23))&lt;0,((Balance_Sheet_Annual!AE7-Balance_Sheet_Annual!AF7)+(Balance_Sheet_Annual!AE23-Balance_Sheet_Annual!AF23)),0)</f>
        <v>0</v>
      </c>
    </row>
    <row r="38" spans="1:32">
      <c r="A38" s="1" t="str">
        <f>Cash_Flow_Qtr!A38</f>
        <v>Proceeds from Investments</v>
      </c>
      <c r="B38" s="43">
        <v>0</v>
      </c>
      <c r="C38" s="43">
        <v>142</v>
      </c>
      <c r="D38" s="43">
        <v>140</v>
      </c>
      <c r="E38" s="43">
        <v>255</v>
      </c>
      <c r="F38" s="43">
        <v>1323</v>
      </c>
      <c r="G38" s="43">
        <v>2725</v>
      </c>
      <c r="H38" s="43">
        <v>2850</v>
      </c>
      <c r="I38" s="43">
        <v>3817</v>
      </c>
      <c r="J38" s="43">
        <v>11343</v>
      </c>
      <c r="K38" s="43">
        <v>1041</v>
      </c>
      <c r="L38" s="43">
        <v>12425</v>
      </c>
      <c r="M38" s="43">
        <v>10757</v>
      </c>
      <c r="N38" s="43">
        <v>10901</v>
      </c>
      <c r="O38" s="43">
        <v>12453</v>
      </c>
      <c r="P38" s="43">
        <v>13416</v>
      </c>
      <c r="Q38" s="38">
        <f>+Cash_Flow_Qtr!F38</f>
        <v>2590</v>
      </c>
      <c r="R38" s="38">
        <f>+Cash_Flow_Qtr!K38</f>
        <v>1209</v>
      </c>
      <c r="S38" s="38">
        <f>+Cash_Flow_Qtr!P38</f>
        <v>3607</v>
      </c>
      <c r="T38" s="38">
        <f>+Cash_Flow_Qtr!U38</f>
        <v>2898</v>
      </c>
      <c r="U38" s="38">
        <f>+Cash_Flow_Qtr!Z38</f>
        <v>1759</v>
      </c>
      <c r="V38" s="38">
        <f>+Cash_Flow_Qtr!AE38</f>
        <v>20275</v>
      </c>
      <c r="W38" s="38">
        <f>+Cash_Flow_Qtr!AJ38</f>
        <v>45489</v>
      </c>
      <c r="X38" s="38">
        <f>+Cash_Flow_Qtr!AO38</f>
        <v>10619</v>
      </c>
      <c r="Y38" s="38">
        <f>+Cash_Flow_Qtr!AT38</f>
        <v>15739</v>
      </c>
      <c r="Z38" s="38">
        <f>+Cash_Flow_Qtr!AY38</f>
        <v>4743</v>
      </c>
      <c r="AA38" s="38">
        <f>+Cash_Flow_Qtr!BD38</f>
        <v>46628</v>
      </c>
      <c r="AB38" s="38">
        <f>+Cash_Flow_Qtr!BI38</f>
        <v>0</v>
      </c>
      <c r="AC38" s="23">
        <f>IF(((Balance_Sheet_Annual!AB7-Balance_Sheet_Annual!AC7)+(Balance_Sheet_Annual!AB23-Balance_Sheet_Annual!AC23))&gt;0,((Balance_Sheet_Annual!AB7-Balance_Sheet_Annual!AC7)+(Balance_Sheet_Annual!AB23-Balance_Sheet_Annual!AC23)),0)</f>
        <v>0</v>
      </c>
      <c r="AD38" s="23">
        <f>IF(((Balance_Sheet_Annual!AC7-Balance_Sheet_Annual!AD7)+(Balance_Sheet_Annual!AC23-Balance_Sheet_Annual!AD23))&gt;0,((Balance_Sheet_Annual!AC7-Balance_Sheet_Annual!AD7)+(Balance_Sheet_Annual!AC23-Balance_Sheet_Annual!AD23)),0)</f>
        <v>0</v>
      </c>
      <c r="AE38" s="23">
        <f>IF(((Balance_Sheet_Annual!AD7-Balance_Sheet_Annual!AE7)+(Balance_Sheet_Annual!AD23-Balance_Sheet_Annual!AE23))&gt;0,((Balance_Sheet_Annual!AD7-Balance_Sheet_Annual!AE7)+(Balance_Sheet_Annual!AD23-Balance_Sheet_Annual!AE23)),0)</f>
        <v>0</v>
      </c>
      <c r="AF38" s="23">
        <f>IF(((Balance_Sheet_Annual!AE7-Balance_Sheet_Annual!AF7)+(Balance_Sheet_Annual!AE23-Balance_Sheet_Annual!AF23))&gt;0,((Balance_Sheet_Annual!AE7-Balance_Sheet_Annual!AF7)+(Balance_Sheet_Annual!AE23-Balance_Sheet_Annual!AF23)),0)</f>
        <v>0</v>
      </c>
    </row>
    <row r="39" spans="1:32">
      <c r="A39" s="1" t="str">
        <f>Cash_Flow_Qtr!A39</f>
        <v>Purchase of Distribution Rights</v>
      </c>
      <c r="B39" s="43">
        <v>0</v>
      </c>
      <c r="C39" s="43">
        <v>0</v>
      </c>
      <c r="D39" s="43">
        <v>0</v>
      </c>
      <c r="E39" s="43">
        <v>0</v>
      </c>
      <c r="F39" s="43">
        <v>0</v>
      </c>
      <c r="G39" s="43">
        <v>0</v>
      </c>
      <c r="H39" s="43">
        <v>0</v>
      </c>
      <c r="I39" s="43">
        <v>-182</v>
      </c>
      <c r="J39" s="43">
        <v>-178</v>
      </c>
      <c r="K39" s="43">
        <v>0</v>
      </c>
      <c r="L39" s="43">
        <v>-2</v>
      </c>
      <c r="M39" s="43">
        <v>0</v>
      </c>
      <c r="N39" s="43">
        <v>-7</v>
      </c>
      <c r="O39" s="43">
        <v>-140</v>
      </c>
      <c r="P39" s="43">
        <v>0</v>
      </c>
      <c r="Q39" s="38">
        <f>+Cash_Flow_Qtr!F39</f>
        <v>0</v>
      </c>
      <c r="R39" s="38">
        <f>+Cash_Flow_Qtr!K39</f>
        <v>0</v>
      </c>
      <c r="S39" s="38">
        <f>+Cash_Flow_Qtr!P39</f>
        <v>-131</v>
      </c>
      <c r="T39" s="38">
        <f>+Cash_Flow_Qtr!U39</f>
        <v>-69</v>
      </c>
      <c r="U39" s="38">
        <f>+Cash_Flow_Qtr!Z39</f>
        <v>-127</v>
      </c>
      <c r="V39" s="38">
        <f>+Cash_Flow_Qtr!AE39</f>
        <v>0</v>
      </c>
      <c r="W39" s="38">
        <f>+Cash_Flow_Qtr!AJ39</f>
        <v>0</v>
      </c>
      <c r="X39" s="38">
        <f>+Cash_Flow_Qtr!AO39</f>
        <v>0</v>
      </c>
      <c r="Y39" s="38">
        <f>+Cash_Flow_Qtr!AT39</f>
        <v>0</v>
      </c>
      <c r="Z39" s="38">
        <f>+Cash_Flow_Qtr!AY39</f>
        <v>0</v>
      </c>
      <c r="AA39" s="38">
        <f>+Cash_Flow_Qtr!BD39</f>
        <v>-9</v>
      </c>
      <c r="AB39" s="38">
        <f>+Cash_Flow_Qtr!BI39</f>
        <v>0</v>
      </c>
      <c r="AC39" s="43">
        <v>0</v>
      </c>
      <c r="AD39" s="43">
        <v>0</v>
      </c>
      <c r="AE39" s="43">
        <v>0</v>
      </c>
      <c r="AF39" s="43">
        <v>0</v>
      </c>
    </row>
    <row r="40" spans="1:32">
      <c r="A40" s="1" t="str">
        <f>Cash_Flow_Qtr!A40</f>
        <v>Other, Net</v>
      </c>
      <c r="B40" s="43">
        <v>0</v>
      </c>
      <c r="C40" s="43">
        <v>0</v>
      </c>
      <c r="D40" s="43">
        <v>0</v>
      </c>
      <c r="E40" s="43">
        <v>0</v>
      </c>
      <c r="F40" s="43">
        <v>0</v>
      </c>
      <c r="G40" s="43">
        <v>0</v>
      </c>
      <c r="H40" s="43">
        <v>-34</v>
      </c>
      <c r="I40" s="43">
        <v>0</v>
      </c>
      <c r="J40" s="43">
        <v>0</v>
      </c>
      <c r="K40" s="43">
        <f>-448+40</f>
        <v>-408</v>
      </c>
      <c r="L40" s="43">
        <f>82+206</f>
        <v>288</v>
      </c>
      <c r="M40" s="43">
        <v>69</v>
      </c>
      <c r="N40" s="43">
        <v>0</v>
      </c>
      <c r="O40" s="43">
        <v>0</v>
      </c>
      <c r="P40" s="43">
        <v>33</v>
      </c>
      <c r="Q40" s="38">
        <f>+Cash_Flow_Qtr!F40</f>
        <v>39</v>
      </c>
      <c r="R40" s="38">
        <f>+Cash_Flow_Qtr!K40</f>
        <v>2</v>
      </c>
      <c r="S40" s="38">
        <f>+Cash_Flow_Qtr!P40</f>
        <v>6</v>
      </c>
      <c r="T40" s="38">
        <f>+Cash_Flow_Qtr!U40</f>
        <v>-11</v>
      </c>
      <c r="U40" s="38">
        <f>+Cash_Flow_Qtr!Z40</f>
        <v>-13</v>
      </c>
      <c r="V40" s="38">
        <f>+Cash_Flow_Qtr!AE40</f>
        <v>-18</v>
      </c>
      <c r="W40" s="38">
        <f>+Cash_Flow_Qtr!AJ40</f>
        <v>5</v>
      </c>
      <c r="X40" s="38">
        <f>+Cash_Flow_Qtr!AO40</f>
        <v>-11</v>
      </c>
      <c r="Y40" s="38">
        <f>+Cash_Flow_Qtr!AT40</f>
        <v>-158</v>
      </c>
      <c r="Z40" s="38">
        <f>+Cash_Flow_Qtr!AY40</f>
        <v>-753</v>
      </c>
      <c r="AA40" s="38">
        <f>+Cash_Flow_Qtr!BD40</f>
        <v>-659</v>
      </c>
      <c r="AB40" s="38">
        <f>+Cash_Flow_Qtr!BI40</f>
        <v>0</v>
      </c>
      <c r="AC40" s="43">
        <v>0</v>
      </c>
      <c r="AD40" s="43">
        <v>0</v>
      </c>
      <c r="AE40" s="43">
        <v>0</v>
      </c>
      <c r="AF40" s="43">
        <v>0</v>
      </c>
    </row>
    <row r="41" spans="1:32">
      <c r="A41" s="9" t="str">
        <f>Cash_Flow_Qtr!A41</f>
        <v>Net Cash from Investing</v>
      </c>
      <c r="B41" s="25">
        <f t="shared" ref="B41:P41" si="2">+SUM(B32:B40)</f>
        <v>-7628</v>
      </c>
      <c r="C41" s="25">
        <f t="shared" si="2"/>
        <v>-4789</v>
      </c>
      <c r="D41" s="25">
        <f t="shared" si="2"/>
        <v>-3282</v>
      </c>
      <c r="E41" s="25">
        <f t="shared" si="2"/>
        <v>112</v>
      </c>
      <c r="F41" s="25">
        <f t="shared" si="2"/>
        <v>-1446</v>
      </c>
      <c r="G41" s="25">
        <f t="shared" si="2"/>
        <v>-98</v>
      </c>
      <c r="H41" s="25">
        <f t="shared" si="2"/>
        <v>-3186</v>
      </c>
      <c r="I41" s="25">
        <f t="shared" si="2"/>
        <v>-3822</v>
      </c>
      <c r="J41" s="25">
        <f t="shared" si="2"/>
        <v>1888</v>
      </c>
      <c r="K41" s="25">
        <f t="shared" si="2"/>
        <v>-3794</v>
      </c>
      <c r="L41" s="25">
        <f t="shared" si="2"/>
        <v>-4831</v>
      </c>
      <c r="M41" s="25">
        <f t="shared" si="2"/>
        <v>2369</v>
      </c>
      <c r="N41" s="25">
        <f t="shared" si="2"/>
        <v>-3757</v>
      </c>
      <c r="O41" s="25">
        <f t="shared" si="2"/>
        <v>-5154</v>
      </c>
      <c r="P41" s="25">
        <f t="shared" si="2"/>
        <v>2467</v>
      </c>
      <c r="Q41" s="178">
        <f>+Cash_Flow_Qtr!F41</f>
        <v>-1846</v>
      </c>
      <c r="R41" s="178">
        <f>+Cash_Flow_Qtr!K41</f>
        <v>-3380</v>
      </c>
      <c r="S41" s="178">
        <f>+Cash_Flow_Qtr!P41</f>
        <v>-2058</v>
      </c>
      <c r="T41" s="178">
        <f>+Cash_Flow_Qtr!U41</f>
        <v>-4621</v>
      </c>
      <c r="U41" s="178">
        <f>+Cash_Flow_Qtr!Z41</f>
        <v>-1530</v>
      </c>
      <c r="V41" s="178">
        <f>+Cash_Flow_Qtr!AE41</f>
        <v>-18366</v>
      </c>
      <c r="W41" s="178">
        <f>+Cash_Flow_Qtr!AJ41</f>
        <v>9324</v>
      </c>
      <c r="X41" s="178">
        <f>+Cash_Flow_Qtr!AO41</f>
        <v>4370</v>
      </c>
      <c r="Y41" s="178">
        <f>+Cash_Flow_Qtr!AT41</f>
        <v>-2437</v>
      </c>
      <c r="Z41" s="178">
        <f>+Cash_Flow_Qtr!AY41</f>
        <v>-11973</v>
      </c>
      <c r="AA41" s="178">
        <f>+Cash_Flow_Qtr!BD41</f>
        <v>499</v>
      </c>
      <c r="AB41" s="178">
        <f>+Cash_Flow_Qtr!BI41</f>
        <v>-4058.3996098321868</v>
      </c>
      <c r="AC41" s="25">
        <f>+SUM(AC33:AC40)</f>
        <v>-3251.3538657719969</v>
      </c>
      <c r="AD41" s="25">
        <f>+SUM(AD33:AD40)</f>
        <v>-3393.3684188310453</v>
      </c>
      <c r="AE41" s="25">
        <f>+SUM(AE33:AE40)</f>
        <v>-3511.3585209341722</v>
      </c>
      <c r="AF41" s="25">
        <f>+SUM(AF33:AF40)</f>
        <v>-3610.3558751451515</v>
      </c>
    </row>
    <row r="42" spans="1:32">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01"/>
      <c r="AD42" s="201"/>
      <c r="AE42" s="201"/>
      <c r="AF42" s="201"/>
    </row>
    <row r="43" spans="1:32">
      <c r="A43" s="14" t="str">
        <f>Cash_Flow_Qtr!A43</f>
        <v>Financing Activities</v>
      </c>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01"/>
      <c r="AD43" s="201"/>
      <c r="AE43" s="201"/>
      <c r="AF43" s="201"/>
    </row>
    <row r="44" spans="1:32">
      <c r="A44" s="1" t="str">
        <f>Cash_Flow_Qtr!A44</f>
        <v>Net Borrowings</v>
      </c>
      <c r="B44" s="43">
        <v>2687</v>
      </c>
      <c r="C44" s="43">
        <v>4567</v>
      </c>
      <c r="D44" s="43">
        <v>2814</v>
      </c>
      <c r="E44" s="43">
        <v>2042</v>
      </c>
      <c r="F44" s="43">
        <v>0</v>
      </c>
      <c r="G44" s="43">
        <v>0</v>
      </c>
      <c r="H44" s="43">
        <v>1</v>
      </c>
      <c r="I44" s="43">
        <v>40</v>
      </c>
      <c r="J44" s="43">
        <v>13</v>
      </c>
      <c r="K44" s="43">
        <v>5961</v>
      </c>
      <c r="L44" s="43">
        <v>41</v>
      </c>
      <c r="M44" s="43">
        <v>799</v>
      </c>
      <c r="N44" s="43">
        <v>60</v>
      </c>
      <c r="O44" s="43">
        <v>571</v>
      </c>
      <c r="P44" s="43">
        <v>962</v>
      </c>
      <c r="Q44" s="38">
        <f>+Cash_Flow_Qtr!F44</f>
        <v>1746</v>
      </c>
      <c r="R44" s="38">
        <f>+Cash_Flow_Qtr!K44</f>
        <v>1325</v>
      </c>
      <c r="S44" s="38">
        <f>+Cash_Flow_Qtr!P44</f>
        <v>2077</v>
      </c>
      <c r="T44" s="38">
        <f>+Cash_Flow_Qtr!U44</f>
        <v>8548</v>
      </c>
      <c r="U44" s="38">
        <f>+Cash_Flow_Qtr!Z44</f>
        <v>25389</v>
      </c>
      <c r="V44" s="38">
        <f>+Cash_Flow_Qtr!AE44</f>
        <v>47248</v>
      </c>
      <c r="W44" s="38">
        <f>+Cash_Flow_Qtr!AJ44</f>
        <v>9795</v>
      </c>
      <c r="X44" s="38">
        <f>+Cash_Flow_Qtr!AO44</f>
        <v>34</v>
      </c>
      <c r="Y44" s="38">
        <f>+Cash_Flow_Qtr!AT44</f>
        <v>75</v>
      </c>
      <c r="Z44" s="38">
        <f>+Cash_Flow_Qtr!AY44</f>
        <v>10161</v>
      </c>
      <c r="AA44" s="38">
        <f>+Cash_Flow_Qtr!BD44</f>
        <v>165</v>
      </c>
      <c r="AB44" s="38">
        <f>+Cash_Flow_Qtr!BI44</f>
        <v>0</v>
      </c>
      <c r="AC44" s="38">
        <f>Debt_Annual!AC70</f>
        <v>0</v>
      </c>
      <c r="AD44" s="38">
        <f>Debt_Annual!AD70</f>
        <v>0</v>
      </c>
      <c r="AE44" s="38">
        <f>Debt_Annual!AE70</f>
        <v>0</v>
      </c>
      <c r="AF44" s="38">
        <f>Debt_Annual!AF70</f>
        <v>0</v>
      </c>
    </row>
    <row r="45" spans="1:32">
      <c r="A45" s="1" t="str">
        <f>Cash_Flow_Qtr!A45</f>
        <v>Debt Repayments</v>
      </c>
      <c r="B45" s="43">
        <v>-620</v>
      </c>
      <c r="C45" s="43">
        <v>-1129</v>
      </c>
      <c r="D45" s="43">
        <v>-1564</v>
      </c>
      <c r="E45" s="43">
        <v>-2024</v>
      </c>
      <c r="F45" s="43">
        <v>-2208</v>
      </c>
      <c r="G45" s="43">
        <v>-1378</v>
      </c>
      <c r="H45" s="43">
        <v>-1681</v>
      </c>
      <c r="I45" s="43">
        <v>-1406</v>
      </c>
      <c r="J45" s="43">
        <v>-738</v>
      </c>
      <c r="K45" s="43">
        <v>-551</v>
      </c>
      <c r="L45" s="43">
        <v>-689</v>
      </c>
      <c r="M45" s="43">
        <v>-930</v>
      </c>
      <c r="N45" s="43">
        <v>-2076</v>
      </c>
      <c r="O45" s="43">
        <v>-1434</v>
      </c>
      <c r="P45" s="43">
        <v>-1601</v>
      </c>
      <c r="Q45" s="38">
        <f>+Cash_Flow_Qtr!F45</f>
        <v>-885</v>
      </c>
      <c r="R45" s="38">
        <f>+Cash_Flow_Qtr!K45</f>
        <v>-1359</v>
      </c>
      <c r="S45" s="38">
        <f>+Cash_Flow_Qtr!P45</f>
        <v>-953</v>
      </c>
      <c r="T45" s="38">
        <f>+Cash_Flow_Qtr!U45</f>
        <v>-7183</v>
      </c>
      <c r="U45" s="38">
        <f>+Cash_Flow_Qtr!Z45</f>
        <v>-12171</v>
      </c>
      <c r="V45" s="38">
        <f>+Cash_Flow_Qtr!AE45</f>
        <v>-10998</v>
      </c>
      <c r="W45" s="38">
        <f>+Cash_Flow_Qtr!AJ45</f>
        <v>-15371</v>
      </c>
      <c r="X45" s="38">
        <f>+Cash_Flow_Qtr!AO45</f>
        <v>-1310</v>
      </c>
      <c r="Y45" s="38">
        <f>+Cash_Flow_Qtr!AT45</f>
        <v>-5216</v>
      </c>
      <c r="Z45" s="38">
        <f>+Cash_Flow_Qtr!AY45</f>
        <v>-8673</v>
      </c>
      <c r="AA45" s="38">
        <f>+Cash_Flow_Qtr!BD45</f>
        <v>-3621</v>
      </c>
      <c r="AB45" s="38">
        <f>+Cash_Flow_Qtr!BI45</f>
        <v>-4450</v>
      </c>
      <c r="AC45" s="38">
        <f>Debt_Annual!AC71</f>
        <v>-7800</v>
      </c>
      <c r="AD45" s="38">
        <f>Debt_Annual!AD71</f>
        <v>-1800</v>
      </c>
      <c r="AE45" s="38">
        <f>Debt_Annual!AE71</f>
        <v>0</v>
      </c>
      <c r="AF45" s="38">
        <f>Debt_Annual!AF71</f>
        <v>0</v>
      </c>
    </row>
    <row r="46" spans="1:32">
      <c r="A46" s="1" t="str">
        <f>Cash_Flow_Qtr!A46</f>
        <v>Repayments of Distribution Rights and Other Asset Financing</v>
      </c>
      <c r="B46" s="43">
        <v>0</v>
      </c>
      <c r="C46" s="43">
        <v>0</v>
      </c>
      <c r="D46" s="43">
        <v>0</v>
      </c>
      <c r="E46" s="43">
        <v>0</v>
      </c>
      <c r="F46" s="43">
        <v>0</v>
      </c>
      <c r="G46" s="43">
        <v>0</v>
      </c>
      <c r="H46" s="43">
        <v>0</v>
      </c>
      <c r="I46" s="43">
        <v>0</v>
      </c>
      <c r="J46" s="43">
        <v>-357</v>
      </c>
      <c r="K46" s="43">
        <v>0</v>
      </c>
      <c r="L46" s="43">
        <v>-137</v>
      </c>
      <c r="M46" s="43">
        <v>-451</v>
      </c>
      <c r="N46" s="43">
        <v>-228</v>
      </c>
      <c r="O46" s="43">
        <v>-280</v>
      </c>
      <c r="P46" s="43">
        <v>-185</v>
      </c>
      <c r="Q46" s="38">
        <f>+Cash_Flow_Qtr!F46</f>
        <v>0</v>
      </c>
      <c r="R46" s="38">
        <f>+Cash_Flow_Qtr!K46</f>
        <v>-24</v>
      </c>
      <c r="S46" s="38">
        <f>+Cash_Flow_Qtr!P46</f>
        <v>0</v>
      </c>
      <c r="T46" s="38">
        <f>+Cash_Flow_Qtr!U46</f>
        <v>0</v>
      </c>
      <c r="U46" s="38">
        <f>+Cash_Flow_Qtr!Z46</f>
        <v>0</v>
      </c>
      <c r="V46" s="38">
        <f>+Cash_Flow_Qtr!AE46</f>
        <v>0</v>
      </c>
      <c r="W46" s="38">
        <f>+Cash_Flow_Qtr!AJ46</f>
        <v>0</v>
      </c>
      <c r="X46" s="38">
        <f>+Cash_Flow_Qtr!AO46</f>
        <v>0</v>
      </c>
      <c r="Y46" s="38">
        <f>+Cash_Flow_Qtr!AT46</f>
        <v>0</v>
      </c>
      <c r="Z46" s="38">
        <f>+Cash_Flow_Qtr!AY46</f>
        <v>0</v>
      </c>
      <c r="AA46" s="38">
        <f>+Cash_Flow_Qtr!BD46</f>
        <v>0</v>
      </c>
      <c r="AB46" s="38">
        <f>+Cash_Flow_Qtr!BI46</f>
        <v>0</v>
      </c>
      <c r="AC46" s="43">
        <v>0</v>
      </c>
      <c r="AD46" s="43">
        <v>0</v>
      </c>
      <c r="AE46" s="43">
        <v>0</v>
      </c>
      <c r="AF46" s="43">
        <v>0</v>
      </c>
    </row>
    <row r="47" spans="1:32">
      <c r="A47" s="1" t="str">
        <f>Cash_Flow_Qtr!A47</f>
        <v>Contributions from Noncontrolling Interests</v>
      </c>
      <c r="B47" s="43">
        <v>0</v>
      </c>
      <c r="C47" s="43">
        <v>0</v>
      </c>
      <c r="D47" s="43">
        <v>0</v>
      </c>
      <c r="E47" s="43">
        <v>0</v>
      </c>
      <c r="F47" s="43">
        <v>0</v>
      </c>
      <c r="G47" s="43">
        <v>0</v>
      </c>
      <c r="H47" s="43">
        <v>0</v>
      </c>
      <c r="I47" s="43">
        <v>0</v>
      </c>
      <c r="J47" s="43">
        <v>0</v>
      </c>
      <c r="K47" s="43">
        <v>-40</v>
      </c>
      <c r="L47" s="43">
        <v>0</v>
      </c>
      <c r="M47" s="43">
        <v>0</v>
      </c>
      <c r="N47" s="43">
        <v>0</v>
      </c>
      <c r="O47" s="43">
        <v>0</v>
      </c>
      <c r="P47" s="43">
        <v>0</v>
      </c>
      <c r="Q47" s="38">
        <f>+Cash_Flow_Qtr!F47</f>
        <v>0</v>
      </c>
      <c r="R47" s="38">
        <f>+Cash_Flow_Qtr!K47</f>
        <v>0</v>
      </c>
      <c r="S47" s="38">
        <f>+Cash_Flow_Qtr!P47</f>
        <v>0</v>
      </c>
      <c r="T47" s="38">
        <f>+Cash_Flow_Qtr!U47</f>
        <v>35</v>
      </c>
      <c r="U47" s="38">
        <f>+Cash_Flow_Qtr!Z47</f>
        <v>7</v>
      </c>
      <c r="V47" s="38">
        <f>+Cash_Flow_Qtr!AE47</f>
        <v>0</v>
      </c>
      <c r="W47" s="38">
        <f>+Cash_Flow_Qtr!AJ47</f>
        <v>0</v>
      </c>
      <c r="X47" s="38">
        <f>+Cash_Flow_Qtr!AO47</f>
        <v>0</v>
      </c>
      <c r="Y47" s="38">
        <f>+Cash_Flow_Qtr!AT47</f>
        <v>0</v>
      </c>
      <c r="Z47" s="38">
        <f>+Cash_Flow_Qtr!AY47</f>
        <v>0</v>
      </c>
      <c r="AA47" s="38">
        <f>+Cash_Flow_Qtr!BD47</f>
        <v>0</v>
      </c>
      <c r="AB47" s="38">
        <f>+Cash_Flow_Qtr!BI47</f>
        <v>0</v>
      </c>
      <c r="AC47" s="43">
        <v>0</v>
      </c>
      <c r="AD47" s="43">
        <v>0</v>
      </c>
      <c r="AE47" s="43">
        <v>0</v>
      </c>
      <c r="AF47" s="43">
        <v>0</v>
      </c>
    </row>
    <row r="48" spans="1:32">
      <c r="A48" s="1" t="str">
        <f>Cash_Flow_Qtr!A48</f>
        <v>Stock Options Exercised</v>
      </c>
      <c r="B48" s="43">
        <v>136</v>
      </c>
      <c r="C48" s="43">
        <v>79</v>
      </c>
      <c r="D48" s="43">
        <v>67</v>
      </c>
      <c r="E48" s="43">
        <v>33</v>
      </c>
      <c r="F48" s="43">
        <v>98</v>
      </c>
      <c r="G48" s="43">
        <v>348</v>
      </c>
      <c r="H48" s="43">
        <v>294</v>
      </c>
      <c r="I48" s="43">
        <v>209</v>
      </c>
      <c r="J48" s="43">
        <v>44</v>
      </c>
      <c r="K48" s="43">
        <v>10</v>
      </c>
      <c r="L48" s="43">
        <v>87</v>
      </c>
      <c r="M48" s="43">
        <v>114</v>
      </c>
      <c r="N48" s="43">
        <v>120</v>
      </c>
      <c r="O48" s="43">
        <v>1097</v>
      </c>
      <c r="P48" s="43">
        <v>343</v>
      </c>
      <c r="Q48" s="38">
        <f>+Cash_Flow_Qtr!F48</f>
        <v>399</v>
      </c>
      <c r="R48" s="38">
        <f>+Cash_Flow_Qtr!K48</f>
        <v>321</v>
      </c>
      <c r="S48" s="38">
        <f>+Cash_Flow_Qtr!P48</f>
        <v>311</v>
      </c>
      <c r="T48" s="38">
        <f>+Cash_Flow_Qtr!U48</f>
        <v>81</v>
      </c>
      <c r="U48" s="38">
        <f>+Cash_Flow_Qtr!Z48</f>
        <v>58</v>
      </c>
      <c r="V48" s="38">
        <f>+Cash_Flow_Qtr!AE48</f>
        <v>36</v>
      </c>
      <c r="W48" s="38">
        <f>+Cash_Flow_Qtr!AJ48</f>
        <v>42</v>
      </c>
      <c r="X48" s="38">
        <f>+Cash_Flow_Qtr!AO48</f>
        <v>50</v>
      </c>
      <c r="Y48" s="38">
        <f>+Cash_Flow_Qtr!AT48</f>
        <v>45</v>
      </c>
      <c r="Z48" s="38">
        <f>+Cash_Flow_Qtr!AY48</f>
        <v>0</v>
      </c>
      <c r="AA48" s="38">
        <f>+Cash_Flow_Qtr!BD48</f>
        <v>0</v>
      </c>
      <c r="AB48" s="38">
        <f>+Cash_Flow_Qtr!BI48</f>
        <v>0</v>
      </c>
      <c r="AC48" s="43">
        <v>0</v>
      </c>
      <c r="AD48" s="43">
        <v>0</v>
      </c>
      <c r="AE48" s="43">
        <v>0</v>
      </c>
      <c r="AF48" s="43">
        <v>0</v>
      </c>
    </row>
    <row r="49" spans="1:44">
      <c r="A49" s="1" t="str">
        <f>Cash_Flow_Qtr!A49</f>
        <v>Excess Tax Benefits from Share-Based Payment Arrangements</v>
      </c>
      <c r="B49" s="43">
        <v>0</v>
      </c>
      <c r="C49" s="43">
        <v>0</v>
      </c>
      <c r="D49" s="43">
        <v>0</v>
      </c>
      <c r="E49" s="43">
        <v>0</v>
      </c>
      <c r="F49" s="43">
        <v>23</v>
      </c>
      <c r="G49" s="43">
        <v>70</v>
      </c>
      <c r="H49" s="43">
        <v>395</v>
      </c>
      <c r="I49" s="43">
        <v>144</v>
      </c>
      <c r="J49" s="43">
        <v>100</v>
      </c>
      <c r="K49" s="43">
        <v>5</v>
      </c>
      <c r="L49" s="43">
        <v>19</v>
      </c>
      <c r="M49" s="43">
        <v>36</v>
      </c>
      <c r="N49" s="43">
        <v>45</v>
      </c>
      <c r="O49" s="43">
        <v>128</v>
      </c>
      <c r="P49" s="43">
        <v>114</v>
      </c>
      <c r="Q49" s="38">
        <f>+Cash_Flow_Qtr!F49</f>
        <v>157</v>
      </c>
      <c r="R49" s="38">
        <f>+Cash_Flow_Qtr!K49</f>
        <v>0</v>
      </c>
      <c r="S49" s="38">
        <f>+Cash_Flow_Qtr!P49</f>
        <v>0</v>
      </c>
      <c r="T49" s="38">
        <f>+Cash_Flow_Qtr!U49</f>
        <v>0</v>
      </c>
      <c r="U49" s="38">
        <f>+Cash_Flow_Qtr!Z49</f>
        <v>0</v>
      </c>
      <c r="V49" s="38">
        <f>+Cash_Flow_Qtr!AE49</f>
        <v>0</v>
      </c>
      <c r="W49" s="38">
        <f>+Cash_Flow_Qtr!AJ49</f>
        <v>0</v>
      </c>
      <c r="X49" s="38">
        <f>+Cash_Flow_Qtr!AO49</f>
        <v>0</v>
      </c>
      <c r="Y49" s="38">
        <f>+Cash_Flow_Qtr!AT49</f>
        <v>0</v>
      </c>
      <c r="Z49" s="38">
        <f>+Cash_Flow_Qtr!AY49</f>
        <v>0</v>
      </c>
      <c r="AA49" s="38">
        <f>+Cash_Flow_Qtr!BD49</f>
        <v>0</v>
      </c>
      <c r="AB49" s="38">
        <f>+Cash_Flow_Qtr!BI49</f>
        <v>0</v>
      </c>
      <c r="AC49" s="43">
        <v>0</v>
      </c>
      <c r="AD49" s="43">
        <v>0</v>
      </c>
      <c r="AE49" s="43">
        <v>0</v>
      </c>
      <c r="AF49" s="43">
        <v>0</v>
      </c>
    </row>
    <row r="50" spans="1:44">
      <c r="A50" s="1" t="str">
        <f>Cash_Flow_Qtr!A50</f>
        <v>Employee Taxes on Certain Share-Based Payment Arrangements</v>
      </c>
      <c r="B50" s="43">
        <v>0</v>
      </c>
      <c r="C50" s="43">
        <v>0</v>
      </c>
      <c r="D50" s="43">
        <v>0</v>
      </c>
      <c r="E50" s="43">
        <v>0</v>
      </c>
      <c r="F50" s="43">
        <v>0</v>
      </c>
      <c r="G50" s="43">
        <v>0</v>
      </c>
      <c r="H50" s="43">
        <v>0</v>
      </c>
      <c r="I50" s="43">
        <v>0</v>
      </c>
      <c r="J50" s="43">
        <v>-135</v>
      </c>
      <c r="K50" s="43">
        <v>-21</v>
      </c>
      <c r="L50" s="43">
        <v>-30</v>
      </c>
      <c r="M50" s="43">
        <v>-24</v>
      </c>
      <c r="N50" s="43">
        <v>-76</v>
      </c>
      <c r="O50" s="43">
        <v>-63</v>
      </c>
      <c r="P50" s="43">
        <v>-98</v>
      </c>
      <c r="Q50" s="38">
        <f>+Cash_Flow_Qtr!F50</f>
        <v>-96</v>
      </c>
      <c r="R50" s="38">
        <f>+Cash_Flow_Qtr!K50</f>
        <v>-93</v>
      </c>
      <c r="S50" s="38">
        <f>+Cash_Flow_Qtr!P50</f>
        <v>-132</v>
      </c>
      <c r="T50" s="38">
        <f>+Cash_Flow_Qtr!U50</f>
        <v>-257</v>
      </c>
      <c r="U50" s="38">
        <f>+Cash_Flow_Qtr!Z50</f>
        <v>-248</v>
      </c>
      <c r="V50" s="38">
        <f>+Cash_Flow_Qtr!AE50</f>
        <v>-173</v>
      </c>
      <c r="W50" s="38">
        <f>+Cash_Flow_Qtr!AJ50</f>
        <v>-66</v>
      </c>
      <c r="X50" s="38">
        <f>+Cash_Flow_Qtr!AO50</f>
        <v>-40</v>
      </c>
      <c r="Y50" s="38">
        <f>+Cash_Flow_Qtr!AT50</f>
        <v>-408</v>
      </c>
      <c r="Z50" s="38">
        <f>+Cash_Flow_Qtr!AY50</f>
        <v>-83</v>
      </c>
      <c r="AA50" s="38">
        <f>+Cash_Flow_Qtr!BD50</f>
        <v>-34</v>
      </c>
      <c r="AB50" s="38">
        <f>+Cash_Flow_Qtr!BI50</f>
        <v>0</v>
      </c>
      <c r="AC50" s="43">
        <v>0</v>
      </c>
      <c r="AD50" s="43">
        <v>0</v>
      </c>
      <c r="AE50" s="43">
        <v>0</v>
      </c>
      <c r="AF50" s="43">
        <v>0</v>
      </c>
    </row>
    <row r="51" spans="1:44">
      <c r="A51" s="1" t="str">
        <f>Cash_Flow_Qtr!A51</f>
        <v>Common Shares Repurchased/Issued</v>
      </c>
      <c r="B51" s="43">
        <v>-2357</v>
      </c>
      <c r="C51" s="43">
        <v>-2417</v>
      </c>
      <c r="D51" s="43">
        <v>0</v>
      </c>
      <c r="E51" s="43">
        <v>0</v>
      </c>
      <c r="F51" s="43">
        <v>-752</v>
      </c>
      <c r="G51" s="43">
        <v>-2877</v>
      </c>
      <c r="H51" s="43">
        <v>-1698</v>
      </c>
      <c r="I51" s="43">
        <v>-2775</v>
      </c>
      <c r="J51" s="43">
        <v>-2937</v>
      </c>
      <c r="K51" s="43">
        <v>-50</v>
      </c>
      <c r="L51" s="43">
        <v>0</v>
      </c>
      <c r="M51" s="43">
        <v>0</v>
      </c>
      <c r="N51" s="43">
        <v>0</v>
      </c>
      <c r="O51" s="43">
        <v>-2801</v>
      </c>
      <c r="P51" s="43">
        <v>-6001</v>
      </c>
      <c r="Q51" s="38">
        <f>+Cash_Flow_Qtr!F51</f>
        <v>-6751</v>
      </c>
      <c r="R51" s="38">
        <f>+Cash_Flow_Qtr!K51</f>
        <v>-7001</v>
      </c>
      <c r="S51" s="38">
        <f>+Cash_Flow_Qtr!P51</f>
        <v>-9236</v>
      </c>
      <c r="T51" s="38">
        <f>+Cash_Flow_Qtr!U51</f>
        <v>-9000</v>
      </c>
      <c r="U51" s="38">
        <f>+Cash_Flow_Qtr!Z51</f>
        <v>-2651</v>
      </c>
      <c r="V51" s="38">
        <f>+Cash_Flow_Qtr!AE51</f>
        <v>0</v>
      </c>
      <c r="W51" s="38">
        <f>+Cash_Flow_Qtr!AJ51</f>
        <v>0</v>
      </c>
      <c r="X51" s="38">
        <f>+Cash_Flow_Qtr!AO51</f>
        <v>0</v>
      </c>
      <c r="Y51" s="38">
        <f>+Cash_Flow_Qtr!AT51</f>
        <v>0</v>
      </c>
      <c r="Z51" s="38">
        <f>+Cash_Flow_Qtr!AY51</f>
        <v>18200</v>
      </c>
      <c r="AA51" s="38">
        <f>+Cash_Flow_Qtr!BD51</f>
        <v>0</v>
      </c>
      <c r="AB51" s="38">
        <f>+Cash_Flow_Qtr!BI51</f>
        <v>0</v>
      </c>
      <c r="AC51" s="43">
        <v>0</v>
      </c>
      <c r="AD51" s="43">
        <v>0</v>
      </c>
      <c r="AE51" s="43">
        <v>0</v>
      </c>
      <c r="AF51" s="43">
        <v>0</v>
      </c>
    </row>
    <row r="52" spans="1:44">
      <c r="A52" s="1" t="str">
        <f>Cash_Flow_Qtr!A52</f>
        <v>Dividends Paid</v>
      </c>
      <c r="B52" s="43">
        <v>-504</v>
      </c>
      <c r="C52" s="43">
        <v>-582</v>
      </c>
      <c r="D52" s="43">
        <v>-571</v>
      </c>
      <c r="E52" s="43">
        <v>-572</v>
      </c>
      <c r="F52" s="43">
        <v>-648</v>
      </c>
      <c r="G52" s="43">
        <v>-820</v>
      </c>
      <c r="H52" s="43">
        <v>-956</v>
      </c>
      <c r="I52" s="43">
        <v>-1096</v>
      </c>
      <c r="J52" s="43">
        <v>-1192</v>
      </c>
      <c r="K52" s="43">
        <v>-1220</v>
      </c>
      <c r="L52" s="43">
        <v>-1253</v>
      </c>
      <c r="M52" s="43">
        <v>-1244</v>
      </c>
      <c r="N52" s="43">
        <v>-1322</v>
      </c>
      <c r="O52" s="43">
        <v>-1467</v>
      </c>
      <c r="P52" s="43">
        <v>-2115</v>
      </c>
      <c r="Q52" s="38">
        <f>+Cash_Flow_Qtr!F52</f>
        <v>-2490</v>
      </c>
      <c r="R52" s="38">
        <f>+Cash_Flow_Qtr!K52</f>
        <v>-2756</v>
      </c>
      <c r="S52" s="38">
        <f>+Cash_Flow_Qtr!P52</f>
        <v>-3417</v>
      </c>
      <c r="T52" s="38">
        <f>+Cash_Flow_Qtr!U52</f>
        <v>-3946</v>
      </c>
      <c r="U52" s="38">
        <f>+Cash_Flow_Qtr!Z52</f>
        <v>-4630</v>
      </c>
      <c r="V52" s="38">
        <f>+Cash_Flow_Qtr!AE52</f>
        <v>-1158</v>
      </c>
      <c r="W52" s="38">
        <f>+Cash_Flow_Qtr!AJ52</f>
        <v>0</v>
      </c>
      <c r="X52" s="38">
        <f>+Cash_Flow_Qtr!AO52</f>
        <v>0</v>
      </c>
      <c r="Y52" s="38">
        <f>+Cash_Flow_Qtr!AT52</f>
        <v>0</v>
      </c>
      <c r="Z52" s="38">
        <f>+Cash_Flow_Qtr!AY52</f>
        <v>0</v>
      </c>
      <c r="AA52" s="38">
        <f>+Cash_Flow_Qtr!BD52</f>
        <v>-331</v>
      </c>
      <c r="AB52" s="38">
        <f>+Cash_Flow_Qtr!BI52</f>
        <v>-346</v>
      </c>
      <c r="AC52" s="38">
        <f>Income_Statement_Annual!AC49</f>
        <v>-346</v>
      </c>
      <c r="AD52" s="23">
        <f>-Income_Statement_Annual!AD82*AD84</f>
        <v>-209.32774999999998</v>
      </c>
      <c r="AE52" s="23">
        <f>-Income_Statement_Annual!AE82*AE84</f>
        <v>-209.32774999999998</v>
      </c>
      <c r="AF52" s="23">
        <f>-Income_Statement_Annual!AF82*AF84</f>
        <v>-209.32774999999998</v>
      </c>
    </row>
    <row r="53" spans="1:44">
      <c r="A53" s="1" t="str">
        <f>Cash_Flow_Qtr!A53</f>
        <v>Preferred Stock</v>
      </c>
      <c r="B53" s="43"/>
      <c r="C53" s="43"/>
      <c r="D53" s="43"/>
      <c r="E53" s="43"/>
      <c r="F53" s="43"/>
      <c r="G53" s="43"/>
      <c r="H53" s="43"/>
      <c r="I53" s="43"/>
      <c r="J53" s="43"/>
      <c r="K53" s="43"/>
      <c r="L53" s="43"/>
      <c r="M53" s="43"/>
      <c r="N53" s="43"/>
      <c r="O53" s="43"/>
      <c r="P53" s="43"/>
      <c r="Q53" s="38"/>
      <c r="R53" s="38"/>
      <c r="S53" s="38"/>
      <c r="T53" s="38"/>
      <c r="U53" s="38"/>
      <c r="V53" s="38"/>
      <c r="W53" s="38"/>
      <c r="X53" s="38"/>
      <c r="Y53" s="38"/>
      <c r="Z53" s="38">
        <f>+Cash_Flow_Qtr!AY53</f>
        <v>5657</v>
      </c>
      <c r="AA53" s="38">
        <f>+Cash_Flow_Qtr!BD53</f>
        <v>0</v>
      </c>
      <c r="AB53" s="38">
        <f>+Cash_Flow_Qtr!BI53</f>
        <v>0</v>
      </c>
      <c r="AC53" s="43">
        <v>0</v>
      </c>
      <c r="AD53" s="43">
        <v>0</v>
      </c>
      <c r="AE53" s="43">
        <v>0</v>
      </c>
      <c r="AF53" s="43">
        <v>0</v>
      </c>
    </row>
    <row r="54" spans="1:44">
      <c r="A54" s="1" t="str">
        <f>Cash_Flow_Qtr!A54</f>
        <v>Other</v>
      </c>
      <c r="B54" s="43">
        <v>0</v>
      </c>
      <c r="C54" s="43">
        <v>0</v>
      </c>
      <c r="D54" s="43">
        <v>0</v>
      </c>
      <c r="E54" s="43">
        <v>0</v>
      </c>
      <c r="F54" s="43">
        <v>0</v>
      </c>
      <c r="G54" s="43">
        <v>0</v>
      </c>
      <c r="H54" s="43">
        <v>0</v>
      </c>
      <c r="I54" s="43">
        <v>0</v>
      </c>
      <c r="J54" s="43">
        <v>0</v>
      </c>
      <c r="K54" s="43">
        <v>0</v>
      </c>
      <c r="L54" s="43">
        <v>0</v>
      </c>
      <c r="M54" s="43">
        <v>0</v>
      </c>
      <c r="N54" s="43">
        <v>0</v>
      </c>
      <c r="O54" s="43">
        <v>0</v>
      </c>
      <c r="P54" s="43">
        <v>-12</v>
      </c>
      <c r="Q54" s="38">
        <f>+Cash_Flow_Qtr!F54</f>
        <v>0</v>
      </c>
      <c r="R54" s="38">
        <f>+Cash_Flow_Qtr!K54</f>
        <v>0</v>
      </c>
      <c r="S54" s="38">
        <f>+Cash_Flow_Qtr!P54</f>
        <v>0</v>
      </c>
      <c r="T54" s="38">
        <f>+Cash_Flow_Qtr!U54</f>
        <v>0</v>
      </c>
      <c r="U54" s="38">
        <f>+Cash_Flow_Qtr!Z54</f>
        <v>-15</v>
      </c>
      <c r="V54" s="38">
        <f>+Cash_Flow_Qtr!AE54</f>
        <v>0</v>
      </c>
      <c r="W54" s="38">
        <f>+Cash_Flow_Qtr!AJ54</f>
        <v>0</v>
      </c>
      <c r="X54" s="38">
        <f>+Cash_Flow_Qtr!AO54</f>
        <v>0</v>
      </c>
      <c r="Y54" s="38">
        <f>+Cash_Flow_Qtr!AT54</f>
        <v>17</v>
      </c>
      <c r="Z54" s="38">
        <f>+Cash_Flow_Qtr!AY54</f>
        <v>-53</v>
      </c>
      <c r="AA54" s="38">
        <f>+Cash_Flow_Qtr!BD54</f>
        <v>58</v>
      </c>
      <c r="AB54" s="38">
        <f>+Cash_Flow_Qtr!BI54</f>
        <v>0</v>
      </c>
      <c r="AC54" s="43">
        <v>0</v>
      </c>
      <c r="AD54" s="43">
        <v>0</v>
      </c>
      <c r="AE54" s="43">
        <v>0</v>
      </c>
      <c r="AF54" s="43">
        <v>0</v>
      </c>
    </row>
    <row r="55" spans="1:44">
      <c r="A55" s="9" t="str">
        <f>Cash_Flow_Qtr!A55</f>
        <v>Net Cash from Financing</v>
      </c>
      <c r="B55" s="25">
        <f t="shared" ref="B55:P55" si="3">+SUM(B44:B54)</f>
        <v>-658</v>
      </c>
      <c r="C55" s="25">
        <f t="shared" si="3"/>
        <v>518</v>
      </c>
      <c r="D55" s="25">
        <f t="shared" si="3"/>
        <v>746</v>
      </c>
      <c r="E55" s="25">
        <f t="shared" si="3"/>
        <v>-521</v>
      </c>
      <c r="F55" s="25">
        <f t="shared" si="3"/>
        <v>-3487</v>
      </c>
      <c r="G55" s="25">
        <f t="shared" si="3"/>
        <v>-4657</v>
      </c>
      <c r="H55" s="25">
        <f t="shared" si="3"/>
        <v>-3645</v>
      </c>
      <c r="I55" s="25">
        <f t="shared" si="3"/>
        <v>-4884</v>
      </c>
      <c r="J55" s="25">
        <f t="shared" si="3"/>
        <v>-5202</v>
      </c>
      <c r="K55" s="25">
        <f t="shared" si="3"/>
        <v>4094</v>
      </c>
      <c r="L55" s="25">
        <f t="shared" si="3"/>
        <v>-1962</v>
      </c>
      <c r="M55" s="25">
        <f t="shared" si="3"/>
        <v>-1700</v>
      </c>
      <c r="N55" s="25">
        <f t="shared" si="3"/>
        <v>-3477</v>
      </c>
      <c r="O55" s="25">
        <f t="shared" si="3"/>
        <v>-4249</v>
      </c>
      <c r="P55" s="25">
        <f t="shared" si="3"/>
        <v>-8593</v>
      </c>
      <c r="Q55" s="178">
        <f>+Cash_Flow_Qtr!F55</f>
        <v>-7920</v>
      </c>
      <c r="R55" s="178">
        <f>+Cash_Flow_Qtr!K55</f>
        <v>-9587</v>
      </c>
      <c r="S55" s="178">
        <f>+Cash_Flow_Qtr!P55</f>
        <v>-11350</v>
      </c>
      <c r="T55" s="178">
        <f>+Cash_Flow_Qtr!U55</f>
        <v>-11722</v>
      </c>
      <c r="U55" s="178">
        <f>+Cash_Flow_Qtr!Z55</f>
        <v>5739</v>
      </c>
      <c r="V55" s="178">
        <f>+Cash_Flow_Qtr!AE55</f>
        <v>34955</v>
      </c>
      <c r="W55" s="178">
        <f>+Cash_Flow_Qtr!AJ55</f>
        <v>-5600</v>
      </c>
      <c r="X55" s="178">
        <f>+Cash_Flow_Qtr!AO55</f>
        <v>-1266</v>
      </c>
      <c r="Y55" s="178">
        <f>+Cash_Flow_Qtr!AT55</f>
        <v>-5487</v>
      </c>
      <c r="Z55" s="178">
        <f>+Cash_Flow_Qtr!AY55</f>
        <v>25209</v>
      </c>
      <c r="AA55" s="178">
        <f>+Cash_Flow_Qtr!BD55</f>
        <v>-3763</v>
      </c>
      <c r="AB55" s="178">
        <f>+Cash_Flow_Qtr!BI55</f>
        <v>-4796</v>
      </c>
      <c r="AC55" s="25">
        <f>+SUM(AC44:AC54)</f>
        <v>-8146</v>
      </c>
      <c r="AD55" s="25">
        <f>+SUM(AD44:AD54)</f>
        <v>-2009.3277499999999</v>
      </c>
      <c r="AE55" s="25">
        <f>+SUM(AE44:AE54)</f>
        <v>-209.32774999999998</v>
      </c>
      <c r="AF55" s="25">
        <f>+SUM(AF44:AF54)</f>
        <v>-209.32774999999998</v>
      </c>
    </row>
    <row r="56" spans="1:44">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01"/>
      <c r="AD56" s="201"/>
      <c r="AE56" s="201"/>
      <c r="AF56" s="201"/>
    </row>
    <row r="57" spans="1:44" s="109" customFormat="1">
      <c r="A57" s="265" t="str">
        <f>Cash_Flow_Qtr!A57</f>
        <v>Effect of Exchange Rates on Cash &amp; Cash Equivalents</v>
      </c>
      <c r="B57" s="43">
        <v>0</v>
      </c>
      <c r="C57" s="43">
        <v>0</v>
      </c>
      <c r="D57" s="43">
        <v>0</v>
      </c>
      <c r="E57" s="43">
        <v>0</v>
      </c>
      <c r="F57" s="43">
        <v>0</v>
      </c>
      <c r="G57" s="43">
        <v>-37</v>
      </c>
      <c r="H57" s="43">
        <v>38</v>
      </c>
      <c r="I57" s="43">
        <v>46</v>
      </c>
      <c r="J57" s="43">
        <v>-59</v>
      </c>
      <c r="K57" s="43">
        <v>44</v>
      </c>
      <c r="L57" s="43">
        <v>-15</v>
      </c>
      <c r="M57" s="43">
        <v>-2</v>
      </c>
      <c r="N57" s="43">
        <v>18</v>
      </c>
      <c r="O57" s="43">
        <v>-29</v>
      </c>
      <c r="P57" s="43">
        <v>-87</v>
      </c>
      <c r="Q57" s="38">
        <f>+Cash_Flow_Qtr!F57</f>
        <v>-28</v>
      </c>
      <c r="R57" s="38">
        <f>+Cash_Flow_Qtr!K57</f>
        <v>-33</v>
      </c>
      <c r="S57" s="38">
        <f>+Cash_Flow_Qtr!P57</f>
        <v>80</v>
      </c>
      <c r="T57" s="38">
        <f>+Cash_Flow_Qtr!U57</f>
        <v>-53</v>
      </c>
      <c r="U57" s="38">
        <f>+Cash_Flow_Qtr!Z57</f>
        <v>-5</v>
      </c>
      <c r="V57" s="38">
        <f>+Cash_Flow_Qtr!AE57</f>
        <v>85</v>
      </c>
      <c r="W57" s="38">
        <f>+Cash_Flow_Qtr!AJ57</f>
        <v>-39</v>
      </c>
      <c r="X57" s="38">
        <f>+Cash_Flow_Qtr!AO57</f>
        <v>-73</v>
      </c>
      <c r="Y57" s="38">
        <f>+Cash_Flow_Qtr!AT57</f>
        <v>30</v>
      </c>
      <c r="Z57" s="38">
        <f>+Cash_Flow_Qtr!AY57</f>
        <v>-47</v>
      </c>
      <c r="AA57" s="38">
        <f>+Cash_Flow_Qtr!BD57</f>
        <v>40</v>
      </c>
      <c r="AB57" s="38">
        <f>+Cash_Flow_Qtr!BI57</f>
        <v>0</v>
      </c>
      <c r="AC57" s="43">
        <v>0</v>
      </c>
      <c r="AD57" s="43">
        <v>0</v>
      </c>
      <c r="AE57" s="43">
        <v>0</v>
      </c>
      <c r="AF57" s="43">
        <v>0</v>
      </c>
      <c r="AM57"/>
      <c r="AN57"/>
      <c r="AO57"/>
      <c r="AP57"/>
      <c r="AQ57"/>
      <c r="AR57"/>
    </row>
    <row r="58" spans="1:44" s="109" customFormat="1">
      <c r="A58" s="265" t="str">
        <f>Cash_Flow_Qtr!A58</f>
        <v xml:space="preserve">Other Adjustments </v>
      </c>
      <c r="B58" s="43">
        <v>0</v>
      </c>
      <c r="C58" s="43">
        <v>0</v>
      </c>
      <c r="D58" s="43">
        <v>0</v>
      </c>
      <c r="E58" s="43">
        <v>0</v>
      </c>
      <c r="F58" s="43">
        <v>0</v>
      </c>
      <c r="G58" s="43">
        <v>0</v>
      </c>
      <c r="H58" s="43">
        <v>0</v>
      </c>
      <c r="I58" s="43">
        <v>0</v>
      </c>
      <c r="J58" s="43">
        <v>0</v>
      </c>
      <c r="K58" s="43">
        <v>0</v>
      </c>
      <c r="L58" s="43">
        <v>0</v>
      </c>
      <c r="M58" s="43">
        <v>0</v>
      </c>
      <c r="N58" s="43">
        <v>0</v>
      </c>
      <c r="O58" s="43">
        <v>0</v>
      </c>
      <c r="P58" s="43">
        <v>0</v>
      </c>
      <c r="Q58" s="38">
        <f>+Cash_Flow_Qtr!F58</f>
        <v>0</v>
      </c>
      <c r="R58" s="38">
        <f>+Cash_Flow_Qtr!K58</f>
        <v>0</v>
      </c>
      <c r="S58" s="38">
        <f>+Cash_Flow_Qtr!P58</f>
        <v>68</v>
      </c>
      <c r="T58" s="38">
        <f>+Cash_Flow_Qtr!U58</f>
        <v>0</v>
      </c>
      <c r="U58" s="38">
        <f>+Cash_Flow_Qtr!Z58</f>
        <v>0</v>
      </c>
      <c r="V58" s="38">
        <f>+Cash_Flow_Qtr!AE58</f>
        <v>0</v>
      </c>
      <c r="W58" s="38">
        <f>+Cash_Flow_Qtr!AJ58</f>
        <v>0</v>
      </c>
      <c r="X58" s="38">
        <f>+Cash_Flow_Qtr!AO58</f>
        <v>0</v>
      </c>
      <c r="Y58" s="38">
        <f>+Cash_Flow_Qtr!AT58</f>
        <v>0</v>
      </c>
      <c r="Z58" s="38">
        <f>+Cash_Flow_Qtr!AY58</f>
        <v>0</v>
      </c>
      <c r="AA58" s="38">
        <f>+Cash_Flow_Qtr!BD58</f>
        <v>0</v>
      </c>
      <c r="AB58" s="38">
        <f>+Cash_Flow_Qtr!BI58</f>
        <v>0</v>
      </c>
      <c r="AC58" s="43">
        <v>0</v>
      </c>
      <c r="AD58" s="43">
        <v>0</v>
      </c>
      <c r="AE58" s="43">
        <v>0</v>
      </c>
      <c r="AF58" s="43">
        <v>0</v>
      </c>
      <c r="AM58"/>
      <c r="AN58"/>
      <c r="AO58"/>
      <c r="AP58"/>
      <c r="AQ58"/>
      <c r="AR58"/>
    </row>
    <row r="59" spans="1:44">
      <c r="A59" s="17" t="str">
        <f>Cash_Flow_Qtr!A59</f>
        <v>Net Cash in Cash and Cash Equivalents</v>
      </c>
      <c r="B59" s="76">
        <f t="shared" ref="B59:P59" si="4">+SUM(B55,B41,B29,B57,B58)</f>
        <v>-2344</v>
      </c>
      <c r="C59" s="76">
        <f t="shared" si="4"/>
        <v>-377</v>
      </c>
      <c r="D59" s="76">
        <f t="shared" si="4"/>
        <v>1700</v>
      </c>
      <c r="E59" s="76">
        <f t="shared" si="4"/>
        <v>2300</v>
      </c>
      <c r="F59" s="76">
        <f t="shared" si="4"/>
        <v>-1429</v>
      </c>
      <c r="G59" s="76">
        <f t="shared" si="4"/>
        <v>2208</v>
      </c>
      <c r="H59" s="76">
        <f t="shared" si="4"/>
        <v>706</v>
      </c>
      <c r="I59" s="76">
        <f t="shared" si="4"/>
        <v>924</v>
      </c>
      <c r="J59" s="76">
        <f t="shared" si="4"/>
        <v>-3774</v>
      </c>
      <c r="K59" s="76">
        <f t="shared" si="4"/>
        <v>5947</v>
      </c>
      <c r="L59" s="76">
        <f t="shared" si="4"/>
        <v>-3856</v>
      </c>
      <c r="M59" s="76">
        <f t="shared" si="4"/>
        <v>4690</v>
      </c>
      <c r="N59" s="76">
        <f t="shared" si="4"/>
        <v>292</v>
      </c>
      <c r="O59" s="76">
        <f t="shared" si="4"/>
        <v>-1253</v>
      </c>
      <c r="P59" s="76">
        <f t="shared" si="4"/>
        <v>2645</v>
      </c>
      <c r="Q59" s="166">
        <f>+Cash_Flow_Qtr!F59</f>
        <v>-431</v>
      </c>
      <c r="R59" s="166">
        <f>+Cash_Flow_Qtr!K59</f>
        <v>-2501</v>
      </c>
      <c r="S59" s="166">
        <f>+Cash_Flow_Qtr!P59</f>
        <v>86</v>
      </c>
      <c r="T59" s="166">
        <f>+Cash_Flow_Qtr!U59</f>
        <v>-1074</v>
      </c>
      <c r="U59" s="166">
        <f>+Cash_Flow_Qtr!Z59</f>
        <v>1758</v>
      </c>
      <c r="V59" s="166">
        <f>+Cash_Flow_Qtr!AE59</f>
        <v>-1736</v>
      </c>
      <c r="W59" s="166">
        <f>+Cash_Flow_Qtr!AJ59</f>
        <v>269</v>
      </c>
      <c r="X59" s="166">
        <f>+Cash_Flow_Qtr!AO59</f>
        <v>6543</v>
      </c>
      <c r="Y59" s="166">
        <f>+Cash_Flow_Qtr!AT59</f>
        <v>-1934</v>
      </c>
      <c r="Z59" s="166">
        <f>+Cash_Flow_Qtr!AY59</f>
        <v>1109</v>
      </c>
      <c r="AA59" s="166">
        <f>+Cash_Flow_Qtr!BD59</f>
        <v>-2159</v>
      </c>
      <c r="AB59" s="166">
        <f ca="1">+Cash_Flow_Qtr!BI59</f>
        <v>-2624.5974503919533</v>
      </c>
      <c r="AC59" s="76">
        <f ca="1">+SUM(AC55,AC41,AC29,AC57,AC58)</f>
        <v>-1336.9457427899415</v>
      </c>
      <c r="AD59" s="76">
        <f ca="1">+SUM(AD55,AD41,AD29,AD57,AD58)</f>
        <v>8277.5658332292769</v>
      </c>
      <c r="AE59" s="76">
        <f ca="1">+SUM(AE55,AE41,AE29,AE57,AE58)</f>
        <v>10586.677111719022</v>
      </c>
      <c r="AF59" s="76">
        <f ca="1">+SUM(AF55,AF41,AF29,AF57,AF58)</f>
        <v>12480.389325086566</v>
      </c>
    </row>
    <row r="60" spans="1:44">
      <c r="A60" s="17"/>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row>
    <row r="61" spans="1:44">
      <c r="A61" s="16" t="str">
        <f>Cash_Flow_Qtr!A61</f>
        <v>Cash, Cash Equivalents and Restricted Cash at Beginning of Period</v>
      </c>
      <c r="B61" s="31">
        <v>3354</v>
      </c>
      <c r="C61" s="25">
        <f t="shared" ref="C61:P61" si="5">+B62</f>
        <v>1010</v>
      </c>
      <c r="D61" s="25">
        <f t="shared" si="5"/>
        <v>633</v>
      </c>
      <c r="E61" s="25">
        <f t="shared" si="5"/>
        <v>2333</v>
      </c>
      <c r="F61" s="25">
        <f t="shared" si="5"/>
        <v>4633</v>
      </c>
      <c r="G61" s="25">
        <f t="shared" si="5"/>
        <v>3204</v>
      </c>
      <c r="H61" s="25">
        <f t="shared" si="5"/>
        <v>5412</v>
      </c>
      <c r="I61" s="25">
        <f t="shared" si="5"/>
        <v>6118</v>
      </c>
      <c r="J61" s="25">
        <f t="shared" si="5"/>
        <v>7042</v>
      </c>
      <c r="K61" s="25">
        <f t="shared" si="5"/>
        <v>3268</v>
      </c>
      <c r="L61" s="25">
        <f t="shared" si="5"/>
        <v>9215</v>
      </c>
      <c r="M61" s="25">
        <f t="shared" si="5"/>
        <v>5359</v>
      </c>
      <c r="N61" s="25">
        <f t="shared" si="5"/>
        <v>10049</v>
      </c>
      <c r="O61" s="25">
        <f t="shared" si="5"/>
        <v>10341</v>
      </c>
      <c r="P61" s="25">
        <f t="shared" si="5"/>
        <v>9088</v>
      </c>
      <c r="Q61" s="178">
        <f>+Cash_Flow_Qtr!F61</f>
        <v>11733</v>
      </c>
      <c r="R61" s="178">
        <f>+Cash_Flow_Qtr!K61</f>
        <v>11302</v>
      </c>
      <c r="S61" s="178">
        <f>+Cash_Flow_Qtr!P61</f>
        <v>8801</v>
      </c>
      <c r="T61" s="178">
        <f>+Cash_Flow_Qtr!U61</f>
        <v>8887</v>
      </c>
      <c r="U61" s="178">
        <f>+Cash_Flow_Qtr!Z61</f>
        <v>7813</v>
      </c>
      <c r="V61" s="178">
        <f>+Cash_Flow_Qtr!AE61</f>
        <v>9571</v>
      </c>
      <c r="W61" s="178">
        <f>+Cash_Flow_Qtr!AJ61</f>
        <v>7835</v>
      </c>
      <c r="X61" s="178">
        <f>+Cash_Flow_Qtr!AO61</f>
        <v>8104</v>
      </c>
      <c r="Y61" s="178">
        <f>+Cash_Flow_Qtr!AT61</f>
        <v>14647</v>
      </c>
      <c r="Z61" s="178">
        <f>+Cash_Flow_Qtr!AY61</f>
        <v>12713</v>
      </c>
      <c r="AA61" s="178">
        <f>+Cash_Flow_Qtr!BD61</f>
        <v>13822</v>
      </c>
      <c r="AB61" s="178">
        <f>+Cash_Flow_Qtr!BI61</f>
        <v>11663</v>
      </c>
      <c r="AC61" s="25">
        <f ca="1">+AB62</f>
        <v>9038.4025496080467</v>
      </c>
      <c r="AD61" s="25">
        <f ca="1">+AC62</f>
        <v>7701.4568068181052</v>
      </c>
      <c r="AE61" s="25">
        <f ca="1">+AD62</f>
        <v>15979.022640047382</v>
      </c>
      <c r="AF61" s="25">
        <f ca="1">+AE62</f>
        <v>26565.699751766406</v>
      </c>
    </row>
    <row r="62" spans="1:44">
      <c r="A62" s="16" t="str">
        <f>Cash_Flow_Qtr!A62</f>
        <v>Cash, Cash Equivalents and Restricted Cash at End of Period</v>
      </c>
      <c r="B62" s="25">
        <f t="shared" ref="B62:P62" si="6">+SUM(B59,B61)</f>
        <v>1010</v>
      </c>
      <c r="C62" s="25">
        <f t="shared" si="6"/>
        <v>633</v>
      </c>
      <c r="D62" s="25">
        <f t="shared" si="6"/>
        <v>2333</v>
      </c>
      <c r="E62" s="25">
        <f t="shared" si="6"/>
        <v>4633</v>
      </c>
      <c r="F62" s="25">
        <f t="shared" si="6"/>
        <v>3204</v>
      </c>
      <c r="G62" s="25">
        <f t="shared" si="6"/>
        <v>5412</v>
      </c>
      <c r="H62" s="25">
        <f t="shared" si="6"/>
        <v>6118</v>
      </c>
      <c r="I62" s="25">
        <f t="shared" si="6"/>
        <v>7042</v>
      </c>
      <c r="J62" s="25">
        <f t="shared" si="6"/>
        <v>3268</v>
      </c>
      <c r="K62" s="25">
        <f t="shared" si="6"/>
        <v>9215</v>
      </c>
      <c r="L62" s="25">
        <f t="shared" si="6"/>
        <v>5359</v>
      </c>
      <c r="M62" s="25">
        <f t="shared" si="6"/>
        <v>10049</v>
      </c>
      <c r="N62" s="25">
        <f t="shared" si="6"/>
        <v>10341</v>
      </c>
      <c r="O62" s="25">
        <f t="shared" si="6"/>
        <v>9088</v>
      </c>
      <c r="P62" s="25">
        <f t="shared" si="6"/>
        <v>11733</v>
      </c>
      <c r="Q62" s="178">
        <f>+Cash_Flow_Qtr!F62</f>
        <v>11302</v>
      </c>
      <c r="R62" s="178">
        <f>+Cash_Flow_Qtr!K62</f>
        <v>8801</v>
      </c>
      <c r="S62" s="178">
        <f>+Cash_Flow_Qtr!P62</f>
        <v>8887</v>
      </c>
      <c r="T62" s="178">
        <f>+Cash_Flow_Qtr!U62</f>
        <v>7813</v>
      </c>
      <c r="U62" s="178">
        <f>+Cash_Flow_Qtr!Z62</f>
        <v>9571</v>
      </c>
      <c r="V62" s="178">
        <f>+Cash_Flow_Qtr!AE62</f>
        <v>7835</v>
      </c>
      <c r="W62" s="178">
        <f>+Cash_Flow_Qtr!AJ62</f>
        <v>8104</v>
      </c>
      <c r="X62" s="178">
        <f>+Cash_Flow_Qtr!AO62</f>
        <v>14647</v>
      </c>
      <c r="Y62" s="178">
        <f>+Cash_Flow_Qtr!AT62</f>
        <v>12713</v>
      </c>
      <c r="Z62" s="178">
        <f>+Cash_Flow_Qtr!AY62</f>
        <v>13822</v>
      </c>
      <c r="AA62" s="178">
        <f>+Cash_Flow_Qtr!BD62</f>
        <v>11663</v>
      </c>
      <c r="AB62" s="178">
        <f ca="1">+Cash_Flow_Qtr!BI62</f>
        <v>9038.4025496080467</v>
      </c>
      <c r="AC62" s="25">
        <f ca="1">+SUM(AC59,AC61)</f>
        <v>7701.4568068181052</v>
      </c>
      <c r="AD62" s="25">
        <f ca="1">+SUM(AD59,AD61)</f>
        <v>15979.022640047382</v>
      </c>
      <c r="AE62" s="25">
        <f ca="1">+SUM(AE59,AE61)</f>
        <v>26565.699751766406</v>
      </c>
      <c r="AF62" s="25">
        <f ca="1">+SUM(AF59,AF61)</f>
        <v>39046.089076852972</v>
      </c>
    </row>
    <row r="63" spans="1:44">
      <c r="A63" s="16" t="str">
        <f>Cash_Flow_Qtr!A63</f>
        <v>Less: Restricted Cash Balance</v>
      </c>
      <c r="B63" s="31">
        <v>0</v>
      </c>
      <c r="C63" s="31">
        <v>0</v>
      </c>
      <c r="D63" s="31">
        <v>0</v>
      </c>
      <c r="E63" s="31">
        <v>0</v>
      </c>
      <c r="F63" s="31">
        <v>0</v>
      </c>
      <c r="G63" s="31">
        <v>0</v>
      </c>
      <c r="H63" s="31">
        <v>0</v>
      </c>
      <c r="I63" s="31">
        <v>0</v>
      </c>
      <c r="J63" s="31">
        <v>0</v>
      </c>
      <c r="K63" s="31">
        <v>0</v>
      </c>
      <c r="L63" s="31">
        <v>0</v>
      </c>
      <c r="M63" s="31">
        <v>0</v>
      </c>
      <c r="N63" s="31">
        <v>0</v>
      </c>
      <c r="O63" s="31">
        <v>0</v>
      </c>
      <c r="P63" s="31">
        <v>0</v>
      </c>
      <c r="Q63" s="178">
        <f>+Cash_Flow_Qtr!F63</f>
        <v>0</v>
      </c>
      <c r="R63" s="178">
        <f>+Cash_Flow_Qtr!K63</f>
        <v>0</v>
      </c>
      <c r="S63" s="178">
        <f>+Cash_Flow_Qtr!P63</f>
        <v>74</v>
      </c>
      <c r="T63" s="178">
        <f>+Cash_Flow_Qtr!U63</f>
        <v>176</v>
      </c>
      <c r="U63" s="178">
        <f>+Cash_Flow_Qtr!Z63</f>
        <v>86</v>
      </c>
      <c r="V63" s="178">
        <f>+Cash_Flow_Qtr!AE63</f>
        <v>83</v>
      </c>
      <c r="W63" s="178">
        <f>+Cash_Flow_Qtr!AJ63</f>
        <v>52</v>
      </c>
      <c r="X63" s="178">
        <f>+Cash_Flow_Qtr!AO63</f>
        <v>33</v>
      </c>
      <c r="Y63" s="178">
        <f>+Cash_Flow_Qtr!AT63</f>
        <v>22</v>
      </c>
      <c r="Z63" s="178">
        <f>+Cash_Flow_Qtr!AY63</f>
        <v>21</v>
      </c>
      <c r="AA63" s="178">
        <f>+Cash_Flow_Qtr!BD63</f>
        <v>742</v>
      </c>
      <c r="AB63" s="178">
        <f>+Cash_Flow_Qtr!BI63</f>
        <v>709</v>
      </c>
      <c r="AC63" s="31">
        <f>AB63</f>
        <v>709</v>
      </c>
      <c r="AD63" s="31">
        <f>AC63</f>
        <v>709</v>
      </c>
      <c r="AE63" s="31">
        <f>AD63</f>
        <v>709</v>
      </c>
      <c r="AF63" s="31">
        <f>AE63</f>
        <v>709</v>
      </c>
    </row>
    <row r="64" spans="1:44">
      <c r="A64" s="16" t="s">
        <v>230</v>
      </c>
      <c r="B64" s="25">
        <f t="shared" ref="B64:P64" si="7">+B62-B63</f>
        <v>1010</v>
      </c>
      <c r="C64" s="25">
        <f t="shared" si="7"/>
        <v>633</v>
      </c>
      <c r="D64" s="25">
        <f t="shared" si="7"/>
        <v>2333</v>
      </c>
      <c r="E64" s="25">
        <f t="shared" si="7"/>
        <v>4633</v>
      </c>
      <c r="F64" s="25">
        <f t="shared" si="7"/>
        <v>3204</v>
      </c>
      <c r="G64" s="25">
        <f t="shared" si="7"/>
        <v>5412</v>
      </c>
      <c r="H64" s="25">
        <f t="shared" si="7"/>
        <v>6118</v>
      </c>
      <c r="I64" s="25">
        <f t="shared" si="7"/>
        <v>7042</v>
      </c>
      <c r="J64" s="25">
        <f t="shared" si="7"/>
        <v>3268</v>
      </c>
      <c r="K64" s="25">
        <f t="shared" si="7"/>
        <v>9215</v>
      </c>
      <c r="L64" s="25">
        <f t="shared" si="7"/>
        <v>5359</v>
      </c>
      <c r="M64" s="25">
        <f t="shared" si="7"/>
        <v>10049</v>
      </c>
      <c r="N64" s="25">
        <f t="shared" si="7"/>
        <v>10341</v>
      </c>
      <c r="O64" s="25">
        <f t="shared" si="7"/>
        <v>9088</v>
      </c>
      <c r="P64" s="25">
        <f t="shared" si="7"/>
        <v>11733</v>
      </c>
      <c r="Q64" s="178">
        <f>+Cash_Flow_Qtr!F64</f>
        <v>11302</v>
      </c>
      <c r="R64" s="178">
        <f>+Cash_Flow_Qtr!K64</f>
        <v>8801</v>
      </c>
      <c r="S64" s="178">
        <f>+Cash_Flow_Qtr!P64</f>
        <v>8813</v>
      </c>
      <c r="T64" s="178">
        <f>+Cash_Flow_Qtr!U64</f>
        <v>7637</v>
      </c>
      <c r="U64" s="178">
        <f>+Cash_Flow_Qtr!Z64</f>
        <v>9485</v>
      </c>
      <c r="V64" s="178">
        <f>+Cash_Flow_Qtr!AE64</f>
        <v>7752</v>
      </c>
      <c r="W64" s="178">
        <f>+Cash_Flow_Qtr!AJ64</f>
        <v>8052</v>
      </c>
      <c r="X64" s="178">
        <f>+Cash_Flow_Qtr!AO64</f>
        <v>14614</v>
      </c>
      <c r="Y64" s="178">
        <f>+Cash_Flow_Qtr!AT64</f>
        <v>12691</v>
      </c>
      <c r="Z64" s="178">
        <f>+Cash_Flow_Qtr!AY64</f>
        <v>13801</v>
      </c>
      <c r="AA64" s="178">
        <f>+Cash_Flow_Qtr!BD64</f>
        <v>10921</v>
      </c>
      <c r="AB64" s="178">
        <f ca="1">+Cash_Flow_Qtr!BI64</f>
        <v>8329.4025496080467</v>
      </c>
      <c r="AC64" s="25">
        <f ca="1">+AC62-AC63</f>
        <v>6992.4568068181052</v>
      </c>
      <c r="AD64" s="25">
        <f ca="1">+AD62-AD63</f>
        <v>15270.022640047382</v>
      </c>
      <c r="AE64" s="25">
        <f ca="1">+AE62-AE63</f>
        <v>25856.699751766406</v>
      </c>
      <c r="AF64" s="25">
        <f ca="1">+AF62-AF63</f>
        <v>38337.089076852972</v>
      </c>
    </row>
    <row r="65" spans="1:36">
      <c r="A65" t="s">
        <v>37</v>
      </c>
      <c r="B65" s="27" t="b">
        <f>+B64=Balance_Sheet_Annual!B5</f>
        <v>1</v>
      </c>
      <c r="C65" s="27" t="b">
        <f>+C64=Balance_Sheet_Annual!C5</f>
        <v>1</v>
      </c>
      <c r="D65" s="27" t="b">
        <f>+D64=Balance_Sheet_Annual!D5</f>
        <v>1</v>
      </c>
      <c r="E65" s="27" t="b">
        <f>+E64=Balance_Sheet_Annual!E5</f>
        <v>1</v>
      </c>
      <c r="F65" s="27" t="b">
        <f>+F64=Balance_Sheet_Annual!F5</f>
        <v>1</v>
      </c>
      <c r="G65" s="27" t="b">
        <f>+G64=Balance_Sheet_Annual!G5</f>
        <v>1</v>
      </c>
      <c r="H65" s="27" t="b">
        <f>+H64=Balance_Sheet_Annual!H5</f>
        <v>1</v>
      </c>
      <c r="I65" s="27" t="b">
        <f>+I64=Balance_Sheet_Annual!I5</f>
        <v>1</v>
      </c>
      <c r="J65" s="27" t="b">
        <f>+J64=Balance_Sheet_Annual!J5</f>
        <v>1</v>
      </c>
      <c r="K65" s="27" t="b">
        <f>+K64=Balance_Sheet_Annual!K5</f>
        <v>1</v>
      </c>
      <c r="L65" s="27" t="b">
        <f>+L64=Balance_Sheet_Annual!L5</f>
        <v>1</v>
      </c>
      <c r="M65" s="27" t="b">
        <f>+M64=Balance_Sheet_Annual!M5</f>
        <v>1</v>
      </c>
      <c r="N65" s="27" t="b">
        <f>+N64=Balance_Sheet_Annual!N5</f>
        <v>1</v>
      </c>
      <c r="O65" s="27" t="b">
        <f>+O64=Balance_Sheet_Annual!O5</f>
        <v>1</v>
      </c>
      <c r="P65" s="27" t="b">
        <f>+P64=Balance_Sheet_Annual!P5</f>
        <v>1</v>
      </c>
      <c r="Q65" s="27" t="b">
        <f>+Q64=Balance_Sheet_Annual!Q5</f>
        <v>1</v>
      </c>
      <c r="R65" s="27" t="b">
        <f>+R64=Balance_Sheet_Annual!R5</f>
        <v>1</v>
      </c>
      <c r="S65" s="27" t="b">
        <f>+S64=Balance_Sheet_Annual!S5</f>
        <v>1</v>
      </c>
      <c r="T65" s="27" t="b">
        <f>+T64=Balance_Sheet_Annual!T5</f>
        <v>1</v>
      </c>
      <c r="U65" s="27" t="b">
        <f>+U64=Balance_Sheet_Annual!U5</f>
        <v>1</v>
      </c>
      <c r="V65" s="27" t="b">
        <f>+V64=Balance_Sheet_Annual!V5</f>
        <v>1</v>
      </c>
      <c r="W65" s="27" t="b">
        <f>+W64=Balance_Sheet_Annual!W5</f>
        <v>1</v>
      </c>
      <c r="X65" s="27" t="b">
        <f>+X64=Balance_Sheet_Annual!X5</f>
        <v>1</v>
      </c>
      <c r="Y65" s="27" t="b">
        <f>+Y64=Balance_Sheet_Annual!Y5</f>
        <v>1</v>
      </c>
      <c r="Z65" s="27" t="b">
        <f>+Z64=Balance_Sheet_Annual!Z5</f>
        <v>1</v>
      </c>
      <c r="AA65" s="27" t="b">
        <f>+AA64=Balance_Sheet_Annual!AA5</f>
        <v>1</v>
      </c>
      <c r="AB65" s="27" t="b">
        <f ca="1">+AB64=Balance_Sheet_Annual!AB5</f>
        <v>1</v>
      </c>
      <c r="AC65" s="27" t="b">
        <f ca="1">+AC64=Balance_Sheet_Annual!AC5</f>
        <v>1</v>
      </c>
      <c r="AD65" s="27" t="b">
        <f ca="1">+AD64=Balance_Sheet_Annual!AD5</f>
        <v>1</v>
      </c>
      <c r="AE65" s="27" t="b">
        <f ca="1">+AE64=Balance_Sheet_Annual!AE5</f>
        <v>1</v>
      </c>
      <c r="AF65" s="27" t="b">
        <f ca="1">+AF64=Balance_Sheet_Annual!AF5</f>
        <v>1</v>
      </c>
    </row>
    <row r="66" spans="1:36">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01"/>
      <c r="AD66" s="201"/>
      <c r="AE66" s="201"/>
      <c r="AF66" s="201"/>
    </row>
    <row r="67" spans="1:36">
      <c r="A67" s="113" t="str">
        <f>Cash_Flow_Qtr!A67</f>
        <v>Financial Metrics</v>
      </c>
      <c r="B67" s="114"/>
      <c r="C67" s="114"/>
      <c r="D67" s="114"/>
      <c r="E67" s="114"/>
      <c r="F67" s="114"/>
      <c r="G67" s="114"/>
      <c r="H67" s="114"/>
      <c r="I67" s="114"/>
      <c r="J67" s="114"/>
      <c r="K67" s="114"/>
      <c r="L67" s="114"/>
      <c r="M67" s="114"/>
      <c r="N67" s="114"/>
      <c r="O67" s="114"/>
      <c r="P67" s="114"/>
      <c r="Q67" s="114"/>
      <c r="R67" s="114"/>
      <c r="S67" s="114"/>
      <c r="T67" s="114"/>
      <c r="U67" s="114"/>
      <c r="V67" s="114"/>
      <c r="W67" s="114"/>
      <c r="X67" s="114"/>
      <c r="Y67" s="114"/>
      <c r="Z67" s="114"/>
      <c r="AA67" s="114"/>
      <c r="AB67" s="114"/>
      <c r="AC67" s="114"/>
      <c r="AD67" s="114"/>
      <c r="AE67" s="114"/>
      <c r="AF67" s="114"/>
    </row>
    <row r="68" spans="1:36">
      <c r="A68" s="14" t="s">
        <v>209</v>
      </c>
      <c r="B68" s="43">
        <v>1159</v>
      </c>
      <c r="C68" s="43">
        <v>1140</v>
      </c>
      <c r="D68" s="43">
        <v>1094</v>
      </c>
      <c r="E68" s="43">
        <v>1005</v>
      </c>
      <c r="F68" s="43">
        <v>1028</v>
      </c>
      <c r="G68" s="43">
        <v>1001</v>
      </c>
      <c r="H68" s="43">
        <v>1058</v>
      </c>
      <c r="I68" s="43">
        <v>978</v>
      </c>
      <c r="J68" s="43">
        <v>1013</v>
      </c>
      <c r="K68" s="43">
        <v>1066</v>
      </c>
      <c r="L68" s="43">
        <v>1096</v>
      </c>
      <c r="M68" s="43">
        <v>1119</v>
      </c>
      <c r="N68" s="43">
        <v>1248</v>
      </c>
      <c r="O68" s="43">
        <v>1338</v>
      </c>
      <c r="P68" s="43">
        <v>1414</v>
      </c>
      <c r="Q68" s="38">
        <f>Cash_Flow_Qtr!F68</f>
        <v>1357</v>
      </c>
      <c r="R68" s="38">
        <f>Cash_Flow_Qtr!K68</f>
        <v>1418</v>
      </c>
      <c r="S68" s="38">
        <f>Cash_Flow_Qtr!P68</f>
        <v>1548</v>
      </c>
      <c r="T68" s="38">
        <f>Cash_Flow_Qtr!U68</f>
        <v>1556</v>
      </c>
      <c r="U68" s="38">
        <f>Cash_Flow_Qtr!Z68</f>
        <v>1567</v>
      </c>
      <c r="V68" s="38">
        <f>Cash_Flow_Qtr!AE68</f>
        <v>1520.798</v>
      </c>
      <c r="W68" s="38">
        <f>Cash_Flow_Qtr!AJ68</f>
        <v>1423.4269999999999</v>
      </c>
      <c r="X68" s="38">
        <f>Cash_Flow_Qtr!AO68</f>
        <v>1326.7380000000001</v>
      </c>
      <c r="Y68" s="38">
        <f>Cash_Flow_Qtr!AT68</f>
        <v>1301.442</v>
      </c>
      <c r="Z68" s="38">
        <f>Cash_Flow_Qtr!AY68</f>
        <v>1836</v>
      </c>
      <c r="AA68" s="38">
        <f>Cash_Flow_Qtr!BD68</f>
        <v>1860.1560000000002</v>
      </c>
      <c r="AB68" s="38">
        <f>Cash_Flow_Qtr!BI68</f>
        <v>2073.7350000000001</v>
      </c>
      <c r="AC68" s="23">
        <f>Balance_Sheet_Annual!AB19*AC69</f>
        <v>2827.3433314026465</v>
      </c>
      <c r="AD68" s="23">
        <f>Balance_Sheet_Annual!AC19*AD69</f>
        <v>2896.4570485048507</v>
      </c>
      <c r="AE68" s="23">
        <f>Balance_Sheet_Annual!AD19*AE69</f>
        <v>2977.453601868021</v>
      </c>
      <c r="AF68" s="23">
        <f>Balance_Sheet_Annual!AE19*AF69</f>
        <v>3064.4801036758035</v>
      </c>
      <c r="AG68" s="26"/>
    </row>
    <row r="69" spans="1:36">
      <c r="A69" s="1" t="s">
        <v>24</v>
      </c>
      <c r="B69" s="133">
        <f>+B68/8245</f>
        <v>0.14057004244996968</v>
      </c>
      <c r="C69" s="133">
        <f>+C68/Balance_Sheet_Annual!B19</f>
        <v>0.12933968686181074</v>
      </c>
      <c r="D69" s="133">
        <f>+D68/Balance_Sheet_Annual!C19</f>
        <v>0.12932970800331009</v>
      </c>
      <c r="E69" s="133">
        <f>+E68/Balance_Sheet_Annual!D19</f>
        <v>0.11466058185966914</v>
      </c>
      <c r="F69" s="133">
        <f>+F68/Balance_Sheet_Annual!E19</f>
        <v>0.12191650853889943</v>
      </c>
      <c r="G69" s="133">
        <f>+G68/Balance_Sheet_Annual!F19</f>
        <v>0.11855975364207036</v>
      </c>
      <c r="H69" s="133">
        <f>+H68/Balance_Sheet_Annual!G19</f>
        <v>0.12565320665083135</v>
      </c>
      <c r="I69" s="133">
        <f>+I68/Balance_Sheet_Annual!H19</f>
        <v>0.12742671009771986</v>
      </c>
      <c r="J69" s="133">
        <f>+J68/Balance_Sheet_Annual!I19</f>
        <v>0.12256503327283727</v>
      </c>
      <c r="K69" s="133">
        <f>+K68/Balance_Sheet_Annual!J19</f>
        <v>0.12166172106824925</v>
      </c>
      <c r="L69" s="133">
        <f>+L68/Balance_Sheet_Annual!K19</f>
        <v>0.12477231329690346</v>
      </c>
      <c r="M69" s="133">
        <f>+M68/Balance_Sheet_Annual!L19</f>
        <v>0.12529392005374537</v>
      </c>
      <c r="N69" s="133">
        <f>+N68/Balance_Sheet_Annual!M19</f>
        <v>0.13400622785353805</v>
      </c>
      <c r="O69" s="133">
        <f>+O68/Balance_Sheet_Annual!N19</f>
        <v>0.13850931677018632</v>
      </c>
      <c r="P69" s="133">
        <f>+P68/Balance_Sheet_Annual!O19</f>
        <v>0.13830203442879499</v>
      </c>
      <c r="Q69" s="133">
        <f>Cash_Flow_Qtr!F69</f>
        <v>0.12328518215680931</v>
      </c>
      <c r="R69" s="133">
        <f>Cash_Flow_Qtr!K69</f>
        <v>0.11742298774428618</v>
      </c>
      <c r="S69" s="133">
        <f>Cash_Flow_Qtr!P69</f>
        <v>0.12087139845397049</v>
      </c>
      <c r="T69" s="133">
        <f>Cash_Flow_Qtr!U69</f>
        <v>0.12279040404040405</v>
      </c>
      <c r="U69" s="133">
        <f>Cash_Flow_Qtr!Z69</f>
        <v>0.12392249901146699</v>
      </c>
      <c r="V69" s="133">
        <f>Cash_Flow_Qtr!AE69</f>
        <v>0.12164437689969605</v>
      </c>
      <c r="W69" s="133">
        <f>Cash_Flow_Qtr!AJ69</f>
        <v>0.12042529610829103</v>
      </c>
      <c r="X69" s="133">
        <f>Cash_Flow_Qtr!AO69</f>
        <v>0.1215184099651951</v>
      </c>
      <c r="Y69" s="133">
        <f>Cash_Flow_Qtr!AT69</f>
        <v>0.12335943127962086</v>
      </c>
      <c r="Z69" s="133">
        <f>Cash_Flow_Qtr!AY69</f>
        <v>0.17221649001031797</v>
      </c>
      <c r="AA69" s="133">
        <f>Cash_Flow_Qtr!BD69</f>
        <v>0.16300000000000001</v>
      </c>
      <c r="AB69" s="133">
        <f>Cash_Flow_Qtr!BI69</f>
        <v>0.13500000000000001</v>
      </c>
      <c r="AC69" s="212">
        <v>0.16300000000000001</v>
      </c>
      <c r="AD69" s="212">
        <v>0.16300000000000001</v>
      </c>
      <c r="AE69" s="212">
        <v>0.16300000000000001</v>
      </c>
      <c r="AF69" s="212">
        <v>0.16300000000000001</v>
      </c>
      <c r="AG69" s="26"/>
    </row>
    <row r="70" spans="1:36">
      <c r="A70" s="14" t="str">
        <f>Cash_Flow_Qtr!A70</f>
        <v>Amortization of Acquired Intangibles</v>
      </c>
      <c r="B70" s="43">
        <v>162</v>
      </c>
      <c r="C70" s="43">
        <v>302</v>
      </c>
      <c r="D70" s="43">
        <v>88</v>
      </c>
      <c r="E70" s="43">
        <v>94</v>
      </c>
      <c r="F70" s="43">
        <v>97</v>
      </c>
      <c r="G70" s="43">
        <v>91</v>
      </c>
      <c r="H70" s="43">
        <v>100</v>
      </c>
      <c r="I70" s="43">
        <v>152</v>
      </c>
      <c r="J70" s="43">
        <v>166</v>
      </c>
      <c r="K70" s="43">
        <v>207</v>
      </c>
      <c r="L70" s="43">
        <v>217</v>
      </c>
      <c r="M70" s="43">
        <v>203</v>
      </c>
      <c r="N70" s="43">
        <v>213</v>
      </c>
      <c r="O70" s="43">
        <v>205</v>
      </c>
      <c r="P70" s="43">
        <v>227</v>
      </c>
      <c r="Q70" s="38">
        <f>Cash_Flow_Qtr!F70</f>
        <v>224</v>
      </c>
      <c r="R70" s="38">
        <f>Cash_Flow_Qtr!K70</f>
        <v>220</v>
      </c>
      <c r="S70" s="38">
        <f>Cash_Flow_Qtr!P70</f>
        <v>240</v>
      </c>
      <c r="T70" s="38">
        <f>Cash_Flow_Qtr!U70</f>
        <v>272</v>
      </c>
      <c r="U70" s="38">
        <f>Cash_Flow_Qtr!Z70</f>
        <v>331</v>
      </c>
      <c r="V70" s="38">
        <f>Cash_Flow_Qtr!AE70</f>
        <v>320</v>
      </c>
      <c r="W70" s="38">
        <f>Cash_Flow_Qtr!AJ70</f>
        <v>320</v>
      </c>
      <c r="X70" s="38">
        <f>Cash_Flow_Qtr!AO70</f>
        <v>320</v>
      </c>
      <c r="Y70" s="38">
        <f>Cash_Flow_Qtr!AT70</f>
        <v>0</v>
      </c>
      <c r="Z70" s="38">
        <f>Cash_Flow_Qtr!AY70</f>
        <v>0</v>
      </c>
      <c r="AA70" s="38">
        <f>Cash_Flow_Qtr!BD70</f>
        <v>0</v>
      </c>
      <c r="AB70" s="38">
        <f>Cash_Flow_Qtr!BI70</f>
        <v>0</v>
      </c>
      <c r="AC70" s="23">
        <f t="shared" ref="AC70:AF71" si="8">AB70</f>
        <v>0</v>
      </c>
      <c r="AD70" s="23">
        <f t="shared" si="8"/>
        <v>0</v>
      </c>
      <c r="AE70" s="23">
        <f t="shared" si="8"/>
        <v>0</v>
      </c>
      <c r="AF70" s="23">
        <f t="shared" si="8"/>
        <v>0</v>
      </c>
      <c r="AG70" s="26"/>
    </row>
    <row r="71" spans="1:36">
      <c r="A71" s="14" t="str">
        <f>Cash_Flow_Qtr!A71</f>
        <v>Other Depreciation &amp; Amortization</v>
      </c>
      <c r="B71" s="23">
        <f t="shared" ref="B71:O71" si="9">B5-B68-B70</f>
        <v>158</v>
      </c>
      <c r="C71" s="23">
        <f t="shared" si="9"/>
        <v>301</v>
      </c>
      <c r="D71" s="23">
        <f t="shared" si="9"/>
        <v>315</v>
      </c>
      <c r="E71" s="23">
        <f t="shared" si="9"/>
        <v>301</v>
      </c>
      <c r="F71" s="23">
        <f t="shared" si="9"/>
        <v>384</v>
      </c>
      <c r="G71" s="23">
        <f t="shared" si="9"/>
        <v>411</v>
      </c>
      <c r="H71" s="23">
        <f t="shared" si="9"/>
        <v>387</v>
      </c>
      <c r="I71" s="23">
        <f t="shared" si="9"/>
        <v>356</v>
      </c>
      <c r="J71" s="23">
        <f t="shared" si="9"/>
        <v>312</v>
      </c>
      <c r="K71" s="23">
        <f t="shared" si="9"/>
        <v>393</v>
      </c>
      <c r="L71" s="23">
        <f t="shared" si="9"/>
        <v>414</v>
      </c>
      <c r="M71" s="23">
        <f t="shared" si="9"/>
        <v>353</v>
      </c>
      <c r="N71" s="23">
        <f t="shared" si="9"/>
        <v>350</v>
      </c>
      <c r="O71" s="23">
        <f t="shared" si="9"/>
        <v>301</v>
      </c>
      <c r="P71" s="23">
        <f>P5-P68-P70</f>
        <v>265</v>
      </c>
      <c r="Q71" s="38">
        <f>Cash_Flow_Qtr!F71</f>
        <v>252</v>
      </c>
      <c r="R71" s="38">
        <f>Cash_Flow_Qtr!K71</f>
        <v>272</v>
      </c>
      <c r="S71" s="38">
        <f>Cash_Flow_Qtr!P71</f>
        <v>259</v>
      </c>
      <c r="T71" s="38">
        <f>Cash_Flow_Qtr!U71</f>
        <v>286</v>
      </c>
      <c r="U71" s="38">
        <f>Cash_Flow_Qtr!Z71</f>
        <v>373</v>
      </c>
      <c r="V71" s="38">
        <f>Cash_Flow_Qtr!AE71</f>
        <v>373</v>
      </c>
      <c r="W71" s="38">
        <f>Cash_Flow_Qtr!AJ71</f>
        <v>373</v>
      </c>
      <c r="X71" s="38">
        <f>Cash_Flow_Qtr!AO71</f>
        <v>373</v>
      </c>
      <c r="Y71" s="38">
        <f>Cash_Flow_Qtr!AT71</f>
        <v>373</v>
      </c>
      <c r="Z71" s="38">
        <f>Cash_Flow_Qtr!AY71</f>
        <v>373</v>
      </c>
      <c r="AA71" s="38">
        <f>Cash_Flow_Qtr!BD71</f>
        <v>0</v>
      </c>
      <c r="AB71" s="38">
        <f>Cash_Flow_Qtr!BI71</f>
        <v>0</v>
      </c>
      <c r="AC71" s="43">
        <f t="shared" si="8"/>
        <v>0</v>
      </c>
      <c r="AD71" s="43">
        <f t="shared" si="8"/>
        <v>0</v>
      </c>
      <c r="AE71" s="43">
        <f t="shared" si="8"/>
        <v>0</v>
      </c>
      <c r="AF71" s="43">
        <f t="shared" si="8"/>
        <v>0</v>
      </c>
      <c r="AG71" s="26"/>
    </row>
    <row r="72" spans="1:36">
      <c r="A72" s="14"/>
      <c r="B72" s="246"/>
      <c r="C72" s="246"/>
      <c r="D72" s="246"/>
      <c r="E72" s="246"/>
      <c r="F72" s="246"/>
      <c r="G72" s="246"/>
      <c r="H72" s="246"/>
      <c r="I72" s="246"/>
      <c r="J72" s="246"/>
      <c r="K72" s="246"/>
      <c r="L72" s="246"/>
      <c r="M72" s="246"/>
      <c r="N72" s="246"/>
      <c r="O72" s="246"/>
      <c r="P72" s="246"/>
      <c r="Q72" s="166"/>
      <c r="R72" s="166"/>
      <c r="S72" s="166"/>
      <c r="T72" s="166"/>
      <c r="U72" s="166"/>
      <c r="V72" s="166"/>
      <c r="W72" s="166"/>
      <c r="X72" s="166"/>
      <c r="Y72" s="166"/>
      <c r="Z72" s="166"/>
      <c r="AA72" s="166"/>
      <c r="AB72" s="166"/>
      <c r="AC72" s="201"/>
      <c r="AD72" s="201"/>
      <c r="AE72" s="201"/>
      <c r="AF72" s="201"/>
    </row>
    <row r="73" spans="1:36">
      <c r="A73" s="14" t="str">
        <f>Cash_Flow_Qtr!A73</f>
        <v>Capital Expenditures</v>
      </c>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01"/>
      <c r="AD73" s="201"/>
      <c r="AE73" s="201"/>
      <c r="AF73" s="201"/>
    </row>
    <row r="74" spans="1:36">
      <c r="A74" s="1" t="str">
        <f>Cash_Flow_Qtr!A74</f>
        <v>As a % of Net Revenue</v>
      </c>
      <c r="B74" s="112">
        <f>+-B33/Income_Statement_Annual!B10</f>
        <v>1.8160207322538532E-2</v>
      </c>
      <c r="C74" s="112">
        <f>+-C33/Income_Statement_Annual!C10</f>
        <v>2.0430255335234886E-2</v>
      </c>
      <c r="D74" s="112">
        <f>+-D33/Income_Statement_Annual!D10</f>
        <v>1.8516120678492815E-2</v>
      </c>
      <c r="E74" s="112">
        <f>+-E33/Income_Statement_Annual!E10</f>
        <v>1.474450811843362E-2</v>
      </c>
      <c r="F74" s="112">
        <f>+-F33/Income_Statement_Annual!F10</f>
        <v>2.3752787997788665E-2</v>
      </c>
      <c r="G74" s="112">
        <f>+-G33/Income_Statement_Annual!G10</f>
        <v>2.8850636877342833E-2</v>
      </c>
      <c r="H74" s="112">
        <f>+-H33/Income_Statement_Annual!H10</f>
        <v>2.7320006500893872E-2</v>
      </c>
      <c r="I74" s="112">
        <f>+-I33/Income_Statement_Annual!I10</f>
        <v>2.607438203262687E-2</v>
      </c>
      <c r="J74" s="112">
        <f>+-J33/Income_Statement_Annual!J10</f>
        <v>2.7483623109885238E-2</v>
      </c>
      <c r="K74" s="112">
        <f>+-K33/Income_Statement_Annual!K10</f>
        <v>1.7369399979496492E-2</v>
      </c>
      <c r="L74" s="112">
        <f>+-L33/Income_Statement_Annual!L10</f>
        <v>1.7494479519795974E-2</v>
      </c>
      <c r="M74" s="112">
        <f>+-M33/Income_Statement_Annual!M10</f>
        <v>2.4921801120244415E-2</v>
      </c>
      <c r="N74" s="112">
        <f>+-N33/Income_Statement_Annual!N10</f>
        <v>2.0845063526646918E-2</v>
      </c>
      <c r="O74" s="112">
        <f>+-O33/Income_Statement_Annual!O10</f>
        <v>2.4219895408840609E-2</v>
      </c>
      <c r="P74" s="36">
        <f>+-P33/Income_Statement_Annual!P10</f>
        <v>2.4635860822811308E-2</v>
      </c>
      <c r="Q74" s="182">
        <f>+Cash_Flow_Qtr!F74</f>
        <v>2.5490563289427139E-2</v>
      </c>
      <c r="R74" s="182">
        <f>+Cash_Flow_Qtr!K74</f>
        <v>2.7630034577195969E-2</v>
      </c>
      <c r="S74" s="182">
        <f>+Cash_Flow_Qtr!P74</f>
        <v>1.8499016009786713E-2</v>
      </c>
      <c r="T74" s="182">
        <f>+Cash_Flow_Qtr!U74</f>
        <v>1.7028093387522619E-2</v>
      </c>
      <c r="U74" s="182">
        <f>+Cash_Flow_Qtr!Z74</f>
        <v>2.3955380817408795E-2</v>
      </c>
      <c r="V74" s="182">
        <f>+Cash_Flow_Qtr!AE74</f>
        <v>2.2404484335774959E-2</v>
      </c>
      <c r="W74" s="182">
        <f>+Cash_Flow_Qtr!AJ74</f>
        <v>1.5733872780400091E-2</v>
      </c>
      <c r="X74" s="182">
        <f>+Cash_Flow_Qtr!AO74</f>
        <v>1.8346144607254384E-2</v>
      </c>
      <c r="Y74" s="182">
        <f>+Cash_Flow_Qtr!AT74</f>
        <v>1.9628763143687174E-2</v>
      </c>
      <c r="Z74" s="182">
        <f>+Cash_Flow_Qtr!AY74</f>
        <v>3.3525264218169794E-2</v>
      </c>
      <c r="AA74" s="182">
        <f>+Cash_Flow_Qtr!BD74</f>
        <v>3.4099999999999998E-2</v>
      </c>
      <c r="AB74" s="182">
        <f>+Cash_Flow_Qtr!BI74</f>
        <v>4.07E-2</v>
      </c>
      <c r="AC74" s="240">
        <v>0.03</v>
      </c>
      <c r="AD74" s="240">
        <v>0.03</v>
      </c>
      <c r="AE74" s="240">
        <v>0.03</v>
      </c>
      <c r="AF74" s="240">
        <v>0.03</v>
      </c>
    </row>
    <row r="75" spans="1:36">
      <c r="A75" s="1" t="str">
        <f>Cash_Flow_Qtr!A75</f>
        <v>As a % of Beginning Net PP&amp;E</v>
      </c>
      <c r="B75" s="112">
        <f>-B33/8245</f>
        <v>0.11303820497271073</v>
      </c>
      <c r="C75" s="112">
        <f>-C33/Balance_Sheet_Annual!B19</f>
        <v>0.13489902427955525</v>
      </c>
      <c r="D75" s="112">
        <f>-D33/Balance_Sheet_Annual!C19</f>
        <v>0.11833550065019506</v>
      </c>
      <c r="E75" s="112">
        <f>-E33/Balance_Sheet_Annual!D19</f>
        <v>8.4540787221905306E-2</v>
      </c>
      <c r="F75" s="112">
        <f>-F33/Balance_Sheet_Annual!E19</f>
        <v>0.14777039848197343</v>
      </c>
      <c r="G75" s="112">
        <f>-G33/Balance_Sheet_Annual!F19</f>
        <v>0.18322871017410872</v>
      </c>
      <c r="H75" s="112">
        <f>-H33/Balance_Sheet_Annual!G19</f>
        <v>0.19964370546318289</v>
      </c>
      <c r="I75" s="112">
        <f>-I33/Balance_Sheet_Annual!H19</f>
        <v>0.22553745928338761</v>
      </c>
      <c r="J75" s="112">
        <f>-J33/Balance_Sheet_Annual!I19</f>
        <v>0.20254083484573504</v>
      </c>
      <c r="K75" s="112">
        <f>-K33/Balance_Sheet_Annual!J19</f>
        <v>0.13535722437799588</v>
      </c>
      <c r="L75" s="112">
        <f>-L33/Balance_Sheet_Annual!K19</f>
        <v>0.12807377049180327</v>
      </c>
      <c r="M75" s="112">
        <f>-M33/Balance_Sheet_Annual!L19</f>
        <v>0.1918038293584145</v>
      </c>
      <c r="N75" s="112">
        <f>-N33/Balance_Sheet_Annual!M19</f>
        <v>0.18286266509180715</v>
      </c>
      <c r="O75" s="112">
        <f>-O33/Balance_Sheet_Annual!N19</f>
        <v>0.21718426501035196</v>
      </c>
      <c r="P75" s="36">
        <f>-P33/Balance_Sheet_Annual!O19</f>
        <v>0.21870109546165883</v>
      </c>
      <c r="Q75" s="182">
        <f>+Cash_Flow_Qtr!F75</f>
        <v>0.22258562732806397</v>
      </c>
      <c r="R75" s="182">
        <f>+Cash_Flow_Qtr!K75</f>
        <v>0.21637959589267969</v>
      </c>
      <c r="S75" s="182">
        <f>+Cash_Flow_Qtr!P75</f>
        <v>0.1357851175138596</v>
      </c>
      <c r="T75" s="182">
        <f>+Cash_Flow_Qtr!U75</f>
        <v>0.13589015151515152</v>
      </c>
      <c r="U75" s="182">
        <f>+Cash_Flow_Qtr!Z75</f>
        <v>0.14503756425464612</v>
      </c>
      <c r="V75" s="182">
        <f>+Cash_Flow_Qtr!AE75</f>
        <v>0.1042233242681171</v>
      </c>
      <c r="W75" s="182">
        <f>+Cash_Flow_Qtr!AJ75</f>
        <v>8.2910321489001695E-2</v>
      </c>
      <c r="X75" s="182">
        <f>+Cash_Flow_Qtr!AO75</f>
        <v>0.11192526103681993</v>
      </c>
      <c r="Y75" s="182">
        <f>+Cash_Flow_Qtr!AT75</f>
        <v>0.144739336492891</v>
      </c>
      <c r="Z75" s="182">
        <f>+Cash_Flow_Qtr!AY75</f>
        <v>0.20917362348747773</v>
      </c>
      <c r="AA75" s="182">
        <f>+Cash_Flow_Qtr!BD75</f>
        <v>0.25779880827199442</v>
      </c>
      <c r="AB75" s="182">
        <f>+Cash_Flow_Qtr!BI75</f>
        <v>0.26420152397839897</v>
      </c>
      <c r="AC75" s="36">
        <f>-AC33/Balance_Sheet_Annual!AB19</f>
        <v>0.18744475573043221</v>
      </c>
      <c r="AD75" s="36">
        <f>-AD33/Balance_Sheet_Annual!AC19</f>
        <v>0.19096400982537617</v>
      </c>
      <c r="AE75" s="36">
        <f>-AE33/Balance_Sheet_Annual!AD19</f>
        <v>0.1922284997331892</v>
      </c>
      <c r="AF75" s="36">
        <f>-AF33/Balance_Sheet_Annual!AE19</f>
        <v>0.19203518630869104</v>
      </c>
    </row>
    <row r="76" spans="1:36">
      <c r="B76" s="27"/>
      <c r="C76" s="27"/>
      <c r="D76" s="27"/>
      <c r="E76" s="27"/>
      <c r="F76" s="27"/>
      <c r="G76" s="27"/>
      <c r="H76" s="27"/>
      <c r="I76" s="27"/>
      <c r="J76" s="27"/>
      <c r="K76" s="27"/>
      <c r="L76" s="27"/>
      <c r="M76" s="27"/>
      <c r="N76" s="27"/>
      <c r="O76" s="27"/>
      <c r="P76" s="27"/>
      <c r="Q76" s="27"/>
      <c r="R76" s="27"/>
      <c r="S76" s="27"/>
      <c r="T76" s="27"/>
      <c r="U76" s="27"/>
      <c r="V76" s="27"/>
      <c r="W76" s="27"/>
      <c r="X76" s="184"/>
      <c r="Y76" s="184"/>
      <c r="Z76" s="184"/>
      <c r="AA76" s="184"/>
      <c r="AB76" s="184"/>
      <c r="AC76" s="78"/>
      <c r="AD76" s="78"/>
      <c r="AE76" s="78"/>
      <c r="AF76" s="78"/>
    </row>
    <row r="77" spans="1:36">
      <c r="A77" s="5" t="str">
        <f>Cash_Flow_Qtr!A77</f>
        <v>Free Cash Flow</v>
      </c>
      <c r="B77" s="78">
        <f t="shared" ref="B77:P77" si="10">+B29+B33</f>
        <v>5010</v>
      </c>
      <c r="C77" s="78">
        <f t="shared" si="10"/>
        <v>2705</v>
      </c>
      <c r="D77" s="78">
        <f t="shared" si="10"/>
        <v>3235</v>
      </c>
      <c r="E77" s="78">
        <f t="shared" si="10"/>
        <v>1968</v>
      </c>
      <c r="F77" s="78">
        <f t="shared" si="10"/>
        <v>2258</v>
      </c>
      <c r="G77" s="78">
        <f t="shared" si="10"/>
        <v>5453</v>
      </c>
      <c r="H77" s="78">
        <f t="shared" si="10"/>
        <v>5818</v>
      </c>
      <c r="I77" s="78">
        <f t="shared" si="10"/>
        <v>7853</v>
      </c>
      <c r="J77" s="78">
        <f t="shared" si="10"/>
        <v>-2075</v>
      </c>
      <c r="K77" s="78">
        <f t="shared" si="10"/>
        <v>4417</v>
      </c>
      <c r="L77" s="78">
        <f t="shared" si="10"/>
        <v>1827</v>
      </c>
      <c r="M77" s="78">
        <f t="shared" si="10"/>
        <v>2310</v>
      </c>
      <c r="N77" s="78">
        <f t="shared" si="10"/>
        <v>5805</v>
      </c>
      <c r="O77" s="78">
        <f t="shared" si="10"/>
        <v>6081</v>
      </c>
      <c r="P77" s="78">
        <f t="shared" si="10"/>
        <v>6622</v>
      </c>
      <c r="Q77" s="184">
        <f>+Cash_Flow_Qtr!F77</f>
        <v>6913</v>
      </c>
      <c r="R77" s="184">
        <f>+Cash_Flow_Qtr!K77</f>
        <v>7886</v>
      </c>
      <c r="S77" s="184">
        <f>+Cash_Flow_Qtr!P77</f>
        <v>11607</v>
      </c>
      <c r="T77" s="184">
        <f>+Cash_Flow_Qtr!U77</f>
        <v>13600</v>
      </c>
      <c r="U77" s="184">
        <f>+Cash_Flow_Qtr!Z77</f>
        <v>-4280</v>
      </c>
      <c r="V77" s="184">
        <f>+Cash_Flow_Qtr!AE77</f>
        <v>-19713</v>
      </c>
      <c r="W77" s="184">
        <f>+Cash_Flow_Qtr!AJ77</f>
        <v>-4396</v>
      </c>
      <c r="X77" s="184">
        <f>+Cash_Flow_Qtr!AO77</f>
        <v>2290</v>
      </c>
      <c r="Y77" s="184">
        <f>+Cash_Flow_Qtr!AT77</f>
        <v>4433</v>
      </c>
      <c r="Z77" s="184">
        <f>+Cash_Flow_Qtr!AY77</f>
        <v>-14310</v>
      </c>
      <c r="AA77" s="184">
        <f>+Cash_Flow_Qtr!BD77</f>
        <v>-1877</v>
      </c>
      <c r="AB77" s="184">
        <f ca="1">+Cash_Flow_Qtr!BI77</f>
        <v>2171.4025496080476</v>
      </c>
      <c r="AC77" s="78">
        <f ca="1">+AC29+AC33</f>
        <v>6809.0542572100585</v>
      </c>
      <c r="AD77" s="78">
        <f ca="1">+AD29+AD33</f>
        <v>10286.893583229277</v>
      </c>
      <c r="AE77" s="78">
        <f ca="1">+AE29+AE33</f>
        <v>10796.004861719022</v>
      </c>
      <c r="AF77" s="78">
        <f ca="1">+AF29+AF33</f>
        <v>12689.717075086566</v>
      </c>
      <c r="AG77" s="77"/>
      <c r="AH77" s="109">
        <f ca="1">SUM(AB77:AE77)</f>
        <v>30063.355251766407</v>
      </c>
      <c r="AI77" s="77"/>
      <c r="AJ77" s="77"/>
    </row>
    <row r="78" spans="1:36">
      <c r="A78" s="1" t="str">
        <f>Cash_Flow_Qtr!A78</f>
        <v>FCF Conversion %</v>
      </c>
      <c r="B78" s="36">
        <f t="shared" ref="B78:P78" si="11">+B77/B4</f>
        <v>2.3543233082706765</v>
      </c>
      <c r="C78" s="36">
        <f t="shared" si="11"/>
        <v>0.95684471170852492</v>
      </c>
      <c r="D78" s="36">
        <f t="shared" si="11"/>
        <v>6.5752032520325203</v>
      </c>
      <c r="E78" s="36">
        <f t="shared" si="11"/>
        <v>2.7409470752089136</v>
      </c>
      <c r="F78" s="36">
        <f t="shared" si="11"/>
        <v>1.2061965811965811</v>
      </c>
      <c r="G78" s="36">
        <f t="shared" si="11"/>
        <v>2.1201399688958009</v>
      </c>
      <c r="H78" s="36">
        <f t="shared" si="11"/>
        <v>2.6266365688487583</v>
      </c>
      <c r="I78" s="36">
        <f t="shared" si="11"/>
        <v>1.9275895925380462</v>
      </c>
      <c r="J78" s="36">
        <f t="shared" si="11"/>
        <v>-0.7765718562874252</v>
      </c>
      <c r="K78" s="36">
        <f t="shared" si="11"/>
        <v>3.3666158536585367</v>
      </c>
      <c r="L78" s="36">
        <f t="shared" si="11"/>
        <v>0.55246446930752946</v>
      </c>
      <c r="M78" s="36">
        <f t="shared" si="11"/>
        <v>0.57491289198606277</v>
      </c>
      <c r="N78" s="36">
        <f t="shared" si="11"/>
        <v>1.4884615384615385</v>
      </c>
      <c r="O78" s="36">
        <f t="shared" si="11"/>
        <v>1.3262813522355508</v>
      </c>
      <c r="P78" s="36">
        <f t="shared" si="11"/>
        <v>1.2159383033419022</v>
      </c>
      <c r="Q78" s="182">
        <f>+Cash_Flow_Qtr!F78</f>
        <v>1.3355873261205564</v>
      </c>
      <c r="R78" s="182">
        <f>+Cash_Flow_Qtr!K78</f>
        <v>1.6110316649642493</v>
      </c>
      <c r="S78" s="182">
        <f>+Cash_Flow_Qtr!P78</f>
        <v>1.372310238827146</v>
      </c>
      <c r="T78" s="182">
        <f>+Cash_Flow_Qtr!U78</f>
        <v>1.3001912045889101</v>
      </c>
      <c r="U78" s="182">
        <f>+Cash_Flow_Qtr!Z78</f>
        <v>6.7295597484276728</v>
      </c>
      <c r="V78" s="182">
        <f>+Cash_Flow_Qtr!AE78</f>
        <v>1.6508667615777572</v>
      </c>
      <c r="W78" s="182">
        <f>+Cash_Flow_Qtr!AJ78</f>
        <v>1.0247086247086248</v>
      </c>
      <c r="X78" s="182">
        <f>+Cash_Flow_Qtr!AO78</f>
        <v>-0.45319612111616864</v>
      </c>
      <c r="Y78" s="182">
        <f>+Cash_Flow_Qtr!AT78</f>
        <v>-1.9772524531668154</v>
      </c>
      <c r="Z78" s="182">
        <f>+Cash_Flow_Qtr!AY78</f>
        <v>1.2097387775805224</v>
      </c>
      <c r="AA78" s="182">
        <f>+Cash_Flow_Qtr!BD78</f>
        <v>-0.83869526362823954</v>
      </c>
      <c r="AB78" s="182">
        <f ca="1">+Cash_Flow_Qtr!BI78</f>
        <v>2.6446301423800334</v>
      </c>
      <c r="AC78" s="36">
        <f ca="1">+AC77/AC4</f>
        <v>1.0942477269691178</v>
      </c>
      <c r="AD78" s="36">
        <f ca="1">+AD77/AD4</f>
        <v>1.3295032417856858</v>
      </c>
      <c r="AE78" s="36">
        <f ca="1">+AE77/AE4</f>
        <v>1.311793793366113</v>
      </c>
      <c r="AF78" s="36">
        <f ca="1">+AF77/AF4</f>
        <v>1.4766124965919545</v>
      </c>
      <c r="AG78" s="34"/>
      <c r="AH78" s="109">
        <v>30063.355251766407</v>
      </c>
      <c r="AI78" s="34"/>
      <c r="AJ78" s="34"/>
    </row>
    <row r="79" spans="1:36">
      <c r="A79" s="14" t="str">
        <f>Cash_Flow_Qtr!A79</f>
        <v>Per Share</v>
      </c>
      <c r="B79" s="80">
        <f>+B77/Income_Statement_Annual!B79</f>
        <v>5.7500286927579483</v>
      </c>
      <c r="C79" s="80">
        <f>+C77/Income_Statement_Annual!C79</f>
        <v>3.2617870493187029</v>
      </c>
      <c r="D79" s="80">
        <f>+D77/Income_Statement_Annual!D79</f>
        <v>4.0017318159327067</v>
      </c>
      <c r="E79" s="80">
        <f>+E77/Income_Statement_Annual!E79</f>
        <v>2.4329336135492645</v>
      </c>
      <c r="F79" s="80">
        <f>+F77/Income_Statement_Annual!F79</f>
        <v>2.7773677736777369</v>
      </c>
      <c r="G79" s="80">
        <f>+G77/Income_Statement_Annual!G79</f>
        <v>6.7916303400174369</v>
      </c>
      <c r="H79" s="80">
        <f>+H77/Income_Statement_Annual!H79</f>
        <v>7.3869984763839511</v>
      </c>
      <c r="I79" s="80">
        <f>+I77/Income_Statement_Annual!I79</f>
        <v>10.165695792880259</v>
      </c>
      <c r="J79" s="80">
        <f>+J77/Income_Statement_Annual!J79</f>
        <v>-2.8463648834019204</v>
      </c>
      <c r="K79" s="80">
        <f>+K77/Income_Statement_Annual!K79</f>
        <v>6.1914774320156996</v>
      </c>
      <c r="L79" s="80">
        <f>+L77/Income_Statement_Annual!L79</f>
        <v>2.4546553808948008</v>
      </c>
      <c r="M79" s="80">
        <f>+M77/Income_Statement_Annual!M79</f>
        <v>3.0775379696243004</v>
      </c>
      <c r="N79" s="80">
        <f>+N77/Income_Statement_Annual!N79</f>
        <v>7.6231122783978993</v>
      </c>
      <c r="O79" s="80">
        <f>+O77/Income_Statement_Annual!O79</f>
        <v>7.9220948410630534</v>
      </c>
      <c r="P79" s="80">
        <f>+P77/Income_Statement_Annual!P79</f>
        <v>8.9887335414687115</v>
      </c>
      <c r="Q79" s="185">
        <f>+Cash_Flow_Qtr!F79</f>
        <v>9.9467625899280581</v>
      </c>
      <c r="R79" s="185">
        <f>+Cash_Flow_Qtr!K79</f>
        <v>12.268201617921594</v>
      </c>
      <c r="S79" s="185">
        <f>+Cash_Flow_Qtr!P79</f>
        <v>19.027868852459015</v>
      </c>
      <c r="T79" s="185">
        <f>+Cash_Flow_Qtr!U79</f>
        <v>23.228010247651579</v>
      </c>
      <c r="U79" s="185">
        <f>+Cash_Flow_Qtr!Z79</f>
        <v>-7.5698620445702165</v>
      </c>
      <c r="V79" s="185">
        <f>+Cash_Flow_Qtr!AE79</f>
        <v>-34.695296343556123</v>
      </c>
      <c r="W79" s="185">
        <f>+Cash_Flow_Qtr!AJ79</f>
        <v>-7.469521260779068</v>
      </c>
      <c r="X79" s="185">
        <f>+Cash_Flow_Qtr!AO79</f>
        <v>3.8433458927387614</v>
      </c>
      <c r="Y79" s="185">
        <f>+Cash_Flow_Qtr!AT79</f>
        <v>7.3130696581020338</v>
      </c>
      <c r="Z79" s="185">
        <f>+Cash_Flow_Qtr!AY79</f>
        <v>-22.110630407911</v>
      </c>
      <c r="AA79" s="185">
        <f>+Cash_Flow_Qtr!BD79</f>
        <v>-2.462285189557917</v>
      </c>
      <c r="AB79" s="185">
        <f ca="1">+Cash_Flow_Qtr!BI79</f>
        <v>2.7014214351928936</v>
      </c>
      <c r="AC79" s="80">
        <f ca="1">+AC77/Income_Statement_Annual!AC79</f>
        <v>8.1320492113564242</v>
      </c>
      <c r="AD79" s="80">
        <f ca="1">+AD77/Income_Statement_Annual!AD79</f>
        <v>12.28563052823775</v>
      </c>
      <c r="AE79" s="80">
        <f ca="1">+AE77/Income_Statement_Annual!AE79</f>
        <v>12.893661807523159</v>
      </c>
      <c r="AF79" s="80">
        <f ca="1">+AF77/Income_Statement_Annual!AF79</f>
        <v>15.155321111375065</v>
      </c>
      <c r="AG79" s="288"/>
      <c r="AH79" s="288"/>
      <c r="AI79" s="288"/>
      <c r="AJ79" s="288"/>
    </row>
    <row r="80" spans="1:36">
      <c r="B80" s="27"/>
      <c r="C80" s="27"/>
      <c r="D80" s="27"/>
      <c r="E80" s="27"/>
      <c r="F80" s="27"/>
      <c r="G80" s="27"/>
      <c r="H80" s="27"/>
      <c r="I80" s="27"/>
      <c r="J80" s="27"/>
      <c r="K80" s="27"/>
      <c r="L80" s="27"/>
      <c r="M80" s="27"/>
      <c r="N80" s="27"/>
      <c r="O80" s="27"/>
      <c r="P80" s="27"/>
      <c r="Q80" s="27"/>
      <c r="R80" s="27"/>
      <c r="S80" s="27"/>
      <c r="T80" s="27"/>
      <c r="U80" s="27"/>
      <c r="V80" s="27"/>
      <c r="W80" s="27"/>
      <c r="X80" s="184"/>
      <c r="Y80" s="184"/>
      <c r="Z80" s="184"/>
      <c r="AA80" s="184"/>
      <c r="AB80" s="184"/>
      <c r="AC80" s="78"/>
      <c r="AD80" s="78"/>
      <c r="AE80" s="78"/>
      <c r="AF80" s="78"/>
      <c r="AG80" s="414"/>
      <c r="AH80" s="414"/>
      <c r="AI80" s="414"/>
    </row>
    <row r="81" spans="1:35">
      <c r="A81" s="5" t="str">
        <f>Cash_Flow_Qtr!A81</f>
        <v>Free Cash Flow Returned to Shareholders</v>
      </c>
      <c r="B81" s="78">
        <f t="shared" ref="B81:P81" si="12">-B52-B51</f>
        <v>2861</v>
      </c>
      <c r="C81" s="78">
        <f t="shared" si="12"/>
        <v>2999</v>
      </c>
      <c r="D81" s="78">
        <f t="shared" si="12"/>
        <v>571</v>
      </c>
      <c r="E81" s="78">
        <f t="shared" si="12"/>
        <v>572</v>
      </c>
      <c r="F81" s="78">
        <f t="shared" si="12"/>
        <v>1400</v>
      </c>
      <c r="G81" s="78">
        <f t="shared" si="12"/>
        <v>3697</v>
      </c>
      <c r="H81" s="78">
        <f t="shared" si="12"/>
        <v>2654</v>
      </c>
      <c r="I81" s="78">
        <f t="shared" si="12"/>
        <v>3871</v>
      </c>
      <c r="J81" s="78">
        <f t="shared" si="12"/>
        <v>4129</v>
      </c>
      <c r="K81" s="78">
        <f t="shared" si="12"/>
        <v>1270</v>
      </c>
      <c r="L81" s="78">
        <f t="shared" si="12"/>
        <v>1253</v>
      </c>
      <c r="M81" s="78">
        <f t="shared" si="12"/>
        <v>1244</v>
      </c>
      <c r="N81" s="78">
        <f t="shared" si="12"/>
        <v>1322</v>
      </c>
      <c r="O81" s="78">
        <f t="shared" si="12"/>
        <v>4268</v>
      </c>
      <c r="P81" s="78">
        <f t="shared" si="12"/>
        <v>8116</v>
      </c>
      <c r="Q81" s="184">
        <f>+Cash_Flow_Qtr!F81</f>
        <v>9241</v>
      </c>
      <c r="R81" s="184">
        <f>+Cash_Flow_Qtr!K81</f>
        <v>9757</v>
      </c>
      <c r="S81" s="184">
        <f>+Cash_Flow_Qtr!P81</f>
        <v>12653</v>
      </c>
      <c r="T81" s="184">
        <f>+Cash_Flow_Qtr!U81</f>
        <v>12946</v>
      </c>
      <c r="U81" s="184">
        <f>+Cash_Flow_Qtr!Z81</f>
        <v>7281</v>
      </c>
      <c r="V81" s="184">
        <f>+Cash_Flow_Qtr!AE81</f>
        <v>1158</v>
      </c>
      <c r="W81" s="184">
        <f>+Cash_Flow_Qtr!AJ81</f>
        <v>0</v>
      </c>
      <c r="X81" s="184">
        <f>+Cash_Flow_Qtr!AO81</f>
        <v>0</v>
      </c>
      <c r="Y81" s="184">
        <f>+Cash_Flow_Qtr!AT81</f>
        <v>0</v>
      </c>
      <c r="Z81" s="184">
        <f>+Cash_Flow_Qtr!AY81</f>
        <v>0</v>
      </c>
      <c r="AA81" s="184">
        <f>+Cash_Flow_Qtr!BD81</f>
        <v>331</v>
      </c>
      <c r="AB81" s="184">
        <f>+Cash_Flow_Qtr!BI81</f>
        <v>346</v>
      </c>
      <c r="AC81" s="78">
        <f>-AC52-AC51</f>
        <v>346</v>
      </c>
      <c r="AD81" s="78">
        <f>-AD52-AD51</f>
        <v>209.32774999999998</v>
      </c>
      <c r="AE81" s="78">
        <f>-AE52-AE51</f>
        <v>209.32774999999998</v>
      </c>
      <c r="AF81" s="78">
        <f>-AF52-AF51</f>
        <v>209.32774999999998</v>
      </c>
      <c r="AH81" s="297"/>
      <c r="AI81" s="447"/>
    </row>
    <row r="82" spans="1:35">
      <c r="A82" s="1" t="str">
        <f>Cash_Flow_Qtr!A82</f>
        <v>FCF Returned to Shareholders %</v>
      </c>
      <c r="B82" s="36">
        <f t="shared" ref="B82:M82" si="13">B81/B77</f>
        <v>0.57105788423153692</v>
      </c>
      <c r="C82" s="36">
        <f t="shared" si="13"/>
        <v>1.1086876155268022</v>
      </c>
      <c r="D82" s="36">
        <f t="shared" si="13"/>
        <v>0.17650695517774342</v>
      </c>
      <c r="E82" s="36">
        <f t="shared" si="13"/>
        <v>0.29065040650406504</v>
      </c>
      <c r="F82" s="36">
        <f t="shared" si="13"/>
        <v>0.62001771479185119</v>
      </c>
      <c r="G82" s="36">
        <f t="shared" si="13"/>
        <v>0.6779754263708051</v>
      </c>
      <c r="H82" s="36">
        <f t="shared" si="13"/>
        <v>0.45617050532829151</v>
      </c>
      <c r="I82" s="36">
        <f t="shared" si="13"/>
        <v>0.49293263720871006</v>
      </c>
      <c r="J82" s="36">
        <f t="shared" si="13"/>
        <v>-1.9898795180722892</v>
      </c>
      <c r="K82" s="36">
        <f t="shared" si="13"/>
        <v>0.28752546977586596</v>
      </c>
      <c r="L82" s="36">
        <f t="shared" si="13"/>
        <v>0.68582375478927204</v>
      </c>
      <c r="M82" s="36">
        <f t="shared" si="13"/>
        <v>0.53852813852813852</v>
      </c>
      <c r="N82" s="36">
        <f>N81/N77</f>
        <v>0.2277347114556417</v>
      </c>
      <c r="O82" s="36">
        <f>O81/O77</f>
        <v>0.70185824699884891</v>
      </c>
      <c r="P82" s="36">
        <f>P81/P77</f>
        <v>1.2256115977046209</v>
      </c>
      <c r="Q82" s="182">
        <f>+Cash_Flow_Qtr!F82</f>
        <v>1.3367568349486474</v>
      </c>
      <c r="R82" s="182">
        <f>+Cash_Flow_Qtr!K82</f>
        <v>1.2372558965254883</v>
      </c>
      <c r="S82" s="182">
        <f>+Cash_Flow_Qtr!P82</f>
        <v>1.090118032221935</v>
      </c>
      <c r="T82" s="182">
        <f>+Cash_Flow_Qtr!U82</f>
        <v>0.95191176470588235</v>
      </c>
      <c r="U82" s="182">
        <f>+Cash_Flow_Qtr!Z82</f>
        <v>-1.7011682242990653</v>
      </c>
      <c r="V82" s="182">
        <f>+Cash_Flow_Qtr!AE82</f>
        <v>-5.874296149748897E-2</v>
      </c>
      <c r="W82" s="182">
        <f>+Cash_Flow_Qtr!AJ82</f>
        <v>0</v>
      </c>
      <c r="X82" s="182">
        <f>+Cash_Flow_Qtr!AO82</f>
        <v>0</v>
      </c>
      <c r="Y82" s="182">
        <f>+Cash_Flow_Qtr!AT82</f>
        <v>0</v>
      </c>
      <c r="Z82" s="182">
        <f>+Cash_Flow_Qtr!AY82</f>
        <v>0</v>
      </c>
      <c r="AA82" s="182">
        <f>+Cash_Flow_Qtr!BD82</f>
        <v>-0.17634523175279701</v>
      </c>
      <c r="AB82" s="182">
        <f ca="1">+Cash_Flow_Qtr!BI82</f>
        <v>0.15934401479930807</v>
      </c>
      <c r="AC82" s="36">
        <f ca="1">AC81/AC77</f>
        <v>5.0814692750263089E-2</v>
      </c>
      <c r="AD82" s="36">
        <f ca="1">AD81/AD77</f>
        <v>2.0348975937815379E-2</v>
      </c>
      <c r="AE82" s="36">
        <f ca="1">AE81/AE77</f>
        <v>1.9389371594509382E-2</v>
      </c>
      <c r="AF82" s="36">
        <f ca="1">AF81/AF77</f>
        <v>1.649585635056974E-2</v>
      </c>
      <c r="AH82" s="448"/>
    </row>
    <row r="83" spans="1:35">
      <c r="A83" s="12"/>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c r="Z83" s="185"/>
      <c r="AA83" s="185"/>
      <c r="AB83" s="185"/>
      <c r="AC83" s="201"/>
      <c r="AD83" s="201"/>
      <c r="AE83" s="201"/>
      <c r="AF83" s="201"/>
    </row>
    <row r="84" spans="1:35">
      <c r="A84" s="5" t="str">
        <f>Cash_Flow_Qtr!A84</f>
        <v>Dividend Per Share</v>
      </c>
      <c r="B84" s="248">
        <v>0.56000000000000005</v>
      </c>
      <c r="C84" s="248">
        <v>0.68</v>
      </c>
      <c r="D84" s="248">
        <v>0.68</v>
      </c>
      <c r="E84" s="248">
        <v>0.68</v>
      </c>
      <c r="F84" s="248">
        <v>0.85</v>
      </c>
      <c r="G84" s="248">
        <v>1.05</v>
      </c>
      <c r="H84" s="248">
        <v>1.25</v>
      </c>
      <c r="I84" s="248">
        <v>1.45</v>
      </c>
      <c r="J84" s="248">
        <v>1.62</v>
      </c>
      <c r="K84" s="248">
        <v>1.68</v>
      </c>
      <c r="L84" s="248">
        <v>1.68</v>
      </c>
      <c r="M84" s="248">
        <v>1.7</v>
      </c>
      <c r="N84" s="248">
        <v>1.8049999999999999</v>
      </c>
      <c r="O84" s="248">
        <v>2.1850000000000001</v>
      </c>
      <c r="P84" s="248">
        <v>3.1</v>
      </c>
      <c r="Q84" s="185">
        <f>Cash_Flow_Qtr!F84</f>
        <v>3.8200000000000003</v>
      </c>
      <c r="R84" s="185">
        <f>Cash_Flow_Qtr!K84</f>
        <v>4.6900000000000004</v>
      </c>
      <c r="S84" s="185">
        <f>Cash_Flow_Qtr!P84</f>
        <v>5.97</v>
      </c>
      <c r="T84" s="185">
        <f>Cash_Flow_Qtr!U84</f>
        <v>7.1850000000000005</v>
      </c>
      <c r="U84" s="185">
        <f>Cash_Flow_Qtr!Z84</f>
        <v>8.2200000000000006</v>
      </c>
      <c r="V84" s="185">
        <f>Cash_Flow_Qtr!AE84</f>
        <v>0</v>
      </c>
      <c r="W84" s="185">
        <f>Cash_Flow_Qtr!AJ84</f>
        <v>0</v>
      </c>
      <c r="X84" s="185">
        <f>Cash_Flow_Qtr!AO84</f>
        <v>0</v>
      </c>
      <c r="Y84" s="185">
        <f>Cash_Flow_Qtr!AT84</f>
        <v>0</v>
      </c>
      <c r="Z84" s="185">
        <f>Cash_Flow_Qtr!AY84</f>
        <v>0</v>
      </c>
      <c r="AA84" s="185">
        <f>Cash_Flow_Qtr!BD84</f>
        <v>0</v>
      </c>
      <c r="AB84" s="185">
        <f>Cash_Flow_Qtr!BI84</f>
        <v>0</v>
      </c>
      <c r="AC84" s="248">
        <v>0</v>
      </c>
      <c r="AD84" s="248">
        <v>0.25</v>
      </c>
      <c r="AE84" s="248">
        <v>0.25</v>
      </c>
      <c r="AF84" s="248">
        <v>0.25</v>
      </c>
    </row>
    <row r="85" spans="1:35">
      <c r="A85" s="1" t="str">
        <f>Cash_Flow_Qtr!A85</f>
        <v>YoY</v>
      </c>
      <c r="B85" s="112">
        <f>B84/0.56-1</f>
        <v>0</v>
      </c>
      <c r="C85" s="112">
        <f t="shared" ref="C85:O85" si="14">C84/B84-1</f>
        <v>0.21428571428571419</v>
      </c>
      <c r="D85" s="112">
        <f t="shared" si="14"/>
        <v>0</v>
      </c>
      <c r="E85" s="112">
        <f t="shared" si="14"/>
        <v>0</v>
      </c>
      <c r="F85" s="112">
        <f t="shared" si="14"/>
        <v>0.24999999999999978</v>
      </c>
      <c r="G85" s="112">
        <f t="shared" si="14"/>
        <v>0.23529411764705888</v>
      </c>
      <c r="H85" s="112">
        <f t="shared" si="14"/>
        <v>0.19047619047619047</v>
      </c>
      <c r="I85" s="112">
        <f t="shared" si="14"/>
        <v>0.15999999999999992</v>
      </c>
      <c r="J85" s="112">
        <f t="shared" si="14"/>
        <v>0.11724137931034484</v>
      </c>
      <c r="K85" s="112">
        <f t="shared" si="14"/>
        <v>3.7037037037036979E-2</v>
      </c>
      <c r="L85" s="112">
        <f t="shared" si="14"/>
        <v>0</v>
      </c>
      <c r="M85" s="112">
        <f t="shared" si="14"/>
        <v>1.1904761904761862E-2</v>
      </c>
      <c r="N85" s="112">
        <f t="shared" si="14"/>
        <v>6.1764705882352944E-2</v>
      </c>
      <c r="O85" s="112">
        <f t="shared" si="14"/>
        <v>0.21052631578947367</v>
      </c>
      <c r="P85" s="112">
        <f>P84/O84-1</f>
        <v>0.41876430205949666</v>
      </c>
      <c r="Q85" s="112">
        <f>Q84/P84-1</f>
        <v>0.23225806451612918</v>
      </c>
      <c r="R85" s="182">
        <f>Cash_Flow_Qtr!K85</f>
        <v>0.22774869109947637</v>
      </c>
      <c r="S85" s="182">
        <f>Cash_Flow_Qtr!P85</f>
        <v>0.27292110874200404</v>
      </c>
      <c r="T85" s="182">
        <f>Cash_Flow_Qtr!U85</f>
        <v>0.20351758793969865</v>
      </c>
      <c r="U85" s="182">
        <f>Cash_Flow_Qtr!Z85</f>
        <v>0.14405010438413357</v>
      </c>
      <c r="V85" s="182">
        <f>Cash_Flow_Qtr!AE85</f>
        <v>-1</v>
      </c>
      <c r="W85" s="182" t="str">
        <f>Cash_Flow_Qtr!AJ85</f>
        <v>NM</v>
      </c>
      <c r="X85" s="182" t="str">
        <f>Cash_Flow_Qtr!AO85</f>
        <v>NM</v>
      </c>
      <c r="Y85" s="182" t="str">
        <f>Cash_Flow_Qtr!AT85</f>
        <v>NM</v>
      </c>
      <c r="Z85" s="182" t="str">
        <f>Cash_Flow_Qtr!AY85</f>
        <v>NM</v>
      </c>
      <c r="AA85" s="182" t="str">
        <f>Cash_Flow_Qtr!BD85</f>
        <v>NM</v>
      </c>
      <c r="AB85" s="182" t="str">
        <f>Cash_Flow_Qtr!BI85</f>
        <v>NM</v>
      </c>
      <c r="AC85" s="112" t="str">
        <f>IFERROR(AC84/AB84-1,"NM")</f>
        <v>NM</v>
      </c>
      <c r="AD85" s="112" t="str">
        <f>IFERROR(AD84/AC84-1,"NM")</f>
        <v>NM</v>
      </c>
      <c r="AE85" s="112">
        <f>IFERROR(AE84/AD84-1,"NM")</f>
        <v>0</v>
      </c>
      <c r="AF85" s="112">
        <f>IFERROR(AF84/AE84-1,"NM")</f>
        <v>0</v>
      </c>
    </row>
    <row r="86" spans="1:35">
      <c r="A86" s="1"/>
      <c r="B86" s="43"/>
      <c r="C86" s="43"/>
      <c r="D86" s="43"/>
      <c r="E86" s="43"/>
      <c r="F86" s="43"/>
      <c r="G86" s="43"/>
      <c r="H86" s="43"/>
      <c r="I86" s="43"/>
      <c r="J86" s="43"/>
      <c r="K86" s="43"/>
      <c r="L86" s="43"/>
      <c r="M86" s="43"/>
      <c r="N86" s="43"/>
      <c r="O86" s="43"/>
      <c r="P86" s="43"/>
      <c r="Q86" s="38"/>
      <c r="R86" s="38"/>
      <c r="S86" s="38"/>
      <c r="T86" s="38"/>
      <c r="U86" s="38"/>
      <c r="V86" s="38"/>
      <c r="W86" s="38"/>
      <c r="X86" s="38"/>
      <c r="Y86" s="38"/>
      <c r="Z86" s="38"/>
      <c r="AA86" s="38"/>
      <c r="AB86" s="38"/>
      <c r="AC86" s="38"/>
      <c r="AD86" s="38"/>
      <c r="AE86" s="38"/>
      <c r="AF86" s="38"/>
    </row>
    <row r="87" spans="1:35">
      <c r="A87" s="5" t="str">
        <f>Cash_Flow_Qtr!A87</f>
        <v>Pension Contribution</v>
      </c>
      <c r="B87" s="43"/>
      <c r="C87" s="43"/>
      <c r="D87" s="43"/>
      <c r="E87" s="43"/>
      <c r="F87" s="43"/>
      <c r="G87" s="43"/>
      <c r="H87" s="43"/>
      <c r="I87" s="43"/>
      <c r="J87" s="43"/>
      <c r="K87" s="43"/>
      <c r="L87" s="43"/>
      <c r="M87" s="43"/>
      <c r="N87" s="43"/>
      <c r="O87" s="43"/>
      <c r="P87" s="43"/>
      <c r="Q87" s="38"/>
      <c r="R87" s="38"/>
      <c r="S87" s="38"/>
      <c r="T87" s="38"/>
      <c r="U87" s="38"/>
      <c r="V87" s="38"/>
      <c r="W87" s="38"/>
      <c r="X87" s="38"/>
      <c r="Y87" s="38"/>
      <c r="Z87" s="38"/>
      <c r="AA87" s="38"/>
      <c r="AB87" s="38"/>
      <c r="AC87" s="38"/>
      <c r="AD87" s="38"/>
      <c r="AE87" s="38"/>
      <c r="AF87" s="38"/>
    </row>
    <row r="88" spans="1:35">
      <c r="A88" s="1" t="str">
        <f>Cash_Flow_Qtr!A88</f>
        <v>Pension Contribution</v>
      </c>
      <c r="B88" s="43">
        <v>30</v>
      </c>
      <c r="C88" s="43">
        <v>19</v>
      </c>
      <c r="D88" s="43">
        <v>340</v>
      </c>
      <c r="E88" s="43">
        <v>1728</v>
      </c>
      <c r="F88" s="43">
        <v>3645</v>
      </c>
      <c r="G88" s="43">
        <v>2604</v>
      </c>
      <c r="H88" s="43">
        <v>526</v>
      </c>
      <c r="I88" s="43">
        <v>19</v>
      </c>
      <c r="J88" s="43">
        <v>24</v>
      </c>
      <c r="K88" s="43">
        <v>1582</v>
      </c>
      <c r="L88" s="43">
        <v>35</v>
      </c>
      <c r="M88" s="43">
        <v>531</v>
      </c>
      <c r="N88" s="43">
        <v>1550</v>
      </c>
      <c r="O88" s="43">
        <v>1542</v>
      </c>
      <c r="P88" s="43">
        <v>784</v>
      </c>
      <c r="Q88" s="38">
        <f>+Cash_Flow_Qtr!F88</f>
        <v>59</v>
      </c>
      <c r="R88" s="38">
        <f>+Cash_Flow_Qtr!K88</f>
        <v>113</v>
      </c>
      <c r="S88" s="38">
        <f>+Cash_Flow_Qtr!P88</f>
        <v>4025</v>
      </c>
      <c r="T88" s="38">
        <f>+Cash_Flow_Qtr!U88</f>
        <v>16</v>
      </c>
      <c r="U88" s="38">
        <f>+Cash_Flow_Qtr!Z88</f>
        <v>16</v>
      </c>
      <c r="V88" s="38">
        <f>+Cash_Flow_Qtr!AE88</f>
        <v>700</v>
      </c>
      <c r="W88" s="38">
        <f>+Cash_Flow_Qtr!AJ88</f>
        <v>700</v>
      </c>
      <c r="X88" s="38">
        <f>+Cash_Flow_Qtr!AO88</f>
        <v>1378</v>
      </c>
      <c r="Y88" s="38">
        <f>+Cash_Flow_Qtr!AT88</f>
        <v>1049</v>
      </c>
      <c r="Z88" s="38">
        <f>+Cash_Flow_Qtr!AY88</f>
        <v>959</v>
      </c>
      <c r="AA88" s="38">
        <f>+Cash_Flow_Qtr!BD88</f>
        <v>650</v>
      </c>
      <c r="AB88" s="38">
        <f>+Cash_Flow_Qtr!BI88</f>
        <v>500</v>
      </c>
      <c r="AC88" s="43">
        <v>500</v>
      </c>
      <c r="AD88" s="43">
        <v>500</v>
      </c>
      <c r="AE88" s="43">
        <v>500</v>
      </c>
      <c r="AF88" s="43">
        <v>500</v>
      </c>
    </row>
    <row r="89" spans="1:35">
      <c r="A89" s="1" t="str">
        <f>Cash_Flow_Qtr!A89</f>
        <v>Other Postretirement Benefits</v>
      </c>
      <c r="B89" s="43">
        <v>10</v>
      </c>
      <c r="C89" s="43">
        <v>14</v>
      </c>
      <c r="D89" s="43">
        <v>16</v>
      </c>
      <c r="E89" s="43">
        <v>16</v>
      </c>
      <c r="F89" s="43">
        <v>16</v>
      </c>
      <c r="G89" s="43">
        <v>16</v>
      </c>
      <c r="H89" s="43">
        <v>17</v>
      </c>
      <c r="I89" s="43">
        <v>15</v>
      </c>
      <c r="J89" s="43">
        <v>19</v>
      </c>
      <c r="K89" s="43">
        <v>24</v>
      </c>
      <c r="L89" s="43">
        <v>15</v>
      </c>
      <c r="M89" s="43">
        <v>17</v>
      </c>
      <c r="N89" s="43">
        <v>15</v>
      </c>
      <c r="O89" s="43">
        <v>14</v>
      </c>
      <c r="P89" s="43">
        <v>8</v>
      </c>
      <c r="Q89" s="38">
        <f>+Cash_Flow_Qtr!F89</f>
        <v>5</v>
      </c>
      <c r="R89" s="38">
        <f>+Cash_Flow_Qtr!K89</f>
        <v>6</v>
      </c>
      <c r="S89" s="38">
        <f>+Cash_Flow_Qtr!P89</f>
        <v>6</v>
      </c>
      <c r="T89" s="38">
        <f>+Cash_Flow_Qtr!U89</f>
        <v>2</v>
      </c>
      <c r="U89" s="38">
        <f>+Cash_Flow_Qtr!Z89</f>
        <v>1</v>
      </c>
      <c r="V89" s="38">
        <f>+Cash_Flow_Qtr!AE89</f>
        <v>20</v>
      </c>
      <c r="W89" s="38">
        <f>+Cash_Flow_Qtr!AJ89</f>
        <v>20</v>
      </c>
      <c r="X89" s="38">
        <f>+Cash_Flow_Qtr!AO89</f>
        <v>20</v>
      </c>
      <c r="Y89" s="38">
        <f>+Cash_Flow_Qtr!AT89</f>
        <v>20</v>
      </c>
      <c r="Z89" s="38">
        <f>+Cash_Flow_Qtr!AY89</f>
        <v>20</v>
      </c>
      <c r="AA89" s="38">
        <f>+Cash_Flow_Qtr!BD89</f>
        <v>20</v>
      </c>
      <c r="AB89" s="38">
        <f>+Cash_Flow_Qtr!BI89</f>
        <v>20</v>
      </c>
      <c r="AC89" s="43">
        <v>20</v>
      </c>
      <c r="AD89" s="43">
        <v>20</v>
      </c>
      <c r="AE89" s="43">
        <v>20</v>
      </c>
      <c r="AF89" s="43">
        <v>20</v>
      </c>
    </row>
    <row r="94" spans="1:35">
      <c r="X94" s="414"/>
      <c r="Y94" s="414"/>
    </row>
    <row r="98" spans="20:20">
      <c r="T98" s="26">
        <f>150/37.25</f>
        <v>4.026845637583893</v>
      </c>
    </row>
    <row r="114" customFormat="1"/>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9">
    <tabColor theme="4" tint="0.39997558519241921"/>
  </sheetPr>
  <dimension ref="A1:BZ111"/>
  <sheetViews>
    <sheetView showGridLines="0" zoomScaleNormal="100" workbookViewId="0">
      <pane xSplit="1" ySplit="2" topLeftCell="BA3" activePane="bottomRight" state="frozen"/>
      <selection activeCell="A19" sqref="A19:XFD19"/>
      <selection pane="topRight" activeCell="A19" sqref="A19:XFD19"/>
      <selection pane="bottomLeft" activeCell="A19" sqref="A19:XFD19"/>
      <selection pane="bottomRight" activeCell="BJ29" sqref="BJ29:BJ31"/>
    </sheetView>
  </sheetViews>
  <sheetFormatPr defaultRowHeight="14.5" outlineLevelCol="1"/>
  <cols>
    <col min="1" max="1" width="48" customWidth="1"/>
    <col min="2" max="5" width="12.1796875" style="26" customWidth="1" outlineLevel="1"/>
    <col min="6" max="6" width="12.1796875" style="26" customWidth="1"/>
    <col min="7" max="10" width="12.1796875" style="26" customWidth="1" outlineLevel="1"/>
    <col min="11" max="11" width="12.1796875" style="26" customWidth="1"/>
    <col min="12" max="15" width="12.1796875" style="26" customWidth="1" outlineLevel="1"/>
    <col min="16" max="16" width="12.1796875" style="26" customWidth="1"/>
    <col min="17" max="20" width="12.1796875" style="26" customWidth="1" outlineLevel="1"/>
    <col min="21" max="21" width="12.1796875" style="26" customWidth="1"/>
    <col min="22" max="25" width="12.1796875" style="26" customWidth="1" outlineLevel="1"/>
    <col min="26" max="26" width="12.1796875" style="26" customWidth="1"/>
    <col min="27" max="30" width="12.1796875" style="26" customWidth="1" outlineLevel="1"/>
    <col min="31" max="31" width="12.1796875" style="26" customWidth="1"/>
    <col min="32" max="35" width="12.1796875" style="26" customWidth="1" outlineLevel="1"/>
    <col min="36" max="36" width="12.1796875" style="26" customWidth="1"/>
    <col min="37" max="40" width="12.1796875" style="26" customWidth="1" outlineLevel="1"/>
    <col min="41" max="41" width="12.1796875" style="26" customWidth="1"/>
    <col min="42" max="45" width="12.1796875" style="26" customWidth="1" outlineLevel="1"/>
    <col min="46" max="46" width="12.1796875" style="26" customWidth="1"/>
    <col min="47" max="50" width="12.1796875" style="26" customWidth="1" outlineLevel="1"/>
    <col min="51" max="51" width="12.1796875" style="26" customWidth="1"/>
    <col min="52" max="55" width="12.1796875" style="26" customWidth="1" outlineLevel="1"/>
    <col min="56" max="56" width="12.1796875" style="26" customWidth="1"/>
    <col min="57" max="60" width="12.1796875" style="26" customWidth="1" outlineLevel="1"/>
    <col min="61" max="61" width="12.1796875" style="26" customWidth="1"/>
    <col min="62" max="62" width="19.1796875" style="26" customWidth="1"/>
    <col min="63" max="63" width="29.1796875" customWidth="1"/>
    <col min="65" max="65" width="8.81640625" customWidth="1"/>
    <col min="68" max="68" width="63.7265625" customWidth="1" outlineLevel="1"/>
    <col min="69" max="73" width="9.1796875" customWidth="1" outlineLevel="1"/>
    <col min="77" max="77" width="37.453125" customWidth="1"/>
    <col min="78" max="78" width="8.81640625" customWidth="1"/>
  </cols>
  <sheetData>
    <row r="1" spans="1:78">
      <c r="A1" s="15" t="s">
        <v>19</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477"/>
      <c r="AO1" s="68"/>
      <c r="AP1" s="68"/>
      <c r="AQ1" s="68"/>
      <c r="AR1" s="68"/>
      <c r="AS1" s="477"/>
      <c r="AT1" s="68"/>
      <c r="AU1" s="68"/>
      <c r="AV1" s="68"/>
      <c r="AW1" s="68"/>
      <c r="AX1" s="477"/>
      <c r="AY1" s="68"/>
      <c r="AZ1" s="68"/>
      <c r="BA1" s="68"/>
      <c r="BB1" s="68"/>
      <c r="BC1" s="477"/>
      <c r="BD1" s="68"/>
      <c r="BE1" s="68"/>
      <c r="BF1" s="68"/>
      <c r="BG1" s="68"/>
      <c r="BH1" s="477"/>
      <c r="BI1" s="68"/>
    </row>
    <row r="2" spans="1:78">
      <c r="B2" s="101" t="str">
        <f>Income_Statement_Qtr!B2</f>
        <v>1Q15A</v>
      </c>
      <c r="C2" s="101" t="str">
        <f>Income_Statement_Qtr!C2</f>
        <v>2Q15A</v>
      </c>
      <c r="D2" s="101" t="str">
        <f>Income_Statement_Qtr!D2</f>
        <v>3Q15A</v>
      </c>
      <c r="E2" s="101" t="str">
        <f>Income_Statement_Qtr!E2</f>
        <v>4Q15A</v>
      </c>
      <c r="F2" s="103" t="str">
        <f>Income_Statement_Qtr!F2</f>
        <v>CY2015A</v>
      </c>
      <c r="G2" s="101" t="str">
        <f>Income_Statement_Qtr!G2</f>
        <v>1Q16A</v>
      </c>
      <c r="H2" s="101" t="str">
        <f>Income_Statement_Qtr!H2</f>
        <v>2Q16A</v>
      </c>
      <c r="I2" s="101" t="str">
        <f>Income_Statement_Qtr!I2</f>
        <v>3Q16A</v>
      </c>
      <c r="J2" s="101" t="str">
        <f>Income_Statement_Qtr!J2</f>
        <v>4Q16A</v>
      </c>
      <c r="K2" s="103" t="str">
        <f>Income_Statement_Qtr!K2</f>
        <v>CY2016A</v>
      </c>
      <c r="L2" s="101" t="str">
        <f>Income_Statement_Qtr!L2</f>
        <v>1Q17A</v>
      </c>
      <c r="M2" s="101" t="str">
        <f>Income_Statement_Qtr!M2</f>
        <v>2Q17A</v>
      </c>
      <c r="N2" s="101" t="str">
        <f>Income_Statement_Qtr!N2</f>
        <v>3Q17A</v>
      </c>
      <c r="O2" s="101" t="str">
        <f>Income_Statement_Qtr!O2</f>
        <v>4Q17A</v>
      </c>
      <c r="P2" s="103" t="str">
        <f>Income_Statement_Qtr!P2</f>
        <v>CY2017A</v>
      </c>
      <c r="Q2" s="101" t="str">
        <f>Income_Statement_Qtr!Q2</f>
        <v>1Q18A</v>
      </c>
      <c r="R2" s="101" t="str">
        <f>Income_Statement_Qtr!R2</f>
        <v>2Q18A</v>
      </c>
      <c r="S2" s="101" t="str">
        <f>Income_Statement_Qtr!S2</f>
        <v>3Q18A</v>
      </c>
      <c r="T2" s="101" t="str">
        <f>Income_Statement_Qtr!T2</f>
        <v>4Q18A</v>
      </c>
      <c r="U2" s="103" t="str">
        <f>Income_Statement_Qtr!U2</f>
        <v>CY2018A</v>
      </c>
      <c r="V2" s="101" t="str">
        <f>Income_Statement_Qtr!V2</f>
        <v>1Q19A</v>
      </c>
      <c r="W2" s="101" t="str">
        <f>Income_Statement_Qtr!W2</f>
        <v>2Q19A</v>
      </c>
      <c r="X2" s="101" t="str">
        <f>Income_Statement_Qtr!X2</f>
        <v>3Q19A</v>
      </c>
      <c r="Y2" s="101" t="str">
        <f>Income_Statement_Qtr!Y2</f>
        <v>4Q19A</v>
      </c>
      <c r="Z2" s="103" t="str">
        <f>Income_Statement_Qtr!Z2</f>
        <v>CY2019A</v>
      </c>
      <c r="AA2" s="101" t="str">
        <f>Income_Statement_Qtr!AA2</f>
        <v>1Q20A</v>
      </c>
      <c r="AB2" s="101" t="str">
        <f>Income_Statement_Qtr!AB2</f>
        <v>2Q20A</v>
      </c>
      <c r="AC2" s="101" t="str">
        <f>Income_Statement_Qtr!AC2</f>
        <v>3Q20A</v>
      </c>
      <c r="AD2" s="101" t="str">
        <f>Income_Statement_Qtr!AD2</f>
        <v>4Q20A</v>
      </c>
      <c r="AE2" s="103" t="str">
        <f>Income_Statement_Qtr!AE2</f>
        <v>CY2020E</v>
      </c>
      <c r="AF2" s="101" t="str">
        <f>Income_Statement_Qtr!AF2</f>
        <v>1Q21A</v>
      </c>
      <c r="AG2" s="101" t="str">
        <f>Income_Statement_Qtr!AG2</f>
        <v>2Q21A</v>
      </c>
      <c r="AH2" s="101" t="str">
        <f>Income_Statement_Qtr!AH2</f>
        <v>3Q21A</v>
      </c>
      <c r="AI2" s="101" t="str">
        <f>Income_Statement_Qtr!AI2</f>
        <v>4Q21A</v>
      </c>
      <c r="AJ2" s="103" t="str">
        <f>Income_Statement_Qtr!AJ2</f>
        <v>CY2021A</v>
      </c>
      <c r="AK2" s="101" t="str">
        <f>Income_Statement_Qtr!AK2</f>
        <v>1Q22A</v>
      </c>
      <c r="AL2" s="101" t="str">
        <f>Income_Statement_Qtr!AL2</f>
        <v>2Q22A</v>
      </c>
      <c r="AM2" s="101" t="str">
        <f>Income_Statement_Qtr!AM2</f>
        <v>3Q22A</v>
      </c>
      <c r="AN2" s="101" t="str">
        <f>Income_Statement_Qtr!AN2</f>
        <v>4Q22A</v>
      </c>
      <c r="AO2" s="103" t="str">
        <f>Income_Statement_Qtr!AO2</f>
        <v>CY2022A</v>
      </c>
      <c r="AP2" s="101" t="str">
        <f>Income_Statement_Qtr!AP2</f>
        <v>1Q23A</v>
      </c>
      <c r="AQ2" s="101" t="str">
        <f>Income_Statement_Qtr!AQ2</f>
        <v>2Q23A</v>
      </c>
      <c r="AR2" s="101" t="str">
        <f>Income_Statement_Qtr!AR2</f>
        <v>3Q23A</v>
      </c>
      <c r="AS2" s="101" t="str">
        <f>Income_Statement_Qtr!AS2</f>
        <v>4Q23A</v>
      </c>
      <c r="AT2" s="103" t="str">
        <f>Income_Statement_Qtr!AT2</f>
        <v>CY2023A</v>
      </c>
      <c r="AU2" s="101" t="str">
        <f>Income_Statement_Qtr!AU2</f>
        <v>1Q24A</v>
      </c>
      <c r="AV2" s="101" t="str">
        <f>Income_Statement_Qtr!AV2</f>
        <v>2Q24A</v>
      </c>
      <c r="AW2" s="101" t="str">
        <f>Income_Statement_Qtr!AW2</f>
        <v>3Q24A</v>
      </c>
      <c r="AX2" s="101" t="str">
        <f>Income_Statement_Qtr!AX2</f>
        <v>4Q24A</v>
      </c>
      <c r="AY2" s="103" t="str">
        <f>Income_Statement_Qtr!AY2</f>
        <v>CY2024A</v>
      </c>
      <c r="AZ2" s="101" t="str">
        <f>Income_Statement_Qtr!AZ2</f>
        <v>1Q25A</v>
      </c>
      <c r="BA2" s="101" t="str">
        <f>Income_Statement_Qtr!BA2</f>
        <v>2Q25A</v>
      </c>
      <c r="BB2" s="101" t="str">
        <f>Income_Statement_Qtr!BB2</f>
        <v>3Q25A</v>
      </c>
      <c r="BC2" s="101" t="str">
        <f>Income_Statement_Qtr!BC2</f>
        <v>4Q25A</v>
      </c>
      <c r="BD2" s="103" t="str">
        <f>Income_Statement_Qtr!BD2</f>
        <v>CY2025A</v>
      </c>
      <c r="BE2" s="101" t="str">
        <f>Income_Statement_Qtr!BE2</f>
        <v>1Q26E</v>
      </c>
      <c r="BF2" s="101" t="str">
        <f>Income_Statement_Qtr!BF2</f>
        <v>2Q26E</v>
      </c>
      <c r="BG2" s="101" t="str">
        <f>Income_Statement_Qtr!BG2</f>
        <v>3Q26E</v>
      </c>
      <c r="BH2" s="101" t="str">
        <f>Income_Statement_Qtr!BH2</f>
        <v>4Q26E</v>
      </c>
      <c r="BI2" s="103" t="str">
        <f>Income_Statement_Qtr!BI2</f>
        <v>CY2026E</v>
      </c>
    </row>
    <row r="3" spans="1:78">
      <c r="A3" s="5" t="s">
        <v>28</v>
      </c>
      <c r="F3" s="27"/>
      <c r="K3" s="27"/>
      <c r="P3" s="27"/>
      <c r="U3" s="27"/>
      <c r="V3" s="74"/>
      <c r="Z3" s="27"/>
      <c r="AA3" s="22"/>
      <c r="AB3" s="74"/>
      <c r="AE3" s="27"/>
      <c r="AJ3" s="27"/>
      <c r="AO3" s="27"/>
      <c r="AT3" s="27"/>
      <c r="AY3" s="27"/>
      <c r="BB3" s="22"/>
      <c r="BC3" s="22"/>
      <c r="BD3" s="27"/>
      <c r="BI3" s="27"/>
    </row>
    <row r="4" spans="1:78">
      <c r="A4" s="1" t="s">
        <v>573</v>
      </c>
      <c r="B4" s="37">
        <f>Income_Statement_Qtr!B46</f>
        <v>1336</v>
      </c>
      <c r="C4" s="37">
        <f>Income_Statement_Qtr!C46</f>
        <v>1110</v>
      </c>
      <c r="D4" s="37">
        <f>Income_Statement_Qtr!D46</f>
        <v>1704</v>
      </c>
      <c r="E4" s="22">
        <f>+F4-SUM(B4:D4)</f>
        <v>1026</v>
      </c>
      <c r="F4" s="38">
        <f>Income_Statement_Qtr!F46</f>
        <v>5176</v>
      </c>
      <c r="G4" s="37">
        <f>Income_Statement_Qtr!G46</f>
        <v>1219</v>
      </c>
      <c r="H4" s="37">
        <f>Income_Statement_Qtr!H46</f>
        <v>-234</v>
      </c>
      <c r="I4" s="37">
        <f>Income_Statement_Qtr!I46</f>
        <v>2279</v>
      </c>
      <c r="J4" s="22">
        <f>+K4-SUM(G4:I4)</f>
        <v>1631</v>
      </c>
      <c r="K4" s="38">
        <f>Income_Statement_Qtr!K46</f>
        <v>4895</v>
      </c>
      <c r="L4" s="37">
        <f>Income_Statement_Qtr!L46</f>
        <v>1579</v>
      </c>
      <c r="M4" s="37">
        <f>Income_Statement_Qtr!M46</f>
        <v>1749</v>
      </c>
      <c r="N4" s="37">
        <f>Income_Statement_Qtr!N46</f>
        <v>1810</v>
      </c>
      <c r="O4" s="22">
        <f>+P4-SUM(L4:N4)</f>
        <v>3320</v>
      </c>
      <c r="P4" s="38">
        <f>Income_Statement_Qtr!P46</f>
        <v>8458</v>
      </c>
      <c r="Q4" s="37">
        <f>Income_Statement_Qtr!Q46</f>
        <v>2477</v>
      </c>
      <c r="R4" s="37">
        <f>Income_Statement_Qtr!R46</f>
        <v>2196</v>
      </c>
      <c r="S4" s="37">
        <f>Income_Statement_Qtr!S46</f>
        <v>2363</v>
      </c>
      <c r="T4" s="22">
        <f>+U4-SUM(Q4:S4)</f>
        <v>3424</v>
      </c>
      <c r="U4" s="38">
        <f>Income_Statement_Qtr!U46</f>
        <v>10460</v>
      </c>
      <c r="V4" s="37">
        <f>Income_Statement_Qtr!V46</f>
        <v>2149</v>
      </c>
      <c r="W4" s="37">
        <f>Income_Statement_Qtr!W46</f>
        <v>-2942</v>
      </c>
      <c r="X4" s="37">
        <f>Income_Statement_Qtr!X46</f>
        <v>1167</v>
      </c>
      <c r="Y4" s="22">
        <f>+Z4-SUM(V4:X4)</f>
        <v>-1010</v>
      </c>
      <c r="Z4" s="38">
        <f>Income_Statement_Qtr!Z46</f>
        <v>-636</v>
      </c>
      <c r="AA4" s="37">
        <f>Income_Statement_Qtr!AA46</f>
        <v>-641</v>
      </c>
      <c r="AB4" s="37">
        <f>Income_Statement_Qtr!AB46</f>
        <v>-2395</v>
      </c>
      <c r="AC4" s="37">
        <f>Income_Statement_Qtr!AC46</f>
        <v>-466</v>
      </c>
      <c r="AD4" s="22">
        <f t="shared" ref="AD4:AD13" si="0">+AE4-SUM(AA4:AC4)</f>
        <v>-8439</v>
      </c>
      <c r="AE4" s="38">
        <f>Income_Statement_Qtr!AE46</f>
        <v>-11941</v>
      </c>
      <c r="AF4" s="37">
        <f>Income_Statement_Qtr!AF46</f>
        <v>-561</v>
      </c>
      <c r="AG4" s="37">
        <f>Income_Statement_Qtr!AG46</f>
        <v>567</v>
      </c>
      <c r="AH4" s="37">
        <f>Income_Statement_Qtr!AH46</f>
        <v>-132</v>
      </c>
      <c r="AI4" s="22">
        <f t="shared" ref="AI4:AI13" si="1">+AJ4-SUM(AF4:AH4)</f>
        <v>-4164</v>
      </c>
      <c r="AJ4" s="38">
        <f>Income_Statement_Qtr!AJ46</f>
        <v>-4290</v>
      </c>
      <c r="AK4" s="37">
        <f>Income_Statement_Qtr!AK46</f>
        <v>-1242</v>
      </c>
      <c r="AL4" s="37">
        <f>Income_Statement_Qtr!AL46</f>
        <v>160</v>
      </c>
      <c r="AM4" s="37">
        <f>Income_Statement_Qtr!AM46</f>
        <v>-3308</v>
      </c>
      <c r="AN4" s="22">
        <f t="shared" ref="AN4:AN13" si="2">+AO4-SUM(AK4:AM4)</f>
        <v>-663</v>
      </c>
      <c r="AO4" s="38">
        <f>Income_Statement_Qtr!AO46</f>
        <v>-5053</v>
      </c>
      <c r="AP4" s="37">
        <f>Income_Statement_Qtr!AP46</f>
        <v>-425</v>
      </c>
      <c r="AQ4" s="37">
        <f>Income_Statement_Qtr!AQ46</f>
        <v>-149</v>
      </c>
      <c r="AR4" s="37">
        <f>Income_Statement_Qtr!AR46</f>
        <v>-1638</v>
      </c>
      <c r="AS4" s="22">
        <f t="shared" ref="AS4:AS13" si="3">+AT4-SUM(AP4:AR4)</f>
        <v>-30</v>
      </c>
      <c r="AT4" s="38">
        <f>Income_Statement_Qtr!AT46</f>
        <v>-2242</v>
      </c>
      <c r="AU4" s="37">
        <f>Income_Statement_Qtr!AU46</f>
        <v>-355</v>
      </c>
      <c r="AV4" s="37">
        <f>Income_Statement_Qtr!AV46</f>
        <v>-1439</v>
      </c>
      <c r="AW4" s="37">
        <f>Income_Statement_Qtr!AW46</f>
        <v>-6174</v>
      </c>
      <c r="AX4" s="22">
        <f t="shared" ref="AX4:AX13" si="4">+AY4-SUM(AU4:AW4)</f>
        <v>-3861</v>
      </c>
      <c r="AY4" s="38">
        <f>Income_Statement_Qtr!AY46</f>
        <v>-11829</v>
      </c>
      <c r="AZ4" s="37">
        <f>Income_Statement_Qtr!AZ46</f>
        <v>-31</v>
      </c>
      <c r="BA4" s="37">
        <f>Income_Statement_Qtr!BA56</f>
        <v>-612</v>
      </c>
      <c r="BB4" s="37">
        <f>Income_Statement_Qtr!BB56</f>
        <v>-5339</v>
      </c>
      <c r="BC4" s="22">
        <f t="shared" ref="BC4:BC13" si="5">+BD4-SUM(AZ4:BB4)</f>
        <v>8220</v>
      </c>
      <c r="BD4" s="38">
        <f>Income_Statement_Qtr!BD56</f>
        <v>2238</v>
      </c>
      <c r="BE4" s="571">
        <f>Income_Statement_Qtr!BE56-Income_Statement_Qtr!BE49</f>
        <v>-148.96641428895109</v>
      </c>
      <c r="BF4" s="571">
        <f>Income_Statement_Qtr!BF56-Income_Statement_Qtr!BF49</f>
        <v>129.68447910593144</v>
      </c>
      <c r="BG4" s="571">
        <f>Income_Statement_Qtr!BG56-Income_Statement_Qtr!BG49</f>
        <v>327.37001942283268</v>
      </c>
      <c r="BH4" s="571">
        <f>Income_Statement_Qtr!BH56-Income_Statement_Qtr!BH49</f>
        <v>512.97287048934072</v>
      </c>
      <c r="BI4" s="568">
        <f>Income_Statement_Qtr!BI56-Income_Statement_Qtr!BI49</f>
        <v>821.06095472915354</v>
      </c>
      <c r="BJ4" s="22"/>
      <c r="BK4" s="109"/>
      <c r="BL4" s="109"/>
    </row>
    <row r="5" spans="1:78">
      <c r="A5" s="1" t="s">
        <v>66</v>
      </c>
      <c r="B5" s="41">
        <v>459</v>
      </c>
      <c r="C5" s="41">
        <f>912-B5</f>
        <v>453</v>
      </c>
      <c r="D5" s="41">
        <f>1349-B5-C5</f>
        <v>437</v>
      </c>
      <c r="E5" s="22">
        <f>+F5-SUM(B5:D5)</f>
        <v>484</v>
      </c>
      <c r="F5" s="43">
        <v>1833</v>
      </c>
      <c r="G5" s="41">
        <v>443</v>
      </c>
      <c r="H5" s="41">
        <f>890-G5</f>
        <v>447</v>
      </c>
      <c r="I5" s="41">
        <f>1364-G5-H5</f>
        <v>474</v>
      </c>
      <c r="J5" s="22">
        <f>+K5-SUM(G5:I5)</f>
        <v>546</v>
      </c>
      <c r="K5" s="43">
        <v>1910</v>
      </c>
      <c r="L5" s="41">
        <v>468</v>
      </c>
      <c r="M5" s="41">
        <f>956-L5</f>
        <v>488</v>
      </c>
      <c r="N5" s="41">
        <f>1470-L5-M5</f>
        <v>514</v>
      </c>
      <c r="O5" s="22">
        <f>+P5-SUM(L5:N5)</f>
        <v>577</v>
      </c>
      <c r="P5" s="43">
        <v>2047</v>
      </c>
      <c r="Q5" s="41">
        <v>501</v>
      </c>
      <c r="R5" s="41">
        <f>1008-Q5</f>
        <v>507</v>
      </c>
      <c r="S5" s="41">
        <f>1531-Q5-R5</f>
        <v>523</v>
      </c>
      <c r="T5" s="22">
        <f>+U5-SUM(Q5:S5)</f>
        <v>583</v>
      </c>
      <c r="U5" s="43">
        <v>2114</v>
      </c>
      <c r="V5" s="41">
        <v>521</v>
      </c>
      <c r="W5" s="41">
        <f>1067-V5</f>
        <v>546</v>
      </c>
      <c r="X5" s="41">
        <f>1643-V5-W5</f>
        <v>576</v>
      </c>
      <c r="Y5" s="22">
        <f>+Z5-SUM(V5:X5)</f>
        <v>628</v>
      </c>
      <c r="Z5" s="43">
        <v>2271</v>
      </c>
      <c r="AA5" s="41">
        <v>556</v>
      </c>
      <c r="AB5" s="41">
        <f>1103-AA5</f>
        <v>547</v>
      </c>
      <c r="AC5" s="41">
        <f>1668-AA5-AB5</f>
        <v>565</v>
      </c>
      <c r="AD5" s="22">
        <f t="shared" si="0"/>
        <v>578</v>
      </c>
      <c r="AE5" s="43">
        <v>2246</v>
      </c>
      <c r="AF5" s="41">
        <v>536</v>
      </c>
      <c r="AG5" s="41">
        <f>1087-AF5</f>
        <v>551</v>
      </c>
      <c r="AH5" s="41">
        <f>1610-AG5-AF5</f>
        <v>523</v>
      </c>
      <c r="AI5" s="22">
        <f t="shared" si="1"/>
        <v>534</v>
      </c>
      <c r="AJ5" s="43">
        <v>2144</v>
      </c>
      <c r="AK5" s="41">
        <v>486</v>
      </c>
      <c r="AL5" s="41">
        <f>984-AK5</f>
        <v>498</v>
      </c>
      <c r="AM5" s="41">
        <f>1477-AL5-AK5</f>
        <v>493</v>
      </c>
      <c r="AN5" s="22">
        <f t="shared" si="2"/>
        <v>502</v>
      </c>
      <c r="AO5" s="43">
        <v>1979</v>
      </c>
      <c r="AP5" s="41">
        <v>457</v>
      </c>
      <c r="AQ5" s="41">
        <f>913-AP5</f>
        <v>456</v>
      </c>
      <c r="AR5" s="41">
        <f>1380-AQ5-AP5</f>
        <v>467</v>
      </c>
      <c r="AS5" s="22">
        <f t="shared" si="3"/>
        <v>481</v>
      </c>
      <c r="AT5" s="43">
        <v>1861</v>
      </c>
      <c r="AU5" s="41">
        <v>442</v>
      </c>
      <c r="AV5" s="41">
        <f>883-AU5</f>
        <v>441</v>
      </c>
      <c r="AW5" s="41">
        <f>1327-AV5-AU5</f>
        <v>444</v>
      </c>
      <c r="AX5" s="22">
        <f t="shared" si="4"/>
        <v>509</v>
      </c>
      <c r="AY5" s="43">
        <v>1836</v>
      </c>
      <c r="AZ5" s="41">
        <v>466</v>
      </c>
      <c r="BA5" s="41">
        <f>926-AZ5</f>
        <v>460</v>
      </c>
      <c r="BB5" s="41">
        <f>1417-BA5-AZ5</f>
        <v>491</v>
      </c>
      <c r="BC5" s="22">
        <f t="shared" si="5"/>
        <v>536</v>
      </c>
      <c r="BD5" s="43">
        <v>1953</v>
      </c>
      <c r="BE5" s="20">
        <f>BE68+BE70+BE71</f>
        <v>518.43375000000003</v>
      </c>
      <c r="BF5" s="20">
        <f>BF68+BF70+BF71</f>
        <v>534.94893205170911</v>
      </c>
      <c r="BG5" s="20">
        <f>BG68+BG70+BG71</f>
        <v>551.20617695917304</v>
      </c>
      <c r="BH5" s="20">
        <f t="shared" ref="BH5" si="6">BH68+BH70+BH71</f>
        <v>469.14614098911784</v>
      </c>
      <c r="BI5" s="23">
        <f>SUM(BE5:BH5)</f>
        <v>2073.7350000000001</v>
      </c>
      <c r="BK5" s="109"/>
      <c r="BL5" s="109"/>
    </row>
    <row r="6" spans="1:78">
      <c r="A6" s="1" t="s">
        <v>239</v>
      </c>
      <c r="B6" s="41">
        <v>50</v>
      </c>
      <c r="C6" s="41">
        <f>94-B6</f>
        <v>44</v>
      </c>
      <c r="D6" s="41">
        <f>141-B6-C6</f>
        <v>47</v>
      </c>
      <c r="E6" s="22">
        <f>+F6-SUM(B6:D6)</f>
        <v>48</v>
      </c>
      <c r="F6" s="43">
        <v>189</v>
      </c>
      <c r="G6" s="41">
        <v>51</v>
      </c>
      <c r="H6" s="41">
        <f>97-G6</f>
        <v>46</v>
      </c>
      <c r="I6" s="41">
        <f>144-G6-H6</f>
        <v>47</v>
      </c>
      <c r="J6" s="22">
        <f>+K6-SUM(G6:I6)</f>
        <v>46</v>
      </c>
      <c r="K6" s="43">
        <v>190</v>
      </c>
      <c r="L6" s="41">
        <v>50</v>
      </c>
      <c r="M6" s="41">
        <f>98-L6</f>
        <v>48</v>
      </c>
      <c r="N6" s="41">
        <f>151-L6-M6</f>
        <v>53</v>
      </c>
      <c r="O6" s="22">
        <f>+P6-SUM(L6:N6)</f>
        <v>51</v>
      </c>
      <c r="P6" s="43">
        <v>202</v>
      </c>
      <c r="Q6" s="41">
        <v>45</v>
      </c>
      <c r="R6" s="41">
        <f>98-Q6</f>
        <v>53</v>
      </c>
      <c r="S6" s="41">
        <f>150-Q6-R6</f>
        <v>52</v>
      </c>
      <c r="T6" s="22">
        <f>+U6-SUM(Q6:S6)</f>
        <v>52</v>
      </c>
      <c r="U6" s="43">
        <v>202</v>
      </c>
      <c r="V6" s="41">
        <v>47</v>
      </c>
      <c r="W6" s="41">
        <f>104-V6</f>
        <v>57</v>
      </c>
      <c r="X6" s="41">
        <f>160-V6-W6</f>
        <v>56</v>
      </c>
      <c r="Y6" s="22">
        <f>+Z6-SUM(V6:X6)</f>
        <v>52</v>
      </c>
      <c r="Z6" s="43">
        <v>212</v>
      </c>
      <c r="AA6" s="41">
        <v>55</v>
      </c>
      <c r="AB6" s="41">
        <f>115-AA6</f>
        <v>60</v>
      </c>
      <c r="AC6" s="41">
        <f>165-AA6-AB6</f>
        <v>50</v>
      </c>
      <c r="AD6" s="22">
        <f t="shared" si="0"/>
        <v>85</v>
      </c>
      <c r="AE6" s="43">
        <v>250</v>
      </c>
      <c r="AF6" s="41">
        <v>321</v>
      </c>
      <c r="AG6" s="41">
        <f>493-AF6</f>
        <v>172</v>
      </c>
      <c r="AH6" s="41">
        <f>677-AG6-AF6</f>
        <v>184</v>
      </c>
      <c r="AI6" s="22">
        <f t="shared" si="1"/>
        <v>156</v>
      </c>
      <c r="AJ6" s="43">
        <v>833</v>
      </c>
      <c r="AK6" s="41">
        <v>203</v>
      </c>
      <c r="AL6" s="41">
        <f>352-AK6</f>
        <v>149</v>
      </c>
      <c r="AM6" s="41">
        <f>528-AL6-AK6</f>
        <v>176</v>
      </c>
      <c r="AN6" s="22">
        <f t="shared" si="2"/>
        <v>197</v>
      </c>
      <c r="AO6" s="43">
        <v>725</v>
      </c>
      <c r="AP6" s="41">
        <v>222</v>
      </c>
      <c r="AQ6" s="41">
        <f>381-AP6</f>
        <v>159</v>
      </c>
      <c r="AR6" s="41">
        <f>548-AQ6-AP6</f>
        <v>167</v>
      </c>
      <c r="AS6" s="22">
        <f t="shared" si="3"/>
        <v>142</v>
      </c>
      <c r="AT6" s="43">
        <v>690</v>
      </c>
      <c r="AU6" s="41">
        <v>119</v>
      </c>
      <c r="AV6" s="41">
        <f>208-AU6</f>
        <v>89</v>
      </c>
      <c r="AW6" s="41">
        <f>310-AV6-AU6</f>
        <v>102</v>
      </c>
      <c r="AX6" s="22">
        <f t="shared" si="4"/>
        <v>97</v>
      </c>
      <c r="AY6" s="43">
        <v>407</v>
      </c>
      <c r="AZ6" s="41">
        <v>135</v>
      </c>
      <c r="BA6" s="41">
        <f>254-AZ6</f>
        <v>119</v>
      </c>
      <c r="BB6" s="41">
        <f>343-BA6-AZ6</f>
        <v>89</v>
      </c>
      <c r="BC6" s="22">
        <f t="shared" si="5"/>
        <v>83</v>
      </c>
      <c r="BD6" s="43">
        <v>426</v>
      </c>
      <c r="BE6" s="41">
        <f>$BI6/4</f>
        <v>106.25</v>
      </c>
      <c r="BF6" s="41">
        <f>$BI6/4</f>
        <v>106.25</v>
      </c>
      <c r="BG6" s="41">
        <f>$BI6/4</f>
        <v>106.25</v>
      </c>
      <c r="BH6" s="20">
        <f>BI6-SUM(BE6:BG6)</f>
        <v>106.25</v>
      </c>
      <c r="BI6" s="43">
        <v>425</v>
      </c>
      <c r="BK6" s="109"/>
      <c r="BL6" s="109"/>
    </row>
    <row r="7" spans="1:78">
      <c r="A7" s="1" t="s">
        <v>240</v>
      </c>
      <c r="B7" s="41">
        <v>0</v>
      </c>
      <c r="C7" s="41">
        <v>0</v>
      </c>
      <c r="D7" s="41">
        <v>0</v>
      </c>
      <c r="E7" s="22">
        <f>+F7-SUM(B7:D7)</f>
        <v>0</v>
      </c>
      <c r="F7" s="43">
        <v>0</v>
      </c>
      <c r="G7" s="41">
        <v>0</v>
      </c>
      <c r="H7" s="41">
        <v>0</v>
      </c>
      <c r="I7" s="41">
        <v>0</v>
      </c>
      <c r="J7" s="22">
        <f>+K7-SUM(G7:I7)</f>
        <v>0</v>
      </c>
      <c r="K7" s="43">
        <v>0</v>
      </c>
      <c r="L7" s="41">
        <v>0</v>
      </c>
      <c r="M7" s="41">
        <v>0</v>
      </c>
      <c r="N7" s="41">
        <v>0</v>
      </c>
      <c r="O7" s="22">
        <f>+P7-SUM(L7:N7)</f>
        <v>0</v>
      </c>
      <c r="P7" s="43">
        <v>0</v>
      </c>
      <c r="Q7" s="41">
        <v>0</v>
      </c>
      <c r="R7" s="41">
        <v>0</v>
      </c>
      <c r="S7" s="41">
        <v>0</v>
      </c>
      <c r="T7" s="22">
        <f>+U7-SUM(Q7:S7)</f>
        <v>0</v>
      </c>
      <c r="U7" s="43">
        <v>0</v>
      </c>
      <c r="V7" s="41">
        <v>0</v>
      </c>
      <c r="W7" s="41">
        <v>0</v>
      </c>
      <c r="X7" s="41">
        <v>0</v>
      </c>
      <c r="Y7" s="22">
        <f>+Z7-SUM(V7:X7)</f>
        <v>0</v>
      </c>
      <c r="Z7" s="43">
        <v>0</v>
      </c>
      <c r="AA7" s="41">
        <v>0</v>
      </c>
      <c r="AB7" s="41">
        <v>0</v>
      </c>
      <c r="AC7" s="41">
        <v>0</v>
      </c>
      <c r="AD7" s="22">
        <f t="shared" si="0"/>
        <v>0</v>
      </c>
      <c r="AE7" s="43">
        <v>0</v>
      </c>
      <c r="AF7" s="41">
        <v>0</v>
      </c>
      <c r="AG7" s="41">
        <v>0</v>
      </c>
      <c r="AH7" s="41">
        <v>0</v>
      </c>
      <c r="AI7" s="22">
        <f t="shared" si="1"/>
        <v>0</v>
      </c>
      <c r="AJ7" s="43">
        <v>0</v>
      </c>
      <c r="AK7" s="41">
        <v>0</v>
      </c>
      <c r="AL7" s="41">
        <v>0</v>
      </c>
      <c r="AM7" s="41">
        <v>0</v>
      </c>
      <c r="AN7" s="22">
        <f t="shared" si="2"/>
        <v>0</v>
      </c>
      <c r="AO7" s="43">
        <v>0</v>
      </c>
      <c r="AP7" s="41">
        <v>0</v>
      </c>
      <c r="AQ7" s="41">
        <v>0</v>
      </c>
      <c r="AR7" s="41">
        <v>0</v>
      </c>
      <c r="AS7" s="22">
        <f t="shared" si="3"/>
        <v>0</v>
      </c>
      <c r="AT7" s="43">
        <v>0</v>
      </c>
      <c r="AU7" s="41">
        <v>0</v>
      </c>
      <c r="AV7" s="41">
        <v>0</v>
      </c>
      <c r="AW7" s="41">
        <v>0</v>
      </c>
      <c r="AX7" s="22">
        <f t="shared" si="4"/>
        <v>0</v>
      </c>
      <c r="AY7" s="43">
        <v>0</v>
      </c>
      <c r="AZ7" s="41">
        <v>0</v>
      </c>
      <c r="BA7" s="41">
        <v>0</v>
      </c>
      <c r="BB7" s="41">
        <v>0</v>
      </c>
      <c r="BC7" s="22">
        <f t="shared" si="5"/>
        <v>0</v>
      </c>
      <c r="BD7" s="43">
        <v>0</v>
      </c>
      <c r="BE7" s="41">
        <v>0</v>
      </c>
      <c r="BF7" s="41">
        <v>0</v>
      </c>
      <c r="BG7" s="41">
        <v>0</v>
      </c>
      <c r="BH7" s="22">
        <f t="shared" ref="BH7" si="7">+BI7-SUM(BE7:BG7)</f>
        <v>0</v>
      </c>
      <c r="BI7" s="43">
        <v>0</v>
      </c>
      <c r="BK7" s="109"/>
      <c r="BL7" s="109"/>
    </row>
    <row r="8" spans="1:78">
      <c r="A8" s="183" t="s">
        <v>241</v>
      </c>
      <c r="B8" s="19">
        <v>17</v>
      </c>
      <c r="C8" s="19">
        <f>74-B8</f>
        <v>57</v>
      </c>
      <c r="D8" s="19">
        <f>124-B8-C8</f>
        <v>50</v>
      </c>
      <c r="E8" s="20">
        <f t="shared" ref="E8:E13" si="8">+F8-SUM(B8:D8)</f>
        <v>43</v>
      </c>
      <c r="F8" s="21">
        <v>167</v>
      </c>
      <c r="G8" s="19">
        <v>33</v>
      </c>
      <c r="H8" s="19">
        <f>50-G8</f>
        <v>17</v>
      </c>
      <c r="I8" s="19">
        <f>61-G8-H8</f>
        <v>11</v>
      </c>
      <c r="J8" s="20">
        <f t="shared" ref="J8:J13" si="9">+K8-SUM(G8:I8)</f>
        <v>29</v>
      </c>
      <c r="K8" s="21">
        <v>90</v>
      </c>
      <c r="L8" s="19">
        <v>23</v>
      </c>
      <c r="M8" s="19">
        <f>46-L8</f>
        <v>23</v>
      </c>
      <c r="N8" s="19">
        <f>75-L8-M8</f>
        <v>29</v>
      </c>
      <c r="O8" s="20">
        <f t="shared" ref="O8:O13" si="10">+P8-SUM(L8:N8)</f>
        <v>38</v>
      </c>
      <c r="P8" s="21">
        <v>113</v>
      </c>
      <c r="Q8" s="19">
        <v>20</v>
      </c>
      <c r="R8" s="19">
        <f>44-Q8</f>
        <v>24</v>
      </c>
      <c r="S8" s="19">
        <f>63-Q8-R8</f>
        <v>19</v>
      </c>
      <c r="T8" s="20">
        <f t="shared" ref="T8:T13" si="11">+U8-SUM(Q8:S8)</f>
        <v>30</v>
      </c>
      <c r="U8" s="21">
        <v>93</v>
      </c>
      <c r="V8" s="19">
        <v>34</v>
      </c>
      <c r="W8" s="19">
        <f>70-V8</f>
        <v>36</v>
      </c>
      <c r="X8" s="19">
        <f>106-V8-W8</f>
        <v>36</v>
      </c>
      <c r="Y8" s="20">
        <f t="shared" ref="Y8:Y13" si="12">+Z8-SUM(V8:X8)</f>
        <v>337</v>
      </c>
      <c r="Z8" s="21">
        <v>443</v>
      </c>
      <c r="AA8" s="19">
        <v>26</v>
      </c>
      <c r="AB8" s="19">
        <f>280-AA8</f>
        <v>254</v>
      </c>
      <c r="AC8" s="19">
        <f>317-AA8-AB8</f>
        <v>37</v>
      </c>
      <c r="AD8" s="20">
        <f t="shared" si="0"/>
        <v>93</v>
      </c>
      <c r="AE8" s="21">
        <v>410</v>
      </c>
      <c r="AF8" s="19">
        <v>16</v>
      </c>
      <c r="AG8" s="19">
        <f>38-AF8</f>
        <v>22</v>
      </c>
      <c r="AH8" s="19">
        <f>72-AG8-AF8</f>
        <v>34</v>
      </c>
      <c r="AI8" s="20">
        <f t="shared" si="1"/>
        <v>26</v>
      </c>
      <c r="AJ8" s="21">
        <v>98</v>
      </c>
      <c r="AK8" s="19">
        <v>72</v>
      </c>
      <c r="AL8" s="19">
        <f>72-AK8</f>
        <v>0</v>
      </c>
      <c r="AM8" s="19">
        <f>78-AL8-AK8</f>
        <v>6</v>
      </c>
      <c r="AN8" s="20">
        <f t="shared" si="2"/>
        <v>34</v>
      </c>
      <c r="AO8" s="21">
        <v>112</v>
      </c>
      <c r="AP8" s="19">
        <v>11</v>
      </c>
      <c r="AQ8" s="19">
        <f>12-AP8</f>
        <v>1</v>
      </c>
      <c r="AR8" s="19">
        <f>12-AQ8-AP8</f>
        <v>0</v>
      </c>
      <c r="AS8" s="20">
        <f t="shared" si="3"/>
        <v>34</v>
      </c>
      <c r="AT8" s="21">
        <v>46</v>
      </c>
      <c r="AU8" s="19">
        <v>21</v>
      </c>
      <c r="AV8" s="19">
        <f>34-AU8</f>
        <v>13</v>
      </c>
      <c r="AW8" s="19">
        <f>48-AV8-AU8</f>
        <v>14</v>
      </c>
      <c r="AX8" s="20">
        <f t="shared" si="4"/>
        <v>64</v>
      </c>
      <c r="AY8" s="21">
        <v>112</v>
      </c>
      <c r="AZ8" s="19">
        <v>7</v>
      </c>
      <c r="BA8" s="19">
        <f>30-AZ8</f>
        <v>23</v>
      </c>
      <c r="BB8" s="19">
        <f>32-BA8-AZ8</f>
        <v>2</v>
      </c>
      <c r="BC8" s="20">
        <f t="shared" si="5"/>
        <v>13</v>
      </c>
      <c r="BD8" s="21">
        <v>45</v>
      </c>
      <c r="BE8" s="41">
        <v>0</v>
      </c>
      <c r="BF8" s="41">
        <v>0</v>
      </c>
      <c r="BG8" s="41">
        <v>0</v>
      </c>
      <c r="BH8" s="19">
        <v>0</v>
      </c>
      <c r="BI8" s="43">
        <v>0</v>
      </c>
      <c r="BK8" s="109"/>
      <c r="BL8" s="109"/>
    </row>
    <row r="9" spans="1:78">
      <c r="A9" s="183" t="s">
        <v>242</v>
      </c>
      <c r="B9" s="19">
        <v>-2</v>
      </c>
      <c r="C9" s="19">
        <f>-5-B9</f>
        <v>-3</v>
      </c>
      <c r="D9" s="19">
        <f>-3-B9-C9</f>
        <v>2</v>
      </c>
      <c r="E9" s="20">
        <f t="shared" si="8"/>
        <v>-2</v>
      </c>
      <c r="F9" s="21">
        <v>-5</v>
      </c>
      <c r="G9" s="19">
        <v>-2</v>
      </c>
      <c r="H9" s="19">
        <f>-4-G9</f>
        <v>-2</v>
      </c>
      <c r="I9" s="19">
        <f>-5-G9-H9</f>
        <v>-1</v>
      </c>
      <c r="J9" s="20">
        <f t="shared" si="9"/>
        <v>-2</v>
      </c>
      <c r="K9" s="21">
        <v>-7</v>
      </c>
      <c r="L9" s="19">
        <v>7</v>
      </c>
      <c r="M9" s="19">
        <f>5-L9</f>
        <v>-2</v>
      </c>
      <c r="N9" s="19">
        <f>4-L9-M9</f>
        <v>-1</v>
      </c>
      <c r="O9" s="20">
        <f t="shared" si="10"/>
        <v>-2</v>
      </c>
      <c r="P9" s="21">
        <v>2</v>
      </c>
      <c r="Q9" s="19">
        <v>-1</v>
      </c>
      <c r="R9" s="19">
        <f>-2-Q9</f>
        <v>-1</v>
      </c>
      <c r="S9" s="19">
        <f>-3-Q9-R9</f>
        <v>-1</v>
      </c>
      <c r="T9" s="20">
        <f t="shared" si="11"/>
        <v>0</v>
      </c>
      <c r="U9" s="21">
        <v>-3</v>
      </c>
      <c r="V9" s="19">
        <v>249</v>
      </c>
      <c r="W9" s="19">
        <f>249-V9</f>
        <v>0</v>
      </c>
      <c r="X9" s="19">
        <f>249-V9-W9</f>
        <v>0</v>
      </c>
      <c r="Y9" s="20">
        <f t="shared" si="12"/>
        <v>1</v>
      </c>
      <c r="Z9" s="21">
        <v>250</v>
      </c>
      <c r="AA9" s="19">
        <v>0</v>
      </c>
      <c r="AB9" s="19">
        <f>9-AA9</f>
        <v>9</v>
      </c>
      <c r="AC9" s="19">
        <f>12-AA9-AB9</f>
        <v>3</v>
      </c>
      <c r="AD9" s="20">
        <f t="shared" si="0"/>
        <v>0</v>
      </c>
      <c r="AE9" s="21">
        <v>12</v>
      </c>
      <c r="AF9" s="19">
        <v>0</v>
      </c>
      <c r="AG9" s="19">
        <f>-1-AF9</f>
        <v>-1</v>
      </c>
      <c r="AH9" s="19">
        <f>-3-AG9-AF9</f>
        <v>-2</v>
      </c>
      <c r="AI9" s="20">
        <f t="shared" si="1"/>
        <v>3</v>
      </c>
      <c r="AJ9" s="21">
        <v>0</v>
      </c>
      <c r="AK9" s="19">
        <v>48</v>
      </c>
      <c r="AL9" s="19">
        <f>42-AK9</f>
        <v>-6</v>
      </c>
      <c r="AM9" s="19">
        <f>39-AL9-AK9</f>
        <v>-3</v>
      </c>
      <c r="AN9" s="20">
        <f t="shared" si="2"/>
        <v>-2</v>
      </c>
      <c r="AO9" s="21">
        <v>37</v>
      </c>
      <c r="AP9" s="19">
        <v>-1</v>
      </c>
      <c r="AQ9" s="19">
        <f>-3-AP9</f>
        <v>-2</v>
      </c>
      <c r="AR9" s="19">
        <f>-4-AQ9-AP9</f>
        <v>-1</v>
      </c>
      <c r="AS9" s="20">
        <f t="shared" si="3"/>
        <v>4</v>
      </c>
      <c r="AT9" s="21">
        <v>0</v>
      </c>
      <c r="AU9" s="19">
        <v>0</v>
      </c>
      <c r="AV9" s="19">
        <f>0-AU9</f>
        <v>0</v>
      </c>
      <c r="AW9" s="19">
        <f>0-AV9-AU9</f>
        <v>0</v>
      </c>
      <c r="AX9" s="20">
        <f t="shared" si="4"/>
        <v>0</v>
      </c>
      <c r="AY9" s="21">
        <v>0</v>
      </c>
      <c r="AZ9" s="19">
        <v>0</v>
      </c>
      <c r="BA9" s="19">
        <f>0-AZ9</f>
        <v>0</v>
      </c>
      <c r="BB9" s="19">
        <f>0-BA9-AZ9</f>
        <v>0</v>
      </c>
      <c r="BC9" s="20">
        <f t="shared" si="5"/>
        <v>0</v>
      </c>
      <c r="BD9" s="21">
        <v>0</v>
      </c>
      <c r="BE9" s="41">
        <v>0</v>
      </c>
      <c r="BF9" s="41">
        <v>0</v>
      </c>
      <c r="BG9" s="41">
        <v>0</v>
      </c>
      <c r="BH9" s="20">
        <f t="shared" ref="BH9:BH10" si="13">+BI9-SUM(BE9:BG9)</f>
        <v>0</v>
      </c>
      <c r="BI9" s="43">
        <v>0</v>
      </c>
      <c r="BK9" s="109"/>
      <c r="BL9" s="109"/>
    </row>
    <row r="10" spans="1:78">
      <c r="A10" s="1" t="s">
        <v>243</v>
      </c>
      <c r="B10" s="41">
        <v>0</v>
      </c>
      <c r="C10" s="41">
        <v>0</v>
      </c>
      <c r="D10" s="41">
        <v>0</v>
      </c>
      <c r="E10" s="22">
        <f>+F10-SUM(B10:D10)</f>
        <v>0</v>
      </c>
      <c r="F10" s="43">
        <v>0</v>
      </c>
      <c r="G10" s="41">
        <v>0</v>
      </c>
      <c r="H10" s="41">
        <v>0</v>
      </c>
      <c r="I10" s="41">
        <v>0</v>
      </c>
      <c r="J10" s="22">
        <f>+K10-SUM(G10:I10)</f>
        <v>0</v>
      </c>
      <c r="K10" s="43">
        <v>0</v>
      </c>
      <c r="L10" s="41">
        <v>0</v>
      </c>
      <c r="M10" s="41">
        <v>0</v>
      </c>
      <c r="N10" s="41">
        <v>0</v>
      </c>
      <c r="O10" s="22">
        <f>+P10-SUM(L10:N10)</f>
        <v>0</v>
      </c>
      <c r="P10" s="43">
        <v>0</v>
      </c>
      <c r="Q10" s="41">
        <v>0</v>
      </c>
      <c r="R10" s="41">
        <v>0</v>
      </c>
      <c r="S10" s="41">
        <v>0</v>
      </c>
      <c r="T10" s="22">
        <f>+U10-SUM(Q10:S10)</f>
        <v>0</v>
      </c>
      <c r="U10" s="43">
        <v>0</v>
      </c>
      <c r="V10" s="41">
        <v>0</v>
      </c>
      <c r="W10" s="41">
        <v>0</v>
      </c>
      <c r="X10" s="41">
        <v>0</v>
      </c>
      <c r="Y10" s="22">
        <f>+Z10-SUM(V10:X10)</f>
        <v>0</v>
      </c>
      <c r="Z10" s="43">
        <v>0</v>
      </c>
      <c r="AA10" s="41">
        <v>0</v>
      </c>
      <c r="AB10" s="41">
        <v>0</v>
      </c>
      <c r="AC10" s="41">
        <v>0</v>
      </c>
      <c r="AD10" s="22">
        <f t="shared" si="0"/>
        <v>0</v>
      </c>
      <c r="AE10" s="43">
        <v>0</v>
      </c>
      <c r="AF10" s="41">
        <v>0</v>
      </c>
      <c r="AG10" s="41">
        <v>0</v>
      </c>
      <c r="AH10" s="41">
        <v>0</v>
      </c>
      <c r="AI10" s="22">
        <f t="shared" si="1"/>
        <v>0</v>
      </c>
      <c r="AJ10" s="43">
        <v>0</v>
      </c>
      <c r="AK10" s="41">
        <v>0</v>
      </c>
      <c r="AL10" s="41">
        <v>0</v>
      </c>
      <c r="AM10" s="41">
        <v>0</v>
      </c>
      <c r="AN10" s="22">
        <f t="shared" si="2"/>
        <v>0</v>
      </c>
      <c r="AO10" s="43">
        <v>0</v>
      </c>
      <c r="AP10" s="41">
        <v>0</v>
      </c>
      <c r="AQ10" s="41">
        <v>0</v>
      </c>
      <c r="AR10" s="41">
        <v>0</v>
      </c>
      <c r="AS10" s="22">
        <f t="shared" si="3"/>
        <v>0</v>
      </c>
      <c r="AT10" s="43">
        <v>0</v>
      </c>
      <c r="AU10" s="41">
        <v>0</v>
      </c>
      <c r="AV10" s="41">
        <v>0</v>
      </c>
      <c r="AW10" s="41">
        <v>0</v>
      </c>
      <c r="AX10" s="22">
        <f t="shared" si="4"/>
        <v>0</v>
      </c>
      <c r="AY10" s="43">
        <v>0</v>
      </c>
      <c r="AZ10" s="41">
        <v>0</v>
      </c>
      <c r="BA10" s="41">
        <v>0</v>
      </c>
      <c r="BB10" s="41">
        <v>0</v>
      </c>
      <c r="BC10" s="22">
        <f t="shared" si="5"/>
        <v>0</v>
      </c>
      <c r="BD10" s="43">
        <v>0</v>
      </c>
      <c r="BE10" s="41">
        <v>0</v>
      </c>
      <c r="BF10" s="41">
        <v>0</v>
      </c>
      <c r="BG10" s="41">
        <v>0</v>
      </c>
      <c r="BH10" s="22">
        <f t="shared" si="13"/>
        <v>0</v>
      </c>
      <c r="BI10" s="43">
        <v>0</v>
      </c>
      <c r="BK10" s="109"/>
      <c r="BL10" s="109"/>
    </row>
    <row r="11" spans="1:78">
      <c r="A11" s="1" t="s">
        <v>244</v>
      </c>
      <c r="B11" s="41">
        <v>-1</v>
      </c>
      <c r="C11" s="41">
        <f>-1-B11</f>
        <v>0</v>
      </c>
      <c r="D11" s="41">
        <f>0-B11-C11</f>
        <v>1</v>
      </c>
      <c r="E11" s="22">
        <f t="shared" si="8"/>
        <v>1</v>
      </c>
      <c r="F11" s="43">
        <v>1</v>
      </c>
      <c r="G11" s="41">
        <v>-4</v>
      </c>
      <c r="H11" s="41">
        <f>9-G11</f>
        <v>13</v>
      </c>
      <c r="I11" s="41">
        <f>10-G11-H11</f>
        <v>1</v>
      </c>
      <c r="J11" s="22">
        <f t="shared" si="9"/>
        <v>-3</v>
      </c>
      <c r="K11" s="43">
        <v>7</v>
      </c>
      <c r="L11" s="41">
        <v>-2</v>
      </c>
      <c r="M11" s="41">
        <f>0-L11</f>
        <v>2</v>
      </c>
      <c r="N11" s="41">
        <f>0-L11-M11</f>
        <v>0</v>
      </c>
      <c r="O11" s="22">
        <f t="shared" si="10"/>
        <v>-21</v>
      </c>
      <c r="P11" s="43">
        <v>-21</v>
      </c>
      <c r="Q11" s="41">
        <v>-4</v>
      </c>
      <c r="R11" s="41">
        <f>-7-Q11</f>
        <v>-3</v>
      </c>
      <c r="S11" s="41">
        <f>-76-Q11-R11</f>
        <v>-69</v>
      </c>
      <c r="T11" s="22">
        <f t="shared" si="11"/>
        <v>1</v>
      </c>
      <c r="U11" s="43">
        <v>-75</v>
      </c>
      <c r="V11" s="41">
        <v>-108</v>
      </c>
      <c r="W11" s="41">
        <f>-300-V11</f>
        <v>-192</v>
      </c>
      <c r="X11" s="41">
        <f>-296-V11-W11</f>
        <v>4</v>
      </c>
      <c r="Y11" s="22">
        <f t="shared" si="12"/>
        <v>-395</v>
      </c>
      <c r="Z11" s="43">
        <v>-691</v>
      </c>
      <c r="AA11" s="41">
        <v>-54</v>
      </c>
      <c r="AB11" s="41">
        <f>-92-AA11</f>
        <v>-38</v>
      </c>
      <c r="AC11" s="41">
        <f>-200-AA11-AB11</f>
        <v>-108</v>
      </c>
      <c r="AD11" s="22">
        <f t="shared" si="0"/>
        <v>-2</v>
      </c>
      <c r="AE11" s="43">
        <v>-202</v>
      </c>
      <c r="AF11" s="41">
        <v>-2</v>
      </c>
      <c r="AG11" s="41">
        <f>-114-AF11</f>
        <v>-112</v>
      </c>
      <c r="AH11" s="41">
        <f>-283-AG11-AF11</f>
        <v>-169</v>
      </c>
      <c r="AI11" s="22">
        <f t="shared" si="1"/>
        <v>6</v>
      </c>
      <c r="AJ11" s="43">
        <v>-277</v>
      </c>
      <c r="AK11" s="41">
        <v>-1</v>
      </c>
      <c r="AL11" s="41">
        <f>-2-AK11</f>
        <v>-1</v>
      </c>
      <c r="AM11" s="41">
        <f>-2-AL11-AK11</f>
        <v>0</v>
      </c>
      <c r="AN11" s="22">
        <f t="shared" si="2"/>
        <v>-4</v>
      </c>
      <c r="AO11" s="43">
        <v>-6</v>
      </c>
      <c r="AP11" s="41">
        <v>0</v>
      </c>
      <c r="AQ11" s="41">
        <f>-1-AP11</f>
        <v>-1</v>
      </c>
      <c r="AR11" s="41">
        <f>-1-AQ11-AP11</f>
        <v>0</v>
      </c>
      <c r="AS11" s="22">
        <f t="shared" si="3"/>
        <v>-1</v>
      </c>
      <c r="AT11" s="43">
        <v>-2</v>
      </c>
      <c r="AU11" s="41">
        <v>0</v>
      </c>
      <c r="AV11" s="41">
        <f>-5-AU11</f>
        <v>-5</v>
      </c>
      <c r="AW11" s="41">
        <f>-5-AV11-AU11</f>
        <v>0</v>
      </c>
      <c r="AX11" s="22">
        <f t="shared" si="4"/>
        <v>-41</v>
      </c>
      <c r="AY11" s="43">
        <v>-46</v>
      </c>
      <c r="AZ11" s="41">
        <v>3</v>
      </c>
      <c r="BA11" s="41">
        <f>-64-AZ11</f>
        <v>-67</v>
      </c>
      <c r="BB11" s="41">
        <f>-63-BA11-AZ11</f>
        <v>1</v>
      </c>
      <c r="BC11" s="22">
        <f t="shared" si="5"/>
        <v>-9609</v>
      </c>
      <c r="BD11" s="43">
        <v>-9672</v>
      </c>
      <c r="BE11" s="41">
        <v>0</v>
      </c>
      <c r="BF11" s="41">
        <v>0</v>
      </c>
      <c r="BG11" s="41">
        <v>0</v>
      </c>
      <c r="BH11" s="19">
        <v>0</v>
      </c>
      <c r="BI11" s="43">
        <v>0</v>
      </c>
      <c r="BK11" s="109"/>
      <c r="BL11" s="109"/>
      <c r="BZ11" s="297"/>
    </row>
    <row r="12" spans="1:78">
      <c r="A12" s="1" t="s">
        <v>245</v>
      </c>
      <c r="B12" s="41">
        <v>-112</v>
      </c>
      <c r="C12" s="41">
        <f>-124-B12</f>
        <v>-12</v>
      </c>
      <c r="D12" s="41">
        <f>-139-B12-C12</f>
        <v>-15</v>
      </c>
      <c r="E12" s="22">
        <f t="shared" si="8"/>
        <v>-18</v>
      </c>
      <c r="F12" s="43">
        <v>-157</v>
      </c>
      <c r="G12" s="41">
        <v>0</v>
      </c>
      <c r="H12" s="41">
        <f>0-G12</f>
        <v>0</v>
      </c>
      <c r="I12" s="41">
        <f>0-G12-H12</f>
        <v>0</v>
      </c>
      <c r="J12" s="22">
        <f t="shared" si="9"/>
        <v>0</v>
      </c>
      <c r="K12" s="43">
        <v>0</v>
      </c>
      <c r="L12" s="41">
        <v>0</v>
      </c>
      <c r="M12" s="41">
        <f>0-L12</f>
        <v>0</v>
      </c>
      <c r="N12" s="41">
        <f>0-L12-M12</f>
        <v>0</v>
      </c>
      <c r="O12" s="22">
        <f t="shared" si="10"/>
        <v>0</v>
      </c>
      <c r="P12" s="43">
        <v>0</v>
      </c>
      <c r="Q12" s="41">
        <v>0</v>
      </c>
      <c r="R12" s="41">
        <f>0-Q12</f>
        <v>0</v>
      </c>
      <c r="S12" s="41">
        <f>0-Q12-R12</f>
        <v>0</v>
      </c>
      <c r="T12" s="22">
        <f t="shared" si="11"/>
        <v>0</v>
      </c>
      <c r="U12" s="43">
        <v>0</v>
      </c>
      <c r="V12" s="41">
        <v>0</v>
      </c>
      <c r="W12" s="41">
        <f>0-V12</f>
        <v>0</v>
      </c>
      <c r="X12" s="41">
        <f>0-V12-W12</f>
        <v>0</v>
      </c>
      <c r="Y12" s="22">
        <f t="shared" si="12"/>
        <v>0</v>
      </c>
      <c r="Z12" s="43">
        <v>0</v>
      </c>
      <c r="AA12" s="41">
        <v>0</v>
      </c>
      <c r="AB12" s="41">
        <f>0-AA12</f>
        <v>0</v>
      </c>
      <c r="AC12" s="41">
        <f>0-AA12-AB12</f>
        <v>0</v>
      </c>
      <c r="AD12" s="22">
        <f t="shared" si="0"/>
        <v>0</v>
      </c>
      <c r="AE12" s="43">
        <v>0</v>
      </c>
      <c r="AF12" s="41">
        <v>0</v>
      </c>
      <c r="AG12" s="41">
        <v>0</v>
      </c>
      <c r="AH12" s="41">
        <f>0-AF12-AG12</f>
        <v>0</v>
      </c>
      <c r="AI12" s="22">
        <f t="shared" si="1"/>
        <v>0</v>
      </c>
      <c r="AJ12" s="43">
        <v>0</v>
      </c>
      <c r="AK12" s="41">
        <v>0</v>
      </c>
      <c r="AL12" s="41">
        <v>0</v>
      </c>
      <c r="AM12" s="41">
        <f>0-AK12-AL12</f>
        <v>0</v>
      </c>
      <c r="AN12" s="22">
        <f t="shared" si="2"/>
        <v>0</v>
      </c>
      <c r="AO12" s="43">
        <v>0</v>
      </c>
      <c r="AP12" s="41">
        <v>0</v>
      </c>
      <c r="AQ12" s="41">
        <v>0</v>
      </c>
      <c r="AR12" s="41">
        <f>0-AP12-AQ12</f>
        <v>0</v>
      </c>
      <c r="AS12" s="22">
        <f t="shared" si="3"/>
        <v>0</v>
      </c>
      <c r="AT12" s="43">
        <v>0</v>
      </c>
      <c r="AU12" s="41">
        <v>0</v>
      </c>
      <c r="AV12" s="41">
        <v>0</v>
      </c>
      <c r="AW12" s="41">
        <f>0-AU12-AV12</f>
        <v>0</v>
      </c>
      <c r="AX12" s="22">
        <f t="shared" si="4"/>
        <v>0</v>
      </c>
      <c r="AY12" s="43">
        <v>0</v>
      </c>
      <c r="AZ12" s="41">
        <v>0</v>
      </c>
      <c r="BA12" s="41">
        <v>0</v>
      </c>
      <c r="BB12" s="41">
        <f>0-AZ12-BA12</f>
        <v>0</v>
      </c>
      <c r="BC12" s="22">
        <f t="shared" si="5"/>
        <v>0</v>
      </c>
      <c r="BD12" s="43">
        <v>0</v>
      </c>
      <c r="BE12" s="41">
        <v>0</v>
      </c>
      <c r="BF12" s="41">
        <v>0</v>
      </c>
      <c r="BG12" s="41">
        <v>0</v>
      </c>
      <c r="BH12" s="22">
        <f t="shared" ref="BH12:BH13" si="14">+BI12-SUM(BE12:BG12)</f>
        <v>0</v>
      </c>
      <c r="BI12" s="43">
        <v>0</v>
      </c>
      <c r="BK12" s="109"/>
      <c r="BL12" s="109"/>
      <c r="BZ12" s="109"/>
    </row>
    <row r="13" spans="1:78">
      <c r="A13" s="183" t="s">
        <v>246</v>
      </c>
      <c r="B13" s="19">
        <v>76</v>
      </c>
      <c r="C13" s="19">
        <f>140-B13</f>
        <v>64</v>
      </c>
      <c r="D13" s="19">
        <f>230-B13-C13</f>
        <v>90</v>
      </c>
      <c r="E13" s="20">
        <f t="shared" si="8"/>
        <v>134</v>
      </c>
      <c r="F13" s="21">
        <v>364</v>
      </c>
      <c r="G13" s="19">
        <v>84</v>
      </c>
      <c r="H13" s="19">
        <f>141-G13</f>
        <v>57</v>
      </c>
      <c r="I13" s="19">
        <f>219-G13-H13</f>
        <v>78</v>
      </c>
      <c r="J13" s="20">
        <f t="shared" si="9"/>
        <v>150</v>
      </c>
      <c r="K13" s="21">
        <v>369</v>
      </c>
      <c r="L13" s="19">
        <v>58</v>
      </c>
      <c r="M13" s="19">
        <f>135-L13</f>
        <v>77</v>
      </c>
      <c r="N13" s="19">
        <f>196-L13-M13</f>
        <v>61</v>
      </c>
      <c r="O13" s="20">
        <f t="shared" si="10"/>
        <v>97</v>
      </c>
      <c r="P13" s="21">
        <v>293</v>
      </c>
      <c r="Q13" s="19">
        <v>60</v>
      </c>
      <c r="R13" s="19">
        <f>112-Q13</f>
        <v>52</v>
      </c>
      <c r="S13" s="19">
        <f>158-Q13-R13</f>
        <v>46</v>
      </c>
      <c r="T13" s="20">
        <f t="shared" si="11"/>
        <v>89</v>
      </c>
      <c r="U13" s="21">
        <v>247</v>
      </c>
      <c r="V13" s="19">
        <v>74</v>
      </c>
      <c r="W13" s="19">
        <f>145-V13</f>
        <v>71</v>
      </c>
      <c r="X13" s="19">
        <f>190-V13-W13</f>
        <v>45</v>
      </c>
      <c r="Y13" s="20">
        <f t="shared" si="12"/>
        <v>144</v>
      </c>
      <c r="Z13" s="21">
        <v>334</v>
      </c>
      <c r="AA13" s="19">
        <v>97</v>
      </c>
      <c r="AB13" s="19">
        <f>815-AA13</f>
        <v>718</v>
      </c>
      <c r="AC13" s="19">
        <f>912-AA13-AB13</f>
        <v>97</v>
      </c>
      <c r="AD13" s="20">
        <f t="shared" si="0"/>
        <v>7238</v>
      </c>
      <c r="AE13" s="21">
        <f>1462+6493+195</f>
        <v>8150</v>
      </c>
      <c r="AF13" s="19">
        <f>306+35</f>
        <v>341</v>
      </c>
      <c r="AG13" s="19">
        <f>-1+628-AF13</f>
        <v>286</v>
      </c>
      <c r="AH13" s="19">
        <f>-82+951-AG13-AF13</f>
        <v>242</v>
      </c>
      <c r="AI13" s="20">
        <f t="shared" si="1"/>
        <v>4184</v>
      </c>
      <c r="AJ13" s="21">
        <f>360+3460+1233</f>
        <v>5053</v>
      </c>
      <c r="AK13" s="19">
        <f>329+175</f>
        <v>504</v>
      </c>
      <c r="AL13" s="19">
        <f>612+260-AK13</f>
        <v>368</v>
      </c>
      <c r="AM13" s="19">
        <f>388+928-AL13-AK13</f>
        <v>444</v>
      </c>
      <c r="AN13" s="20">
        <f t="shared" si="2"/>
        <v>263</v>
      </c>
      <c r="AO13" s="21">
        <f>364+1215</f>
        <v>1579</v>
      </c>
      <c r="AP13" s="19">
        <f>553+34</f>
        <v>587</v>
      </c>
      <c r="AQ13" s="19">
        <f>862+33-AP13</f>
        <v>308</v>
      </c>
      <c r="AR13" s="19">
        <f>-21+1204-AQ13-AP13</f>
        <v>288</v>
      </c>
      <c r="AS13" s="20">
        <f t="shared" si="3"/>
        <v>335</v>
      </c>
      <c r="AT13" s="43">
        <f>1515+3</f>
        <v>1518</v>
      </c>
      <c r="AU13" s="41">
        <f>606+10</f>
        <v>616</v>
      </c>
      <c r="AV13" s="19">
        <f>953-34-AU13</f>
        <v>303</v>
      </c>
      <c r="AW13" s="19">
        <f>270+1315+3006-AV13-AU13</f>
        <v>3672</v>
      </c>
      <c r="AX13" s="20">
        <f t="shared" si="4"/>
        <v>1617</v>
      </c>
      <c r="AY13" s="43">
        <f>1601+528+4079</f>
        <v>6208</v>
      </c>
      <c r="AZ13" s="41">
        <f>418+99</f>
        <v>517</v>
      </c>
      <c r="BA13" s="19">
        <f>793+162-AZ13</f>
        <v>438</v>
      </c>
      <c r="BB13" s="19">
        <f>1173+5140+217-BA13-AZ13</f>
        <v>5575</v>
      </c>
      <c r="BC13" s="20">
        <f t="shared" si="5"/>
        <v>547</v>
      </c>
      <c r="BD13" s="43">
        <f>1530+5283+264</f>
        <v>7077</v>
      </c>
      <c r="BE13" s="41">
        <f>$BI13/4</f>
        <v>625</v>
      </c>
      <c r="BF13" s="41">
        <f>$BI13/4</f>
        <v>625</v>
      </c>
      <c r="BG13" s="41">
        <f>$BI13/4</f>
        <v>625</v>
      </c>
      <c r="BH13" s="20">
        <f t="shared" si="14"/>
        <v>625</v>
      </c>
      <c r="BI13" s="43">
        <v>2500</v>
      </c>
      <c r="BJ13" s="500"/>
      <c r="BK13" s="109"/>
      <c r="BL13" s="109"/>
      <c r="BZ13" s="109"/>
    </row>
    <row r="14" spans="1:78">
      <c r="A14" s="1" t="s">
        <v>68</v>
      </c>
      <c r="B14" s="41"/>
      <c r="C14" s="41"/>
      <c r="D14" s="41"/>
      <c r="E14" s="22"/>
      <c r="F14" s="43"/>
      <c r="G14" s="41"/>
      <c r="H14" s="41"/>
      <c r="I14" s="41"/>
      <c r="J14" s="22"/>
      <c r="K14" s="43"/>
      <c r="L14" s="41"/>
      <c r="M14" s="41"/>
      <c r="N14" s="41"/>
      <c r="O14" s="22"/>
      <c r="P14" s="43"/>
      <c r="Q14" s="41"/>
      <c r="R14" s="41"/>
      <c r="S14" s="41"/>
      <c r="T14" s="22"/>
      <c r="U14" s="43"/>
      <c r="V14" s="41"/>
      <c r="W14" s="41"/>
      <c r="X14" s="41"/>
      <c r="Y14" s="22"/>
      <c r="Z14" s="43"/>
      <c r="AA14" s="41"/>
      <c r="AB14" s="41"/>
      <c r="AC14" s="41"/>
      <c r="AD14" s="22"/>
      <c r="AE14" s="43"/>
      <c r="AF14" s="41"/>
      <c r="AG14" s="41"/>
      <c r="AH14" s="41"/>
      <c r="AI14" s="22"/>
      <c r="AJ14" s="43"/>
      <c r="AK14" s="41"/>
      <c r="AL14" s="41"/>
      <c r="AM14" s="41"/>
      <c r="AN14" s="22"/>
      <c r="AO14" s="43"/>
      <c r="AP14" s="41"/>
      <c r="AQ14" s="41"/>
      <c r="AR14" s="41"/>
      <c r="AS14" s="22"/>
      <c r="AT14" s="43"/>
      <c r="AU14" s="41"/>
      <c r="AV14" s="41"/>
      <c r="AW14" s="550"/>
      <c r="AX14" s="22"/>
      <c r="AY14" s="43"/>
      <c r="AZ14" s="41"/>
      <c r="BA14" s="41"/>
      <c r="BB14" s="550"/>
      <c r="BC14" s="22"/>
      <c r="BD14" s="43"/>
      <c r="BE14" s="22"/>
      <c r="BF14" s="22"/>
      <c r="BG14" s="22"/>
      <c r="BH14" s="22"/>
      <c r="BI14" s="43"/>
      <c r="BK14" s="109"/>
      <c r="BL14" s="109"/>
      <c r="BZ14" s="109"/>
    </row>
    <row r="15" spans="1:78">
      <c r="A15" s="3" t="s">
        <v>247</v>
      </c>
      <c r="B15" s="41">
        <v>-389</v>
      </c>
      <c r="C15" s="41">
        <f>-313-B15</f>
        <v>76</v>
      </c>
      <c r="D15" s="41">
        <f>-1202-B15-C15</f>
        <v>-889</v>
      </c>
      <c r="E15" s="22">
        <f t="shared" ref="E15:E27" si="15">+F15-SUM(B15:D15)</f>
        <v>133</v>
      </c>
      <c r="F15" s="43">
        <v>-1069</v>
      </c>
      <c r="G15" s="41">
        <v>-1002</v>
      </c>
      <c r="H15" s="41">
        <f>-503-G15</f>
        <v>499</v>
      </c>
      <c r="I15" s="41">
        <f>-517-G15-H15</f>
        <v>-14</v>
      </c>
      <c r="J15" s="22">
        <f t="shared" ref="J15:J27" si="16">+K15-SUM(G15:I15)</f>
        <v>629</v>
      </c>
      <c r="K15" s="43">
        <v>112</v>
      </c>
      <c r="L15" s="41">
        <v>-264</v>
      </c>
      <c r="M15" s="41">
        <f>-163-L15</f>
        <v>101</v>
      </c>
      <c r="N15" s="41">
        <f>-558-L15-M15</f>
        <v>-395</v>
      </c>
      <c r="O15" s="22">
        <f t="shared" ref="O15:O27" si="17">+P15-SUM(L15:N15)</f>
        <v>-282</v>
      </c>
      <c r="P15" s="43">
        <v>-840</v>
      </c>
      <c r="Q15" s="41">
        <v>92</v>
      </c>
      <c r="R15" s="41">
        <f>62-Q15</f>
        <v>-30</v>
      </c>
      <c r="S15" s="41">
        <f>10-Q15-R15</f>
        <v>-52</v>
      </c>
      <c r="T15" s="22">
        <f t="shared" ref="T15:T27" si="18">+U15-SUM(Q15:S15)</f>
        <v>-805</v>
      </c>
      <c r="U15" s="43">
        <v>-795</v>
      </c>
      <c r="V15" s="41">
        <v>206</v>
      </c>
      <c r="W15" s="41">
        <f>588-V15</f>
        <v>382</v>
      </c>
      <c r="X15" s="41">
        <f>315-V15-W15</f>
        <v>-273</v>
      </c>
      <c r="Y15" s="22">
        <f t="shared" ref="Y15:Y27" si="19">+Z15-SUM(V15:X15)</f>
        <v>288</v>
      </c>
      <c r="Z15" s="43">
        <v>603</v>
      </c>
      <c r="AA15" s="41">
        <v>-54</v>
      </c>
      <c r="AB15" s="41">
        <f>143-AA15</f>
        <v>197</v>
      </c>
      <c r="AC15" s="41">
        <f>125-AA15-AB15</f>
        <v>-18</v>
      </c>
      <c r="AD15" s="22">
        <f t="shared" ref="AD15:AD22" si="20">+AE15-SUM(AA15:AC15)</f>
        <v>784</v>
      </c>
      <c r="AE15" s="43">
        <v>909</v>
      </c>
      <c r="AF15" s="41">
        <v>-394</v>
      </c>
      <c r="AG15" s="41">
        <f>-523-AF15</f>
        <v>-129</v>
      </c>
      <c r="AH15" s="41">
        <f>-280-AG15-AF15</f>
        <v>243</v>
      </c>
      <c r="AI15" s="22">
        <f t="shared" ref="AI15:AI22" si="21">+AJ15-SUM(AF15:AH15)</f>
        <v>-433</v>
      </c>
      <c r="AJ15" s="43">
        <v>-713</v>
      </c>
      <c r="AK15" s="41">
        <v>237</v>
      </c>
      <c r="AL15" s="41">
        <f>-350-AK15</f>
        <v>-587</v>
      </c>
      <c r="AM15" s="41">
        <f>-22-AL15-AK15</f>
        <v>328</v>
      </c>
      <c r="AN15" s="22">
        <f t="shared" ref="AN15:AN22" si="22">+AO15-SUM(AK15:AM15)</f>
        <v>164</v>
      </c>
      <c r="AO15" s="43">
        <v>142</v>
      </c>
      <c r="AP15" s="41">
        <v>-341</v>
      </c>
      <c r="AQ15" s="41">
        <f>-433-AP15</f>
        <v>-92</v>
      </c>
      <c r="AR15" s="41">
        <f>-523-AQ15-AP15</f>
        <v>-90</v>
      </c>
      <c r="AS15" s="22">
        <f t="shared" ref="AS15:AS22" si="23">+AT15-SUM(AP15:AR15)</f>
        <v>395</v>
      </c>
      <c r="AT15" s="43">
        <v>-128</v>
      </c>
      <c r="AU15" s="41">
        <v>-328</v>
      </c>
      <c r="AV15" s="41">
        <f>-522-AU15</f>
        <v>-194</v>
      </c>
      <c r="AW15" s="41">
        <f>-275-AV15-AU15</f>
        <v>247</v>
      </c>
      <c r="AX15" s="22">
        <f t="shared" ref="AX15:AX22" si="24">+AY15-SUM(AU15:AW15)</f>
        <v>238</v>
      </c>
      <c r="AY15" s="43">
        <v>-37</v>
      </c>
      <c r="AZ15" s="41">
        <v>-570</v>
      </c>
      <c r="BA15" s="41">
        <f>-683-AZ15</f>
        <v>-113</v>
      </c>
      <c r="BB15" s="41">
        <f>-836-BA15-AZ15</f>
        <v>-153</v>
      </c>
      <c r="BC15" s="22">
        <f t="shared" ref="BC15:BC22" si="25">+BD15-SUM(AZ15:BB15)</f>
        <v>741</v>
      </c>
      <c r="BD15" s="43">
        <v>-95</v>
      </c>
      <c r="BE15" s="37">
        <f>(Balance_Sheet_Qtr!BD8-Balance_Sheet_Qtr!BE8)</f>
        <v>-335.24037682920425</v>
      </c>
      <c r="BF15" s="37">
        <f>(Balance_Sheet_Qtr!BE8-Balance_Sheet_Qtr!BF8)</f>
        <v>-165.5396960665139</v>
      </c>
      <c r="BG15" s="37">
        <f>(Balance_Sheet_Qtr!BF8-Balance_Sheet_Qtr!BG8)</f>
        <v>125.16709332678829</v>
      </c>
      <c r="BH15" s="37">
        <f>(Balance_Sheet_Qtr!BG8-Balance_Sheet_Qtr!BH8)</f>
        <v>428.09991011734883</v>
      </c>
      <c r="BI15" s="23">
        <f t="shared" ref="BI15:BI21" si="26">SUM(BE15:BH15)</f>
        <v>52.486930548418968</v>
      </c>
      <c r="BK15" s="109"/>
      <c r="BL15" s="109"/>
      <c r="BZ15" s="109"/>
    </row>
    <row r="16" spans="1:78">
      <c r="A16" s="3" t="s">
        <v>439</v>
      </c>
      <c r="B16" s="41">
        <v>0</v>
      </c>
      <c r="C16" s="41">
        <f>0-B16</f>
        <v>0</v>
      </c>
      <c r="D16" s="41">
        <f>0-B16-C16</f>
        <v>0</v>
      </c>
      <c r="E16" s="22">
        <f t="shared" si="15"/>
        <v>0</v>
      </c>
      <c r="F16" s="43">
        <v>0</v>
      </c>
      <c r="G16" s="41">
        <v>0</v>
      </c>
      <c r="H16" s="41">
        <f>0-G16</f>
        <v>0</v>
      </c>
      <c r="I16" s="41">
        <f>0-G16-H16</f>
        <v>0</v>
      </c>
      <c r="J16" s="22">
        <f t="shared" si="16"/>
        <v>0</v>
      </c>
      <c r="K16" s="43">
        <v>0</v>
      </c>
      <c r="L16" s="41">
        <v>-568</v>
      </c>
      <c r="M16" s="41">
        <f>-950-L16</f>
        <v>-382</v>
      </c>
      <c r="N16" s="41">
        <f>-1805-L16-M16</f>
        <v>-855</v>
      </c>
      <c r="O16" s="22">
        <f t="shared" si="17"/>
        <v>205</v>
      </c>
      <c r="P16" s="43">
        <v>-1600</v>
      </c>
      <c r="Q16" s="41">
        <v>-1628</v>
      </c>
      <c r="R16" s="41">
        <f>-1675-Q16</f>
        <v>-47</v>
      </c>
      <c r="S16" s="41">
        <f>-1732-Q16-R16</f>
        <v>-57</v>
      </c>
      <c r="T16" s="22">
        <f t="shared" si="18"/>
        <v>-94</v>
      </c>
      <c r="U16" s="43">
        <v>-1826</v>
      </c>
      <c r="V16" s="41">
        <v>-183</v>
      </c>
      <c r="W16" s="41">
        <f>-222-V16</f>
        <v>-39</v>
      </c>
      <c r="X16" s="41">
        <f>-1053-V16-W16</f>
        <v>-831</v>
      </c>
      <c r="Y16" s="22">
        <f t="shared" si="19"/>
        <v>2035</v>
      </c>
      <c r="Z16" s="43">
        <v>982</v>
      </c>
      <c r="AA16" s="41">
        <v>-402</v>
      </c>
      <c r="AB16" s="41">
        <f>285-AA16</f>
        <v>687</v>
      </c>
      <c r="AC16" s="41">
        <f>56-AA16-AB16</f>
        <v>-229</v>
      </c>
      <c r="AD16" s="22">
        <f t="shared" si="20"/>
        <v>863</v>
      </c>
      <c r="AE16" s="43">
        <v>919</v>
      </c>
      <c r="AF16" s="41">
        <v>-790</v>
      </c>
      <c r="AG16" s="41">
        <f>-1207-AF16</f>
        <v>-417</v>
      </c>
      <c r="AH16" s="41">
        <f>-2010-AG16-AF16</f>
        <v>-803</v>
      </c>
      <c r="AI16" s="22">
        <f t="shared" si="21"/>
        <v>1424</v>
      </c>
      <c r="AJ16" s="43">
        <v>-586</v>
      </c>
      <c r="AK16" s="41">
        <v>-356</v>
      </c>
      <c r="AL16" s="41">
        <f>-758-AK16</f>
        <v>-402</v>
      </c>
      <c r="AM16" s="41">
        <f>-678-AL16-AK16</f>
        <v>80</v>
      </c>
      <c r="AN16" s="22">
        <f t="shared" si="22"/>
        <v>684</v>
      </c>
      <c r="AO16" s="43">
        <v>6</v>
      </c>
      <c r="AP16" s="41">
        <v>-1055</v>
      </c>
      <c r="AQ16" s="41">
        <f>-721-AP16</f>
        <v>334</v>
      </c>
      <c r="AR16" s="41">
        <f>-547-AQ16-AP16</f>
        <v>174</v>
      </c>
      <c r="AS16" s="22">
        <f t="shared" si="23"/>
        <v>868</v>
      </c>
      <c r="AT16" s="43">
        <v>321</v>
      </c>
      <c r="AU16" s="41">
        <v>-1357</v>
      </c>
      <c r="AV16" s="41">
        <f>-1345-AU16</f>
        <v>12</v>
      </c>
      <c r="AW16" s="41">
        <f>-1042-AV16-AU16</f>
        <v>303</v>
      </c>
      <c r="AX16" s="22">
        <f t="shared" si="24"/>
        <v>982</v>
      </c>
      <c r="AY16" s="43">
        <v>-60</v>
      </c>
      <c r="AZ16" s="41">
        <v>-671</v>
      </c>
      <c r="BA16" s="41">
        <f>-908-AZ16</f>
        <v>-237</v>
      </c>
      <c r="BB16" s="41">
        <f>-679-BA16-AZ16</f>
        <v>229</v>
      </c>
      <c r="BC16" s="22">
        <f t="shared" si="25"/>
        <v>2</v>
      </c>
      <c r="BD16" s="43">
        <v>-677</v>
      </c>
      <c r="BE16" s="37">
        <f>(Balance_Sheet_Qtr!BD9-Balance_Sheet_Qtr!BE9)</f>
        <v>-339.36776575184558</v>
      </c>
      <c r="BF16" s="37">
        <f>(Balance_Sheet_Qtr!BE9-Balance_Sheet_Qtr!BF9)</f>
        <v>-83.616438356164508</v>
      </c>
      <c r="BG16" s="37">
        <f>(Balance_Sheet_Qtr!BF9-Balance_Sheet_Qtr!BG9)</f>
        <v>103.22188784733589</v>
      </c>
      <c r="BH16" s="37">
        <f>(Balance_Sheet_Qtr!BG9-Balance_Sheet_Qtr!BH9)</f>
        <v>667.32931723081856</v>
      </c>
      <c r="BI16" s="23">
        <f t="shared" si="26"/>
        <v>347.56700097014436</v>
      </c>
      <c r="BK16" s="109"/>
      <c r="BL16" s="109"/>
      <c r="BZ16" s="109"/>
    </row>
    <row r="17" spans="1:78">
      <c r="A17" s="3" t="s">
        <v>248</v>
      </c>
      <c r="B17" s="41">
        <v>0</v>
      </c>
      <c r="C17" s="41">
        <f>0-B17</f>
        <v>0</v>
      </c>
      <c r="D17" s="41">
        <f>0-B17-C17</f>
        <v>0</v>
      </c>
      <c r="E17" s="22">
        <f t="shared" si="15"/>
        <v>0</v>
      </c>
      <c r="F17" s="43">
        <v>0</v>
      </c>
      <c r="G17" s="41">
        <v>0</v>
      </c>
      <c r="H17" s="41">
        <f>0-G17</f>
        <v>0</v>
      </c>
      <c r="I17" s="41">
        <f>0-G17-H17</f>
        <v>0</v>
      </c>
      <c r="J17" s="22">
        <f t="shared" si="16"/>
        <v>0</v>
      </c>
      <c r="K17" s="43">
        <v>0</v>
      </c>
      <c r="L17" s="41">
        <v>1375</v>
      </c>
      <c r="M17" s="41">
        <f>3916-L17</f>
        <v>2541</v>
      </c>
      <c r="N17" s="41">
        <f>4714-L17-M17</f>
        <v>798</v>
      </c>
      <c r="O17" s="22">
        <f t="shared" si="17"/>
        <v>-14</v>
      </c>
      <c r="P17" s="43">
        <v>4700</v>
      </c>
      <c r="Q17" s="41">
        <v>1917</v>
      </c>
      <c r="R17" s="41">
        <f>2931-Q17</f>
        <v>1014</v>
      </c>
      <c r="S17" s="41">
        <f>3457-Q17-R17</f>
        <v>526</v>
      </c>
      <c r="T17" s="22">
        <f t="shared" si="18"/>
        <v>-821</v>
      </c>
      <c r="U17" s="43">
        <v>2636</v>
      </c>
      <c r="V17" s="41">
        <v>1857</v>
      </c>
      <c r="W17" s="41">
        <f>1842-V17</f>
        <v>-15</v>
      </c>
      <c r="X17" s="41">
        <f>2355-V17-W17</f>
        <v>513</v>
      </c>
      <c r="Y17" s="22">
        <f t="shared" si="19"/>
        <v>-1618</v>
      </c>
      <c r="Z17" s="43">
        <v>737</v>
      </c>
      <c r="AA17" s="41">
        <v>1337</v>
      </c>
      <c r="AB17" s="41">
        <f>1822-AA17</f>
        <v>485</v>
      </c>
      <c r="AC17" s="41">
        <f>428-AA17-AB17</f>
        <v>-1394</v>
      </c>
      <c r="AD17" s="22">
        <f t="shared" si="20"/>
        <v>-1488</v>
      </c>
      <c r="AE17" s="43">
        <v>-1060</v>
      </c>
      <c r="AF17" s="41">
        <v>421</v>
      </c>
      <c r="AG17" s="41">
        <f>251-AF17</f>
        <v>-170</v>
      </c>
      <c r="AH17" s="41">
        <f>781-AG17-AF17</f>
        <v>530</v>
      </c>
      <c r="AI17" s="22">
        <f t="shared" si="21"/>
        <v>1724</v>
      </c>
      <c r="AJ17" s="43">
        <v>2505</v>
      </c>
      <c r="AK17" s="41">
        <v>-522</v>
      </c>
      <c r="AL17" s="41">
        <f>-907-AK17</f>
        <v>-385</v>
      </c>
      <c r="AM17" s="41">
        <f>204-AL17-AK17</f>
        <v>1111</v>
      </c>
      <c r="AN17" s="22">
        <f t="shared" si="22"/>
        <v>-96</v>
      </c>
      <c r="AO17" s="43">
        <v>108</v>
      </c>
      <c r="AP17" s="41">
        <v>1417</v>
      </c>
      <c r="AQ17" s="41">
        <f>2228-AP17</f>
        <v>811</v>
      </c>
      <c r="AR17" s="41">
        <f>2963-AQ17-AP17</f>
        <v>735</v>
      </c>
      <c r="AS17" s="22">
        <f t="shared" si="23"/>
        <v>402</v>
      </c>
      <c r="AT17" s="43">
        <v>3365</v>
      </c>
      <c r="AU17" s="41">
        <v>2718</v>
      </c>
      <c r="AV17" s="41">
        <f>1886-AU17</f>
        <v>-832</v>
      </c>
      <c r="AW17" s="41">
        <f>1666-AV17-AU17</f>
        <v>-220</v>
      </c>
      <c r="AX17" s="22">
        <f t="shared" si="24"/>
        <v>2403</v>
      </c>
      <c r="AY17" s="43">
        <v>4069</v>
      </c>
      <c r="AZ17" s="41">
        <v>781</v>
      </c>
      <c r="BA17" s="41">
        <f>-616-AZ17</f>
        <v>-1397</v>
      </c>
      <c r="BB17" s="41">
        <f>-2065-BA17-AZ17</f>
        <v>-1449</v>
      </c>
      <c r="BC17" s="22">
        <f t="shared" si="25"/>
        <v>1342</v>
      </c>
      <c r="BD17" s="43">
        <v>-723</v>
      </c>
      <c r="BE17" s="37">
        <f>(Balance_Sheet_Qtr!BE33-Balance_Sheet_Qtr!BD33)</f>
        <v>0</v>
      </c>
      <c r="BF17" s="37">
        <f>(Balance_Sheet_Qtr!BF33-Balance_Sheet_Qtr!BE33)</f>
        <v>0</v>
      </c>
      <c r="BG17" s="37">
        <f>(Balance_Sheet_Qtr!BG33-Balance_Sheet_Qtr!BF33)</f>
        <v>0</v>
      </c>
      <c r="BH17" s="37">
        <f>(Balance_Sheet_Qtr!BH33-Balance_Sheet_Qtr!BG33)</f>
        <v>-189.06323943661118</v>
      </c>
      <c r="BI17" s="23">
        <f t="shared" si="26"/>
        <v>-189.06323943661118</v>
      </c>
      <c r="BJ17" s="581"/>
      <c r="BK17" s="109"/>
      <c r="BL17" s="109"/>
      <c r="BZ17" s="109"/>
    </row>
    <row r="18" spans="1:78">
      <c r="A18" s="3" t="s">
        <v>21</v>
      </c>
      <c r="B18" s="41">
        <v>-1822</v>
      </c>
      <c r="C18" s="41">
        <f>-2395-B18</f>
        <v>-573</v>
      </c>
      <c r="D18" s="41">
        <f>-2186-B18-C18</f>
        <v>209</v>
      </c>
      <c r="E18" s="22">
        <f t="shared" si="15"/>
        <v>1076</v>
      </c>
      <c r="F18" s="43">
        <v>-1110</v>
      </c>
      <c r="G18" s="41">
        <v>-56</v>
      </c>
      <c r="H18" s="41">
        <f>3004-G18</f>
        <v>3060</v>
      </c>
      <c r="I18" s="41">
        <f>4334-G18-H18</f>
        <v>1330</v>
      </c>
      <c r="J18" s="22">
        <f t="shared" si="16"/>
        <v>-579</v>
      </c>
      <c r="K18" s="43">
        <v>3755</v>
      </c>
      <c r="L18" s="41">
        <v>-1491</v>
      </c>
      <c r="M18" s="41">
        <f>-1036-L18</f>
        <v>455</v>
      </c>
      <c r="N18" s="41">
        <f>-800-L18-M18</f>
        <v>236</v>
      </c>
      <c r="O18" s="22">
        <f t="shared" si="17"/>
        <v>-603</v>
      </c>
      <c r="P18" s="43">
        <v>-1403</v>
      </c>
      <c r="Q18" s="41">
        <v>283</v>
      </c>
      <c r="R18" s="41">
        <f>408-Q18</f>
        <v>125</v>
      </c>
      <c r="S18" s="41">
        <f>-173-Q18-R18</f>
        <v>-581</v>
      </c>
      <c r="T18" s="22">
        <f t="shared" si="18"/>
        <v>741</v>
      </c>
      <c r="U18" s="43">
        <v>568</v>
      </c>
      <c r="V18" s="41">
        <v>-2725</v>
      </c>
      <c r="W18" s="41">
        <f>-5233-V18</f>
        <v>-2508</v>
      </c>
      <c r="X18" s="41">
        <f>-9565-V18-W18</f>
        <v>-4332</v>
      </c>
      <c r="Y18" s="22">
        <f t="shared" si="19"/>
        <v>-2826</v>
      </c>
      <c r="Z18" s="43">
        <v>-12391</v>
      </c>
      <c r="AA18" s="41">
        <v>-2973</v>
      </c>
      <c r="AB18" s="41">
        <f>-6741-AA18</f>
        <v>-3768</v>
      </c>
      <c r="AC18" s="41">
        <f>-9653-AA18-AB18</f>
        <v>-2912</v>
      </c>
      <c r="AD18" s="22">
        <f t="shared" si="20"/>
        <v>-1349</v>
      </c>
      <c r="AE18" s="43">
        <v>-11002</v>
      </c>
      <c r="AF18" s="41">
        <v>-680</v>
      </c>
      <c r="AG18" s="41">
        <f>413-AF18</f>
        <v>1093</v>
      </c>
      <c r="AH18" s="41">
        <f>508-AG18-AF18</f>
        <v>95</v>
      </c>
      <c r="AI18" s="22">
        <f t="shared" si="21"/>
        <v>-1635</v>
      </c>
      <c r="AJ18" s="43">
        <v>-1127</v>
      </c>
      <c r="AK18" s="41">
        <v>-1203</v>
      </c>
      <c r="AL18" s="41">
        <f>-1260-AK18</f>
        <v>-57</v>
      </c>
      <c r="AM18" s="41">
        <f>-1164-AL18-AK18</f>
        <v>96</v>
      </c>
      <c r="AN18" s="22">
        <f t="shared" si="22"/>
        <v>1584</v>
      </c>
      <c r="AO18" s="43">
        <v>420</v>
      </c>
      <c r="AP18" s="41">
        <v>-390</v>
      </c>
      <c r="AQ18" s="41">
        <f>-241-AP18</f>
        <v>149</v>
      </c>
      <c r="AR18" s="41">
        <f>-940-AQ18-AP18</f>
        <v>-699</v>
      </c>
      <c r="AS18" s="22">
        <f t="shared" si="23"/>
        <v>-741</v>
      </c>
      <c r="AT18" s="43">
        <v>-1681</v>
      </c>
      <c r="AU18" s="41">
        <v>-3778</v>
      </c>
      <c r="AV18" s="41">
        <f>-5937-AU18</f>
        <v>-2159</v>
      </c>
      <c r="AW18" s="41">
        <f>-6854-AV18-AU18</f>
        <v>-917</v>
      </c>
      <c r="AX18" s="22">
        <f t="shared" si="24"/>
        <v>-5499</v>
      </c>
      <c r="AY18" s="43">
        <v>-12353</v>
      </c>
      <c r="AZ18" s="41">
        <v>-1521</v>
      </c>
      <c r="BA18" s="41">
        <f>-374-AZ18</f>
        <v>1147</v>
      </c>
      <c r="BB18" s="41">
        <f>-116-BA18-AZ18</f>
        <v>258</v>
      </c>
      <c r="BC18" s="22">
        <f t="shared" si="25"/>
        <v>-1385</v>
      </c>
      <c r="BD18" s="43">
        <v>-1501</v>
      </c>
      <c r="BE18" s="37">
        <f ca="1">(Balance_Sheet_Qtr!BD12-Balance_Sheet_Qtr!BE12)</f>
        <v>14.6875</v>
      </c>
      <c r="BF18" s="37">
        <f ca="1">(Balance_Sheet_Qtr!BE12-Balance_Sheet_Qtr!BF12)</f>
        <v>262.6875</v>
      </c>
      <c r="BG18" s="37">
        <f ca="1">(Balance_Sheet_Qtr!BF12-Balance_Sheet_Qtr!BG12)</f>
        <v>810.6875</v>
      </c>
      <c r="BH18" s="37">
        <f ca="1">(Balance_Sheet_Qtr!BG12-Balance_Sheet_Qtr!BH12)</f>
        <v>822.6875</v>
      </c>
      <c r="BI18" s="23">
        <f t="shared" ca="1" si="26"/>
        <v>1910.75</v>
      </c>
      <c r="BJ18" s="13"/>
      <c r="BK18" s="109"/>
      <c r="BL18" s="109"/>
      <c r="BZ18" s="109"/>
    </row>
    <row r="19" spans="1:78">
      <c r="A19" s="3" t="s">
        <v>83</v>
      </c>
      <c r="B19" s="41">
        <v>0</v>
      </c>
      <c r="C19" s="41">
        <f>0-B19</f>
        <v>0</v>
      </c>
      <c r="D19" s="41">
        <f>0-B19-C19</f>
        <v>0</v>
      </c>
      <c r="E19" s="22">
        <f t="shared" si="15"/>
        <v>0</v>
      </c>
      <c r="F19" s="43">
        <v>0</v>
      </c>
      <c r="G19" s="41">
        <v>0</v>
      </c>
      <c r="H19" s="41">
        <f>0-G19</f>
        <v>0</v>
      </c>
      <c r="I19" s="41">
        <f>0-G19-H19</f>
        <v>0</v>
      </c>
      <c r="J19" s="22">
        <f t="shared" si="16"/>
        <v>0</v>
      </c>
      <c r="K19" s="43">
        <v>0</v>
      </c>
      <c r="L19" s="41">
        <v>-117</v>
      </c>
      <c r="M19" s="41">
        <f>-148-L19</f>
        <v>-31</v>
      </c>
      <c r="N19" s="41">
        <f>-337-L19-M19</f>
        <v>-189</v>
      </c>
      <c r="O19" s="22">
        <f t="shared" si="17"/>
        <v>318</v>
      </c>
      <c r="P19" s="43">
        <v>-19</v>
      </c>
      <c r="Q19" s="41">
        <v>-103</v>
      </c>
      <c r="R19" s="41">
        <f>2-Q19</f>
        <v>105</v>
      </c>
      <c r="S19" s="41">
        <f>-5-Q19-R19</f>
        <v>-7</v>
      </c>
      <c r="T19" s="22">
        <f t="shared" si="18"/>
        <v>103</v>
      </c>
      <c r="U19" s="43">
        <v>98</v>
      </c>
      <c r="V19" s="41">
        <v>164</v>
      </c>
      <c r="W19" s="41">
        <f>-887-V19</f>
        <v>-1051</v>
      </c>
      <c r="X19" s="41">
        <f>-224-V19-W19</f>
        <v>663</v>
      </c>
      <c r="Y19" s="22">
        <f t="shared" si="19"/>
        <v>-458</v>
      </c>
      <c r="Z19" s="43">
        <v>-682</v>
      </c>
      <c r="AA19" s="41">
        <v>328</v>
      </c>
      <c r="AB19" s="41">
        <f>433-AA19</f>
        <v>105</v>
      </c>
      <c r="AC19" s="41">
        <f>319-AA19-AB19</f>
        <v>-114</v>
      </c>
      <c r="AD19" s="22">
        <f t="shared" si="20"/>
        <v>53</v>
      </c>
      <c r="AE19" s="43">
        <v>372</v>
      </c>
      <c r="AF19" s="41">
        <v>153</v>
      </c>
      <c r="AG19" s="41">
        <f>324-AF19</f>
        <v>171</v>
      </c>
      <c r="AH19" s="41">
        <f>279-AG19-AF19</f>
        <v>-45</v>
      </c>
      <c r="AI19" s="22">
        <f t="shared" si="21"/>
        <v>66</v>
      </c>
      <c r="AJ19" s="43">
        <v>345</v>
      </c>
      <c r="AK19" s="41">
        <v>140</v>
      </c>
      <c r="AL19" s="41">
        <f>144-AK19</f>
        <v>4</v>
      </c>
      <c r="AM19" s="41">
        <f>-860-AL19-AK19</f>
        <v>-1004</v>
      </c>
      <c r="AN19" s="22">
        <f t="shared" si="22"/>
        <v>269</v>
      </c>
      <c r="AO19" s="43">
        <v>-591</v>
      </c>
      <c r="AP19" s="41">
        <v>82</v>
      </c>
      <c r="AQ19" s="41">
        <f>313-AP19</f>
        <v>231</v>
      </c>
      <c r="AR19" s="41">
        <f>707-AQ19-AP19</f>
        <v>394</v>
      </c>
      <c r="AS19" s="22">
        <f t="shared" si="23"/>
        <v>-318</v>
      </c>
      <c r="AT19" s="43">
        <v>389</v>
      </c>
      <c r="AU19" s="41">
        <v>-249</v>
      </c>
      <c r="AV19" s="41">
        <f>-320-AU19</f>
        <v>-71</v>
      </c>
      <c r="AW19" s="41">
        <f>-26-AV19-AU19</f>
        <v>294</v>
      </c>
      <c r="AX19" s="22">
        <f t="shared" si="24"/>
        <v>10</v>
      </c>
      <c r="AY19" s="43">
        <v>-16</v>
      </c>
      <c r="AZ19" s="41">
        <v>-29</v>
      </c>
      <c r="BA19" s="41">
        <f>265-AZ19</f>
        <v>294</v>
      </c>
      <c r="BB19" s="41">
        <f>227-BA19-AZ19</f>
        <v>-38</v>
      </c>
      <c r="BC19" s="22">
        <f t="shared" si="25"/>
        <v>-72</v>
      </c>
      <c r="BD19" s="43">
        <v>155</v>
      </c>
      <c r="BE19" s="37">
        <f>Balance_Sheet_Qtr!BD14-Balance_Sheet_Qtr!BE14</f>
        <v>-223.79160631398895</v>
      </c>
      <c r="BF19" s="37">
        <f>Balance_Sheet_Qtr!BE14-Balance_Sheet_Qtr!BF14</f>
        <v>-15.69600000000014</v>
      </c>
      <c r="BG19" s="37">
        <f>Balance_Sheet_Qtr!BF14-Balance_Sheet_Qtr!BG14</f>
        <v>-6.4079999999999018</v>
      </c>
      <c r="BH19" s="37">
        <f>Balance_Sheet_Qtr!BG14-Balance_Sheet_Qtr!BH14</f>
        <v>309.17093438566462</v>
      </c>
      <c r="BI19" s="23">
        <f t="shared" si="26"/>
        <v>63.275328071675631</v>
      </c>
      <c r="BK19" s="109"/>
      <c r="BL19" s="109"/>
      <c r="BZ19" s="109"/>
    </row>
    <row r="20" spans="1:78">
      <c r="A20" s="3" t="s">
        <v>69</v>
      </c>
      <c r="B20" s="41">
        <v>848</v>
      </c>
      <c r="C20" s="41">
        <f>888-B20</f>
        <v>40</v>
      </c>
      <c r="D20" s="41">
        <f>1058-B20-C20</f>
        <v>170</v>
      </c>
      <c r="E20" s="22">
        <f t="shared" si="15"/>
        <v>-1296</v>
      </c>
      <c r="F20" s="43">
        <v>-238</v>
      </c>
      <c r="G20" s="41">
        <v>960</v>
      </c>
      <c r="H20" s="41">
        <f>1221-G20</f>
        <v>261</v>
      </c>
      <c r="I20" s="41">
        <f>1366-G20-H20</f>
        <v>145</v>
      </c>
      <c r="J20" s="22">
        <f t="shared" si="16"/>
        <v>-744</v>
      </c>
      <c r="K20" s="43">
        <v>622</v>
      </c>
      <c r="L20" s="41">
        <v>616</v>
      </c>
      <c r="M20" s="41">
        <f>419-L20</f>
        <v>-197</v>
      </c>
      <c r="N20" s="41">
        <f>780-L20-M20</f>
        <v>361</v>
      </c>
      <c r="O20" s="22">
        <f t="shared" si="17"/>
        <v>-650</v>
      </c>
      <c r="P20" s="43">
        <v>130</v>
      </c>
      <c r="Q20" s="41">
        <v>591</v>
      </c>
      <c r="R20" s="41">
        <f>682-Q20</f>
        <v>91</v>
      </c>
      <c r="S20" s="41">
        <f>1181-Q20-R20</f>
        <v>499</v>
      </c>
      <c r="T20" s="22">
        <f t="shared" si="18"/>
        <v>-1179</v>
      </c>
      <c r="U20" s="43">
        <v>2</v>
      </c>
      <c r="V20" s="41">
        <v>1624</v>
      </c>
      <c r="W20" s="41">
        <f>2002-V20</f>
        <v>378</v>
      </c>
      <c r="X20" s="41">
        <f>1626-V20-W20</f>
        <v>-376</v>
      </c>
      <c r="Y20" s="22">
        <f t="shared" si="19"/>
        <v>-26</v>
      </c>
      <c r="Z20" s="43">
        <v>1600</v>
      </c>
      <c r="AA20" s="41">
        <v>-1030</v>
      </c>
      <c r="AB20" s="41">
        <f>-3181-AA20</f>
        <v>-2151</v>
      </c>
      <c r="AC20" s="41">
        <f>-3303-AA20-AB20</f>
        <v>-122</v>
      </c>
      <c r="AD20" s="22">
        <f t="shared" si="20"/>
        <v>-2060</v>
      </c>
      <c r="AE20" s="43">
        <v>-5363</v>
      </c>
      <c r="AF20" s="41">
        <v>-819</v>
      </c>
      <c r="AG20" s="41">
        <f>-2035-AF20</f>
        <v>-1216</v>
      </c>
      <c r="AH20" s="41">
        <f>-3565-AG20-AF20</f>
        <v>-1530</v>
      </c>
      <c r="AI20" s="22">
        <f t="shared" si="21"/>
        <v>-218</v>
      </c>
      <c r="AJ20" s="43">
        <v>-3783</v>
      </c>
      <c r="AK20" s="41">
        <v>-369</v>
      </c>
      <c r="AL20" s="41">
        <f>395-AK20</f>
        <v>764</v>
      </c>
      <c r="AM20" s="41">
        <f>590-AL20-AK20</f>
        <v>195</v>
      </c>
      <c r="AN20" s="22">
        <f t="shared" si="22"/>
        <v>248</v>
      </c>
      <c r="AO20" s="43">
        <v>838</v>
      </c>
      <c r="AP20" s="41">
        <v>231</v>
      </c>
      <c r="AQ20" s="41">
        <f>852-AP20</f>
        <v>621</v>
      </c>
      <c r="AR20" s="41">
        <f>982-AQ20-AP20</f>
        <v>130</v>
      </c>
      <c r="AS20" s="22">
        <f t="shared" si="23"/>
        <v>690</v>
      </c>
      <c r="AT20" s="43">
        <v>1672</v>
      </c>
      <c r="AU20" s="41">
        <v>-264</v>
      </c>
      <c r="AV20" s="41">
        <f>-222-AU20</f>
        <v>42</v>
      </c>
      <c r="AW20" s="41">
        <f>122-AV20-AU20</f>
        <v>344</v>
      </c>
      <c r="AX20" s="22">
        <f t="shared" si="24"/>
        <v>-915</v>
      </c>
      <c r="AY20" s="43">
        <v>-793</v>
      </c>
      <c r="AZ20" s="41">
        <v>-95</v>
      </c>
      <c r="BA20" s="41">
        <f>-46-AZ20</f>
        <v>49</v>
      </c>
      <c r="BB20" s="41">
        <f>539-BA20-AZ20</f>
        <v>585</v>
      </c>
      <c r="BC20" s="22">
        <f t="shared" si="25"/>
        <v>185</v>
      </c>
      <c r="BD20" s="43">
        <v>724</v>
      </c>
      <c r="BE20" s="37">
        <f>(Balance_Sheet_Qtr!BE31-Balance_Sheet_Qtr!BD31)</f>
        <v>-124.74149739355016</v>
      </c>
      <c r="BF20" s="37">
        <f>(Balance_Sheet_Qtr!BF31-Balance_Sheet_Qtr!BE31)</f>
        <v>-337.35935318387783</v>
      </c>
      <c r="BG20" s="37">
        <f>(Balance_Sheet_Qtr!BG31-Balance_Sheet_Qtr!BF31)</f>
        <v>45.060821917806607</v>
      </c>
      <c r="BH20" s="37">
        <f>(Balance_Sheet_Qtr!BH31-Balance_Sheet_Qtr!BG31)</f>
        <v>831.03021321707456</v>
      </c>
      <c r="BI20" s="23">
        <f t="shared" si="26"/>
        <v>413.99018455745318</v>
      </c>
      <c r="BJ20" s="13"/>
      <c r="BK20" s="109"/>
      <c r="BL20" s="109"/>
      <c r="BZ20" s="109"/>
    </row>
    <row r="21" spans="1:78">
      <c r="A21" s="3" t="s">
        <v>249</v>
      </c>
      <c r="B21" s="41">
        <v>-900</v>
      </c>
      <c r="C21" s="41">
        <f>-177-B21</f>
        <v>723</v>
      </c>
      <c r="D21" s="41">
        <f>-196-B21-C21</f>
        <v>-19</v>
      </c>
      <c r="E21" s="22">
        <f t="shared" si="15"/>
        <v>198</v>
      </c>
      <c r="F21" s="43">
        <v>2</v>
      </c>
      <c r="G21" s="41">
        <v>-467</v>
      </c>
      <c r="H21" s="41">
        <f>-269-G21</f>
        <v>198</v>
      </c>
      <c r="I21" s="41">
        <f>82-G21-H21</f>
        <v>351</v>
      </c>
      <c r="J21" s="22">
        <f t="shared" si="16"/>
        <v>644</v>
      </c>
      <c r="K21" s="43">
        <v>726</v>
      </c>
      <c r="L21" s="41">
        <v>-282</v>
      </c>
      <c r="M21" s="41">
        <f>-570-L21</f>
        <v>-288</v>
      </c>
      <c r="N21" s="41">
        <f>-102-L21-M21</f>
        <v>468</v>
      </c>
      <c r="O21" s="22">
        <f t="shared" si="17"/>
        <v>437</v>
      </c>
      <c r="P21" s="43">
        <v>335</v>
      </c>
      <c r="Q21" s="41">
        <v>-1337</v>
      </c>
      <c r="R21" s="41">
        <f>-922-Q21</f>
        <v>415</v>
      </c>
      <c r="S21" s="41">
        <f>890-Q21-R21</f>
        <v>1812</v>
      </c>
      <c r="T21" s="22">
        <f t="shared" si="18"/>
        <v>227</v>
      </c>
      <c r="U21" s="43">
        <v>1117</v>
      </c>
      <c r="V21" s="41">
        <v>-919</v>
      </c>
      <c r="W21" s="41">
        <f>4959-V21</f>
        <v>5878</v>
      </c>
      <c r="X21" s="41">
        <f>5495-V21-W21</f>
        <v>536</v>
      </c>
      <c r="Y21" s="22">
        <f t="shared" si="19"/>
        <v>2286</v>
      </c>
      <c r="Z21" s="43">
        <v>7781</v>
      </c>
      <c r="AA21" s="41">
        <v>-583</v>
      </c>
      <c r="AB21" s="41">
        <f>514-AA21</f>
        <v>1097</v>
      </c>
      <c r="AC21" s="41">
        <f>967-AA21-AB21</f>
        <v>453</v>
      </c>
      <c r="AD21" s="22">
        <f t="shared" si="20"/>
        <v>107</v>
      </c>
      <c r="AE21" s="43">
        <v>1074</v>
      </c>
      <c r="AF21" s="41">
        <v>-1615</v>
      </c>
      <c r="AG21" s="41">
        <f>-2613-AF21</f>
        <v>-998</v>
      </c>
      <c r="AH21" s="41">
        <f>-3168-AG21-AF21</f>
        <v>-555</v>
      </c>
      <c r="AI21" s="22">
        <f t="shared" si="21"/>
        <v>-519</v>
      </c>
      <c r="AJ21" s="43">
        <v>-3687</v>
      </c>
      <c r="AK21" s="41">
        <v>-594</v>
      </c>
      <c r="AL21" s="41">
        <f>-835-AK21</f>
        <v>-241</v>
      </c>
      <c r="AM21" s="41">
        <f>2416-AL21-AK21</f>
        <v>3251</v>
      </c>
      <c r="AN21" s="22">
        <f t="shared" si="22"/>
        <v>540</v>
      </c>
      <c r="AO21" s="43">
        <v>2956</v>
      </c>
      <c r="AP21" s="41">
        <v>-769</v>
      </c>
      <c r="AQ21" s="41">
        <f>-399-AP21</f>
        <v>370</v>
      </c>
      <c r="AR21" s="41">
        <f>-574-AQ21-AP21</f>
        <v>-175</v>
      </c>
      <c r="AS21" s="22">
        <f t="shared" si="23"/>
        <v>1353</v>
      </c>
      <c r="AT21" s="43">
        <v>779</v>
      </c>
      <c r="AU21" s="41">
        <v>-666</v>
      </c>
      <c r="AV21" s="41">
        <f>-443-AU21</f>
        <v>223</v>
      </c>
      <c r="AW21" s="41">
        <f>327-AV21-AU21</f>
        <v>770</v>
      </c>
      <c r="AX21" s="22">
        <f t="shared" si="24"/>
        <v>1236</v>
      </c>
      <c r="AY21" s="43">
        <v>1563</v>
      </c>
      <c r="AZ21" s="41">
        <v>-386</v>
      </c>
      <c r="BA21" s="41">
        <f>-248-AZ21</f>
        <v>138</v>
      </c>
      <c r="BB21" s="41">
        <f>574-BA21-AZ21</f>
        <v>822</v>
      </c>
      <c r="BC21" s="22">
        <f t="shared" si="25"/>
        <v>767</v>
      </c>
      <c r="BD21" s="43">
        <v>1341</v>
      </c>
      <c r="BE21" s="37">
        <f>Balance_Sheet_Qtr!BE32-Balance_Sheet_Qtr!BD32</f>
        <v>-400</v>
      </c>
      <c r="BF21" s="37">
        <f>Balance_Sheet_Qtr!BF32-Balance_Sheet_Qtr!BE32</f>
        <v>-400</v>
      </c>
      <c r="BG21" s="37">
        <f>Balance_Sheet_Qtr!BG32-Balance_Sheet_Qtr!BF32</f>
        <v>-400</v>
      </c>
      <c r="BH21" s="37">
        <f>Balance_Sheet_Qtr!BH32-Balance_Sheet_Qtr!BG32</f>
        <v>-469</v>
      </c>
      <c r="BI21" s="23">
        <f t="shared" si="26"/>
        <v>-1669</v>
      </c>
      <c r="BJ21" s="500"/>
      <c r="BK21" s="109"/>
      <c r="BL21" s="109"/>
      <c r="BZ21" s="109"/>
    </row>
    <row r="22" spans="1:78">
      <c r="A22" s="3" t="s">
        <v>250</v>
      </c>
      <c r="B22" s="41">
        <v>-422</v>
      </c>
      <c r="C22" s="41">
        <f>195-B22</f>
        <v>617</v>
      </c>
      <c r="D22" s="41">
        <f>270-B22-C22</f>
        <v>75</v>
      </c>
      <c r="E22" s="22">
        <f t="shared" si="15"/>
        <v>922</v>
      </c>
      <c r="F22" s="43">
        <v>1192</v>
      </c>
      <c r="G22" s="41">
        <v>-435</v>
      </c>
      <c r="H22" s="41">
        <f>-954-G22</f>
        <v>-519</v>
      </c>
      <c r="I22" s="41">
        <f>-1717-G22-H22</f>
        <v>-763</v>
      </c>
      <c r="J22" s="22">
        <f t="shared" si="16"/>
        <v>1224</v>
      </c>
      <c r="K22" s="43">
        <v>-493</v>
      </c>
      <c r="L22" s="41">
        <v>0</v>
      </c>
      <c r="M22" s="41">
        <f>0-L22</f>
        <v>0</v>
      </c>
      <c r="N22" s="41">
        <f>0-L22-M22</f>
        <v>0</v>
      </c>
      <c r="O22" s="22">
        <f t="shared" si="17"/>
        <v>0</v>
      </c>
      <c r="P22" s="43">
        <v>0</v>
      </c>
      <c r="Q22" s="41">
        <v>0</v>
      </c>
      <c r="R22" s="41">
        <f>0-Q22</f>
        <v>0</v>
      </c>
      <c r="S22" s="41">
        <f>0-Q22-R22</f>
        <v>0</v>
      </c>
      <c r="T22" s="22">
        <f t="shared" si="18"/>
        <v>0</v>
      </c>
      <c r="U22" s="43">
        <v>0</v>
      </c>
      <c r="V22" s="41">
        <v>0</v>
      </c>
      <c r="W22" s="41">
        <f>0-V22</f>
        <v>0</v>
      </c>
      <c r="X22" s="41">
        <f>0-V22-W22</f>
        <v>0</v>
      </c>
      <c r="Y22" s="22">
        <f t="shared" si="19"/>
        <v>0</v>
      </c>
      <c r="Z22" s="43">
        <v>0</v>
      </c>
      <c r="AA22" s="41">
        <v>0</v>
      </c>
      <c r="AB22" s="41">
        <f>0-AA22</f>
        <v>0</v>
      </c>
      <c r="AC22" s="41">
        <f>0-AA22-AB22</f>
        <v>0</v>
      </c>
      <c r="AD22" s="22">
        <f t="shared" si="20"/>
        <v>0</v>
      </c>
      <c r="AE22" s="43">
        <v>0</v>
      </c>
      <c r="AF22" s="41">
        <v>0</v>
      </c>
      <c r="AG22" s="41">
        <f>0-AF22</f>
        <v>0</v>
      </c>
      <c r="AH22" s="41">
        <f>0-AF22-AG22</f>
        <v>0</v>
      </c>
      <c r="AI22" s="22">
        <f t="shared" si="21"/>
        <v>0</v>
      </c>
      <c r="AJ22" s="43">
        <v>0</v>
      </c>
      <c r="AK22" s="41">
        <v>0</v>
      </c>
      <c r="AL22" s="41">
        <f>0-AK22</f>
        <v>0</v>
      </c>
      <c r="AM22" s="41">
        <f>0-AK22-AL22</f>
        <v>0</v>
      </c>
      <c r="AN22" s="22">
        <f t="shared" si="22"/>
        <v>0</v>
      </c>
      <c r="AO22" s="43">
        <v>0</v>
      </c>
      <c r="AP22" s="41">
        <v>0</v>
      </c>
      <c r="AQ22" s="41">
        <f>0-AP22</f>
        <v>0</v>
      </c>
      <c r="AR22" s="41">
        <f>0-AP22-AQ22</f>
        <v>0</v>
      </c>
      <c r="AS22" s="22">
        <f t="shared" si="23"/>
        <v>0</v>
      </c>
      <c r="AT22" s="43">
        <v>0</v>
      </c>
      <c r="AU22" s="41">
        <v>0</v>
      </c>
      <c r="AV22" s="41">
        <f>0-AU22</f>
        <v>0</v>
      </c>
      <c r="AW22" s="41">
        <f>0-AU22-AV22</f>
        <v>0</v>
      </c>
      <c r="AX22" s="22">
        <f t="shared" si="24"/>
        <v>0</v>
      </c>
      <c r="AY22" s="43">
        <v>0</v>
      </c>
      <c r="AZ22" s="41">
        <v>0</v>
      </c>
      <c r="BA22" s="41">
        <f>0-AZ22</f>
        <v>0</v>
      </c>
      <c r="BB22" s="41">
        <f>0-AZ22-BA22</f>
        <v>0</v>
      </c>
      <c r="BC22" s="22">
        <f t="shared" si="25"/>
        <v>0</v>
      </c>
      <c r="BD22" s="43">
        <v>0</v>
      </c>
      <c r="BE22" s="41">
        <v>0</v>
      </c>
      <c r="BF22" s="41">
        <v>0</v>
      </c>
      <c r="BG22" s="41">
        <v>0</v>
      </c>
      <c r="BH22" s="22">
        <f t="shared" ref="BH22" si="27">+BI22-SUM(BE22:BG22)</f>
        <v>0</v>
      </c>
      <c r="BI22" s="43">
        <v>0</v>
      </c>
      <c r="BK22" s="109"/>
      <c r="BL22" s="109"/>
      <c r="BZ22" s="109"/>
    </row>
    <row r="23" spans="1:78">
      <c r="A23" s="3" t="s">
        <v>251</v>
      </c>
      <c r="B23" s="41">
        <v>443</v>
      </c>
      <c r="C23" s="41">
        <f>482-B23</f>
        <v>39</v>
      </c>
      <c r="D23" s="41">
        <f>824-B23-C23</f>
        <v>342</v>
      </c>
      <c r="E23" s="22">
        <f>+F23-SUM(B23:D23)</f>
        <v>-347</v>
      </c>
      <c r="F23" s="43">
        <v>477</v>
      </c>
      <c r="G23" s="41">
        <v>273</v>
      </c>
      <c r="H23" s="41">
        <f>-494-G23</f>
        <v>-767</v>
      </c>
      <c r="I23" s="41">
        <f>-725-G23-H23</f>
        <v>-231</v>
      </c>
      <c r="J23" s="22">
        <f>+K23-SUM(G23:I23)</f>
        <v>-85</v>
      </c>
      <c r="K23" s="43">
        <v>-810</v>
      </c>
      <c r="L23" s="41">
        <v>552</v>
      </c>
      <c r="M23" s="41">
        <f>774-L23</f>
        <v>222</v>
      </c>
      <c r="N23" s="41">
        <f>1507-L23-M23</f>
        <v>733</v>
      </c>
      <c r="O23" s="22">
        <f>+P23-SUM(L23:N23)</f>
        <v>-851</v>
      </c>
      <c r="P23" s="43">
        <v>656</v>
      </c>
      <c r="Q23" s="41">
        <v>348</v>
      </c>
      <c r="R23" s="41">
        <f>269-Q23</f>
        <v>-79</v>
      </c>
      <c r="S23" s="41">
        <f>-252-Q23-R23</f>
        <v>-521</v>
      </c>
      <c r="T23" s="22">
        <f>+U23-SUM(Q23:S23)</f>
        <v>72</v>
      </c>
      <c r="U23" s="43">
        <v>-180</v>
      </c>
      <c r="V23" s="41">
        <v>116</v>
      </c>
      <c r="W23" s="41">
        <f>-921-V23</f>
        <v>-1037</v>
      </c>
      <c r="X23" s="41">
        <f>-989-V23-W23</f>
        <v>-68</v>
      </c>
      <c r="Y23" s="22">
        <f>+Z23-SUM(V23:X23)</f>
        <v>-1487</v>
      </c>
      <c r="Z23" s="43">
        <v>-2476</v>
      </c>
      <c r="AA23" s="41">
        <v>-892</v>
      </c>
      <c r="AB23" s="41">
        <f>-1894-AA23</f>
        <v>-1002</v>
      </c>
      <c r="AC23" s="41">
        <f>-2404-AA23-AB23</f>
        <v>-510</v>
      </c>
      <c r="AD23" s="22">
        <f>+AE23-SUM(AA23:AC23)</f>
        <v>-172</v>
      </c>
      <c r="AE23" s="43">
        <v>-2576</v>
      </c>
      <c r="AF23" s="41">
        <v>-34</v>
      </c>
      <c r="AG23" s="41">
        <f>-130-AF23</f>
        <v>-96</v>
      </c>
      <c r="AH23" s="41">
        <f>1011-AG23-AF23</f>
        <v>1141</v>
      </c>
      <c r="AI23" s="22">
        <f>+AJ23-SUM(AF23:AH23)</f>
        <v>-278</v>
      </c>
      <c r="AJ23" s="43">
        <v>733</v>
      </c>
      <c r="AK23" s="41">
        <v>-403</v>
      </c>
      <c r="AL23" s="41">
        <f>-238-AK23</f>
        <v>165</v>
      </c>
      <c r="AM23" s="41">
        <f>1382-AL23-AK23</f>
        <v>1620</v>
      </c>
      <c r="AN23" s="22">
        <f>+AO23-SUM(AK23:AM23)</f>
        <v>-35</v>
      </c>
      <c r="AO23" s="43">
        <v>1347</v>
      </c>
      <c r="AP23" s="41">
        <v>-122</v>
      </c>
      <c r="AQ23" s="41">
        <f>-424-AP23</f>
        <v>-302</v>
      </c>
      <c r="AR23" s="41">
        <f>73-AQ23-AP23</f>
        <v>497</v>
      </c>
      <c r="AS23" s="22">
        <f>+AT23-SUM(AP23:AR23)</f>
        <v>-29</v>
      </c>
      <c r="AT23" s="43">
        <v>44</v>
      </c>
      <c r="AU23" s="41">
        <v>-59</v>
      </c>
      <c r="AV23" s="41">
        <f>-188-AU23</f>
        <v>-129</v>
      </c>
      <c r="AW23" s="41">
        <f>-282-AV23-AU23</f>
        <v>-94</v>
      </c>
      <c r="AX23" s="22">
        <f>+AY23-SUM(AU23:AW23)</f>
        <v>-285</v>
      </c>
      <c r="AY23" s="43">
        <v>-567</v>
      </c>
      <c r="AZ23" s="41">
        <v>26</v>
      </c>
      <c r="BA23" s="41">
        <f>-3-AZ23</f>
        <v>-29</v>
      </c>
      <c r="BB23" s="41">
        <f>93-BA23-AZ23</f>
        <v>96</v>
      </c>
      <c r="BC23" s="22">
        <f>+BD23-SUM(AZ23:BB23)</f>
        <v>22</v>
      </c>
      <c r="BD23" s="43">
        <v>115</v>
      </c>
      <c r="BE23" s="37">
        <f>(Balance_Sheet_Qtr!BD11-Balance_Sheet_Qtr!BE11)+(Balance_Sheet_Qtr!BD22-Balance_Sheet_Qtr!BE22)+(Balance_Sheet_Qtr!BE35-Balance_Sheet_Qtr!BD35)+(Balance_Sheet_Qtr!BE43-Balance_Sheet_Qtr!BD43)</f>
        <v>0</v>
      </c>
      <c r="BF23" s="37">
        <f>(Balance_Sheet_Qtr!BE11-Balance_Sheet_Qtr!BF11)+(Balance_Sheet_Qtr!BE22-Balance_Sheet_Qtr!BF22)+(Balance_Sheet_Qtr!BF35-Balance_Sheet_Qtr!BE35)+(Balance_Sheet_Qtr!BF43-Balance_Sheet_Qtr!BE43)</f>
        <v>0</v>
      </c>
      <c r="BG23" s="37">
        <f>(Balance_Sheet_Qtr!BF11-Balance_Sheet_Qtr!BG11)+(Balance_Sheet_Qtr!BF22-Balance_Sheet_Qtr!BG22)+(Balance_Sheet_Qtr!BG35-Balance_Sheet_Qtr!BF35)+(Balance_Sheet_Qtr!BG43-Balance_Sheet_Qtr!BF43)</f>
        <v>0</v>
      </c>
      <c r="BH23" s="37">
        <f>(Balance_Sheet_Qtr!BG11-Balance_Sheet_Qtr!BH11)+(Balance_Sheet_Qtr!BG22-Balance_Sheet_Qtr!BH22)+(Balance_Sheet_Qtr!BH35-Balance_Sheet_Qtr!BG35)+(Balance_Sheet_Qtr!BH43-Balance_Sheet_Qtr!BG43)</f>
        <v>0</v>
      </c>
      <c r="BI23" s="23">
        <f>SUM(BE23:BH23)</f>
        <v>0</v>
      </c>
      <c r="BJ23" s="13"/>
      <c r="BK23" s="109"/>
      <c r="BL23" s="109"/>
      <c r="BZ23" s="109"/>
    </row>
    <row r="24" spans="1:78">
      <c r="A24" s="3" t="s">
        <v>252</v>
      </c>
      <c r="B24" s="41">
        <v>-82</v>
      </c>
      <c r="C24" s="41">
        <f>-17-B24</f>
        <v>65</v>
      </c>
      <c r="D24" s="41">
        <f>40-B24-C24</f>
        <v>57</v>
      </c>
      <c r="E24" s="22">
        <f>+F24-SUM(B24:D24)</f>
        <v>6</v>
      </c>
      <c r="F24" s="43">
        <v>46</v>
      </c>
      <c r="G24" s="41">
        <v>-116</v>
      </c>
      <c r="H24" s="41">
        <f>-103-G24</f>
        <v>13</v>
      </c>
      <c r="I24" s="41">
        <f>-67-G24-H24</f>
        <v>36</v>
      </c>
      <c r="J24" s="22">
        <f>+K24-SUM(G24:I24)</f>
        <v>-1</v>
      </c>
      <c r="K24" s="43">
        <v>-68</v>
      </c>
      <c r="L24" s="41">
        <v>-72</v>
      </c>
      <c r="M24" s="41">
        <f>-18-L24</f>
        <v>54</v>
      </c>
      <c r="N24" s="41">
        <f>25-L24-M24</f>
        <v>43</v>
      </c>
      <c r="O24" s="22">
        <f>+P24-SUM(L24:N24)</f>
        <v>69</v>
      </c>
      <c r="P24" s="43">
        <v>94</v>
      </c>
      <c r="Q24" s="41">
        <v>-243</v>
      </c>
      <c r="R24" s="41">
        <f>-65-Q24</f>
        <v>178</v>
      </c>
      <c r="S24" s="41">
        <f>1-Q24-R24</f>
        <v>66</v>
      </c>
      <c r="T24" s="22">
        <f>+U24-SUM(Q24:S24)</f>
        <v>86</v>
      </c>
      <c r="U24" s="43">
        <v>87</v>
      </c>
      <c r="V24" s="41">
        <v>-281</v>
      </c>
      <c r="W24" s="41">
        <f>-509-V24</f>
        <v>-228</v>
      </c>
      <c r="X24" s="41">
        <f>-577-V24-W24</f>
        <v>-68</v>
      </c>
      <c r="Y24" s="22">
        <f>+Z24-SUM(V24:X24)</f>
        <v>-44</v>
      </c>
      <c r="Z24" s="43">
        <v>-621</v>
      </c>
      <c r="AA24" s="41">
        <v>-69</v>
      </c>
      <c r="AB24" s="41">
        <f>-109-AA24</f>
        <v>-40</v>
      </c>
      <c r="AC24" s="41">
        <f>-149-AA24-AB24</f>
        <v>-40</v>
      </c>
      <c r="AD24" s="22">
        <f>+AE24-SUM(AA24:AC24)</f>
        <v>-73</v>
      </c>
      <c r="AE24" s="43">
        <v>-222</v>
      </c>
      <c r="AF24" s="41">
        <v>-84</v>
      </c>
      <c r="AG24" s="41">
        <f>-127-AF24</f>
        <v>-43</v>
      </c>
      <c r="AH24" s="41">
        <f>-168-AG24-AF24</f>
        <v>-41</v>
      </c>
      <c r="AI24" s="22">
        <f>+AJ24-SUM(AF24:AH24)</f>
        <v>-38</v>
      </c>
      <c r="AJ24" s="43">
        <v>-206</v>
      </c>
      <c r="AK24" s="41">
        <v>96</v>
      </c>
      <c r="AL24" s="41">
        <f>-64-AK24</f>
        <v>-160</v>
      </c>
      <c r="AM24" s="41">
        <f>-114-AL24-AK24</f>
        <v>-50</v>
      </c>
      <c r="AN24" s="22">
        <f>+AO24-SUM(AK24:AM24)</f>
        <v>-44</v>
      </c>
      <c r="AO24" s="43">
        <v>-158</v>
      </c>
      <c r="AP24" s="41">
        <v>-117</v>
      </c>
      <c r="AQ24" s="41">
        <f>-180-AP24</f>
        <v>-63</v>
      </c>
      <c r="AR24" s="41">
        <f>-254-AQ24-AP24</f>
        <v>-74</v>
      </c>
      <c r="AS24" s="22">
        <f>+AT24-SUM(AP24:AR24)</f>
        <v>-59</v>
      </c>
      <c r="AT24" s="43">
        <v>-313</v>
      </c>
      <c r="AU24" s="41">
        <v>-83</v>
      </c>
      <c r="AV24" s="41">
        <f>-148-AU24</f>
        <v>-65</v>
      </c>
      <c r="AW24" s="41">
        <f>-228-AV24-AU24</f>
        <v>-80</v>
      </c>
      <c r="AX24" s="22">
        <f>+AY24-SUM(AU24:AW24)</f>
        <v>-101</v>
      </c>
      <c r="AY24" s="43">
        <v>-329</v>
      </c>
      <c r="AZ24" s="41">
        <v>-151</v>
      </c>
      <c r="BA24" s="41">
        <f>-212-AZ24</f>
        <v>-61</v>
      </c>
      <c r="BB24" s="41">
        <f>-294-BA24-AZ24</f>
        <v>-82</v>
      </c>
      <c r="BC24" s="22">
        <f>+BD24-SUM(AZ24:BB24)</f>
        <v>-52</v>
      </c>
      <c r="BD24" s="43">
        <v>-346</v>
      </c>
      <c r="BE24" s="37">
        <f>(Balance_Sheet_Qtr!BE36-Balance_Sheet_Qtr!BD36)</f>
        <v>0</v>
      </c>
      <c r="BF24" s="37">
        <f>(Balance_Sheet_Qtr!BF36-Balance_Sheet_Qtr!BE36)</f>
        <v>0</v>
      </c>
      <c r="BG24" s="37">
        <f>(Balance_Sheet_Qtr!BG36-Balance_Sheet_Qtr!BF36)</f>
        <v>0</v>
      </c>
      <c r="BH24" s="37">
        <f>(Balance_Sheet_Qtr!BH36-Balance_Sheet_Qtr!BG36)</f>
        <v>0</v>
      </c>
      <c r="BI24" s="23">
        <f>SUM(BE24:BH24)</f>
        <v>0</v>
      </c>
      <c r="BK24" s="109"/>
      <c r="BL24" s="109"/>
      <c r="BZ24" s="109"/>
    </row>
    <row r="25" spans="1:78">
      <c r="A25" s="3" t="s">
        <v>253</v>
      </c>
      <c r="B25" s="41">
        <v>608</v>
      </c>
      <c r="C25" s="41">
        <f>1244-B25</f>
        <v>636</v>
      </c>
      <c r="D25" s="41">
        <f>1837-B25-C25</f>
        <v>593</v>
      </c>
      <c r="E25" s="22">
        <f t="shared" si="15"/>
        <v>633</v>
      </c>
      <c r="F25" s="43">
        <v>2470</v>
      </c>
      <c r="G25" s="41">
        <v>79</v>
      </c>
      <c r="H25" s="41">
        <f>181-G25</f>
        <v>102</v>
      </c>
      <c r="I25" s="41">
        <f>144-G25-H25</f>
        <v>-37</v>
      </c>
      <c r="J25" s="22">
        <f t="shared" si="16"/>
        <v>9</v>
      </c>
      <c r="K25" s="43">
        <v>153</v>
      </c>
      <c r="L25" s="41">
        <v>10</v>
      </c>
      <c r="M25" s="41">
        <f>13-L25</f>
        <v>3</v>
      </c>
      <c r="N25" s="41">
        <f>-550-L25-M25</f>
        <v>-563</v>
      </c>
      <c r="O25" s="22">
        <f t="shared" si="17"/>
        <v>-32</v>
      </c>
      <c r="P25" s="43">
        <v>-582</v>
      </c>
      <c r="Q25" s="41">
        <v>-50</v>
      </c>
      <c r="R25" s="41">
        <f>-57-Q25</f>
        <v>-7</v>
      </c>
      <c r="S25" s="41">
        <f>-89-Q25-R25</f>
        <v>-32</v>
      </c>
      <c r="T25" s="22">
        <f t="shared" si="18"/>
        <v>-64</v>
      </c>
      <c r="U25" s="43">
        <v>-153</v>
      </c>
      <c r="V25" s="41">
        <v>-188</v>
      </c>
      <c r="W25" s="41">
        <f>-390-V25</f>
        <v>-202</v>
      </c>
      <c r="X25" s="41">
        <f>-570-V25-W25</f>
        <v>-180</v>
      </c>
      <c r="Y25" s="22">
        <f t="shared" si="19"/>
        <v>-207</v>
      </c>
      <c r="Z25" s="43">
        <v>-777</v>
      </c>
      <c r="AA25" s="41">
        <v>-179</v>
      </c>
      <c r="AB25" s="41">
        <f>-357-AA25</f>
        <v>-178</v>
      </c>
      <c r="AC25" s="41">
        <f>-556-AA25-AB25</f>
        <v>-199</v>
      </c>
      <c r="AD25" s="22">
        <f>+AE25-SUM(AA25:AC25)</f>
        <v>-238</v>
      </c>
      <c r="AE25" s="43">
        <v>-794</v>
      </c>
      <c r="AF25" s="41">
        <v>-265</v>
      </c>
      <c r="AG25" s="41">
        <f>-576-AF25</f>
        <v>-311</v>
      </c>
      <c r="AH25" s="41">
        <f>-731-AG25-AF25</f>
        <v>-155</v>
      </c>
      <c r="AI25" s="22">
        <f>+AJ25-SUM(AF25:AH25)</f>
        <v>-241</v>
      </c>
      <c r="AJ25" s="43">
        <v>-972</v>
      </c>
      <c r="AK25" s="41">
        <v>-371</v>
      </c>
      <c r="AL25" s="41">
        <f>-695-AK25</f>
        <v>-324</v>
      </c>
      <c r="AM25" s="41">
        <f>-1053-AL25-AK25</f>
        <v>-358</v>
      </c>
      <c r="AN25" s="22">
        <f>+AO25-SUM(AK25:AM25)</f>
        <v>-325</v>
      </c>
      <c r="AO25" s="43">
        <v>-1378</v>
      </c>
      <c r="AP25" s="41">
        <v>-244</v>
      </c>
      <c r="AQ25" s="41">
        <f>-520-AP25</f>
        <v>-276</v>
      </c>
      <c r="AR25" s="41">
        <f>-785-AQ25-AP25</f>
        <v>-265</v>
      </c>
      <c r="AS25" s="22">
        <f>+AT25-SUM(AP25:AR25)</f>
        <v>-264</v>
      </c>
      <c r="AT25" s="43">
        <v>-1049</v>
      </c>
      <c r="AU25" s="41">
        <v>-261</v>
      </c>
      <c r="AV25" s="41">
        <f>-491-AU25</f>
        <v>-230</v>
      </c>
      <c r="AW25" s="41">
        <f>-736-AV25-AU25</f>
        <v>-245</v>
      </c>
      <c r="AX25" s="22">
        <f>+AY25-SUM(AU25:AW25)</f>
        <v>-223</v>
      </c>
      <c r="AY25" s="43">
        <v>-959</v>
      </c>
      <c r="AZ25" s="41">
        <v>-150</v>
      </c>
      <c r="BA25" s="41">
        <f>-292-AZ25</f>
        <v>-142</v>
      </c>
      <c r="BB25" s="41">
        <f>-436-BA25-AZ25</f>
        <v>-144</v>
      </c>
      <c r="BC25" s="22">
        <f>+BD25-SUM(AZ25:BB25)</f>
        <v>-157</v>
      </c>
      <c r="BD25" s="43">
        <v>-593</v>
      </c>
      <c r="BE25" s="37">
        <f>(Balance_Sheet_Qtr!BE41-Balance_Sheet_Qtr!BD41)+(Balance_Sheet_Qtr!BE42-Balance_Sheet_Qtr!BD42)</f>
        <v>-130</v>
      </c>
      <c r="BF25" s="37">
        <f>(Balance_Sheet_Qtr!BF41-Balance_Sheet_Qtr!BE41)+(Balance_Sheet_Qtr!BF42-Balance_Sheet_Qtr!BE42)</f>
        <v>-130</v>
      </c>
      <c r="BG25" s="37">
        <f>(Balance_Sheet_Qtr!BG41-Balance_Sheet_Qtr!BF41)+(Balance_Sheet_Qtr!BG42-Balance_Sheet_Qtr!BF42)</f>
        <v>-130</v>
      </c>
      <c r="BH25" s="37">
        <f>(Balance_Sheet_Qtr!BH41-Balance_Sheet_Qtr!BG41)+(Balance_Sheet_Qtr!BH42-Balance_Sheet_Qtr!BG42)</f>
        <v>-130</v>
      </c>
      <c r="BI25" s="23">
        <f>SUM(BE25:BH25)</f>
        <v>-520</v>
      </c>
      <c r="BK25" s="109"/>
      <c r="BL25" s="109"/>
    </row>
    <row r="26" spans="1:78">
      <c r="A26" s="3" t="s">
        <v>254</v>
      </c>
      <c r="B26" s="41">
        <v>31</v>
      </c>
      <c r="C26" s="41">
        <f>19-B26</f>
        <v>-12</v>
      </c>
      <c r="D26" s="41">
        <f>45-B26-C26</f>
        <v>26</v>
      </c>
      <c r="E26" s="22">
        <f t="shared" si="15"/>
        <v>122</v>
      </c>
      <c r="F26" s="43">
        <v>167</v>
      </c>
      <c r="G26" s="41">
        <v>276</v>
      </c>
      <c r="H26" s="41">
        <f>275-G26</f>
        <v>-1</v>
      </c>
      <c r="I26" s="41">
        <f>-195-G26-H26</f>
        <v>-470</v>
      </c>
      <c r="J26" s="22">
        <f t="shared" si="16"/>
        <v>-501</v>
      </c>
      <c r="K26" s="43">
        <v>-696</v>
      </c>
      <c r="L26" s="41">
        <v>231</v>
      </c>
      <c r="M26" s="41">
        <f>342-L26</f>
        <v>111</v>
      </c>
      <c r="N26" s="41">
        <f>634-L26-M26</f>
        <v>292</v>
      </c>
      <c r="O26" s="22">
        <f t="shared" si="17"/>
        <v>407</v>
      </c>
      <c r="P26" s="43">
        <v>1041</v>
      </c>
      <c r="Q26" s="41">
        <v>44</v>
      </c>
      <c r="R26" s="41">
        <f>-97-Q26</f>
        <v>-141</v>
      </c>
      <c r="S26" s="41">
        <f>-175-Q26-R26</f>
        <v>-78</v>
      </c>
      <c r="T26" s="22">
        <f t="shared" si="18"/>
        <v>295</v>
      </c>
      <c r="U26" s="43">
        <v>120</v>
      </c>
      <c r="V26" s="41">
        <v>152</v>
      </c>
      <c r="W26" s="41">
        <f>347-V26</f>
        <v>195</v>
      </c>
      <c r="X26" s="41">
        <f>391-V26-W26</f>
        <v>44</v>
      </c>
      <c r="Y26" s="22">
        <f t="shared" si="19"/>
        <v>28</v>
      </c>
      <c r="Z26" s="43">
        <v>419</v>
      </c>
      <c r="AA26" s="41">
        <v>23</v>
      </c>
      <c r="AB26" s="41">
        <f>62-AA26</f>
        <v>39</v>
      </c>
      <c r="AC26" s="41">
        <f>108-AA26-AB26</f>
        <v>46</v>
      </c>
      <c r="AD26" s="22">
        <f>+AE26-SUM(AA26:AC26)</f>
        <v>65</v>
      </c>
      <c r="AE26" s="43">
        <v>173</v>
      </c>
      <c r="AF26" s="41">
        <v>46</v>
      </c>
      <c r="AG26" s="41">
        <f>83-AF26</f>
        <v>37</v>
      </c>
      <c r="AH26" s="41">
        <f>170-AG26-AF26</f>
        <v>87</v>
      </c>
      <c r="AI26" s="22">
        <f>+AJ26-SUM(AF26:AH26)</f>
        <v>40</v>
      </c>
      <c r="AJ26" s="43">
        <v>210</v>
      </c>
      <c r="AK26" s="41">
        <v>18</v>
      </c>
      <c r="AL26" s="41">
        <f>50-AK26</f>
        <v>32</v>
      </c>
      <c r="AM26" s="41">
        <f>76-AL26-AK26</f>
        <v>26</v>
      </c>
      <c r="AN26" s="22">
        <f>+AO26-SUM(AK26:AM26)</f>
        <v>66</v>
      </c>
      <c r="AO26" s="43">
        <v>142</v>
      </c>
      <c r="AP26" s="41">
        <v>101</v>
      </c>
      <c r="AQ26" s="41">
        <f>419-AP26</f>
        <v>318</v>
      </c>
      <c r="AR26" s="41">
        <f>472-AQ26-AP26</f>
        <v>53</v>
      </c>
      <c r="AS26" s="22">
        <f>+AT26-SUM(AP26:AR26)</f>
        <v>99</v>
      </c>
      <c r="AT26" s="43">
        <v>571</v>
      </c>
      <c r="AU26" s="41">
        <v>79</v>
      </c>
      <c r="AV26" s="41">
        <f>149-AU26</f>
        <v>70</v>
      </c>
      <c r="AW26" s="41">
        <f>258-AV26-AU26</f>
        <v>109</v>
      </c>
      <c r="AX26" s="22">
        <f>+AY26-SUM(AU26:AW26)</f>
        <v>254</v>
      </c>
      <c r="AY26" s="43">
        <v>512</v>
      </c>
      <c r="AZ26" s="41">
        <v>12</v>
      </c>
      <c r="BA26" s="41">
        <f>185-AZ26</f>
        <v>173</v>
      </c>
      <c r="BB26" s="41">
        <f>274-BA26-AZ26</f>
        <v>89</v>
      </c>
      <c r="BC26" s="22">
        <f>+BD26-SUM(AZ26:BB26)</f>
        <v>0</v>
      </c>
      <c r="BD26" s="43">
        <v>274</v>
      </c>
      <c r="BE26" s="37">
        <f>(Balance_Sheet_Qtr!BD10-Balance_Sheet_Qtr!BE10)</f>
        <v>0</v>
      </c>
      <c r="BF26" s="37">
        <f>(Balance_Sheet_Qtr!BE10-Balance_Sheet_Qtr!BF10)</f>
        <v>0</v>
      </c>
      <c r="BG26" s="37">
        <f>(Balance_Sheet_Qtr!BF10-Balance_Sheet_Qtr!BG10)</f>
        <v>0</v>
      </c>
      <c r="BH26" s="37">
        <f>(Balance_Sheet_Qtr!BG10-Balance_Sheet_Qtr!BH10)</f>
        <v>0</v>
      </c>
      <c r="BI26" s="23">
        <f>SUM(BE26:BH26)</f>
        <v>0</v>
      </c>
      <c r="BK26" s="109"/>
      <c r="BL26" s="109"/>
    </row>
    <row r="27" spans="1:78">
      <c r="A27" s="478" t="s">
        <v>1</v>
      </c>
      <c r="B27" s="19">
        <v>-50</v>
      </c>
      <c r="C27" s="19">
        <f>-77-B27</f>
        <v>-27</v>
      </c>
      <c r="D27" s="19">
        <f>-98-B27-C27</f>
        <v>-21</v>
      </c>
      <c r="E27" s="20">
        <f t="shared" si="15"/>
        <v>-44</v>
      </c>
      <c r="F27" s="21">
        <v>-142</v>
      </c>
      <c r="G27" s="19">
        <v>-61</v>
      </c>
      <c r="H27" s="19">
        <f>-61-G27</f>
        <v>0</v>
      </c>
      <c r="I27" s="19">
        <f>-95-G27-H27</f>
        <v>-34</v>
      </c>
      <c r="J27" s="20">
        <f t="shared" si="16"/>
        <v>-161</v>
      </c>
      <c r="K27" s="21">
        <v>-256</v>
      </c>
      <c r="L27" s="19">
        <v>-75</v>
      </c>
      <c r="M27" s="19">
        <f>-100-L27</f>
        <v>-25</v>
      </c>
      <c r="N27" s="19">
        <f>-99-L27-M27</f>
        <v>1</v>
      </c>
      <c r="O27" s="20">
        <f t="shared" si="17"/>
        <v>-161</v>
      </c>
      <c r="P27" s="21">
        <v>-260</v>
      </c>
      <c r="Q27" s="19">
        <v>124</v>
      </c>
      <c r="R27" s="19">
        <f>352-Q27</f>
        <v>228</v>
      </c>
      <c r="S27" s="19">
        <f>403-Q27-R27</f>
        <v>51</v>
      </c>
      <c r="T27" s="20">
        <f t="shared" si="18"/>
        <v>207</v>
      </c>
      <c r="U27" s="21">
        <v>610</v>
      </c>
      <c r="V27" s="19">
        <v>-1</v>
      </c>
      <c r="W27" s="19">
        <f>80-V27</f>
        <v>81</v>
      </c>
      <c r="X27" s="19">
        <f>144-V27-W27</f>
        <v>64</v>
      </c>
      <c r="Y27" s="20">
        <f t="shared" si="19"/>
        <v>52</v>
      </c>
      <c r="Z27" s="21">
        <v>196</v>
      </c>
      <c r="AA27" s="19">
        <v>153</v>
      </c>
      <c r="AB27" s="19">
        <f>247-AA27</f>
        <v>94</v>
      </c>
      <c r="AC27" s="19">
        <f>289-AA27-AB27</f>
        <v>42</v>
      </c>
      <c r="AD27" s="20">
        <f>+AE27-SUM(AA27:AC27)</f>
        <v>-54</v>
      </c>
      <c r="AE27" s="21">
        <v>235</v>
      </c>
      <c r="AF27" s="19">
        <v>23</v>
      </c>
      <c r="AG27" s="19">
        <f>134-AF27</f>
        <v>111</v>
      </c>
      <c r="AH27" s="19">
        <f>225-AG27-AF27</f>
        <v>91</v>
      </c>
      <c r="AI27" s="20">
        <f>+AJ27-SUM(AF27:AH27)</f>
        <v>79</v>
      </c>
      <c r="AJ27" s="21">
        <v>304</v>
      </c>
      <c r="AK27" s="19">
        <v>41</v>
      </c>
      <c r="AL27" s="19">
        <f>145-AK27</f>
        <v>104</v>
      </c>
      <c r="AM27" s="19">
        <f>232-AL27-AK27</f>
        <v>87</v>
      </c>
      <c r="AN27" s="20">
        <f>+AO27-SUM(AK27:AM27)</f>
        <v>75</v>
      </c>
      <c r="AO27" s="21">
        <v>307</v>
      </c>
      <c r="AP27" s="19">
        <v>38</v>
      </c>
      <c r="AQ27" s="19">
        <f>40-AP27</f>
        <v>2</v>
      </c>
      <c r="AR27" s="19">
        <f>99-AQ27-AP27</f>
        <v>59</v>
      </c>
      <c r="AS27" s="20">
        <f>+AT27-SUM(AP27:AR27)</f>
        <v>20</v>
      </c>
      <c r="AT27" s="21">
        <v>119</v>
      </c>
      <c r="AU27" s="19">
        <v>43</v>
      </c>
      <c r="AV27" s="19">
        <f>51-AU27</f>
        <v>8</v>
      </c>
      <c r="AW27" s="19">
        <f>137-AV27-AU27</f>
        <v>86</v>
      </c>
      <c r="AX27" s="20">
        <f>+AY27-SUM(AU27:AW27)</f>
        <v>65</v>
      </c>
      <c r="AY27" s="21">
        <v>202</v>
      </c>
      <c r="AZ27" s="19">
        <v>41</v>
      </c>
      <c r="BA27" s="19">
        <f>85-AZ27</f>
        <v>44</v>
      </c>
      <c r="BB27" s="19">
        <f>176-BA27-AZ27</f>
        <v>91</v>
      </c>
      <c r="BC27" s="20">
        <f>+BD27-SUM(AZ27:BB27)</f>
        <v>148</v>
      </c>
      <c r="BD27" s="21">
        <v>324</v>
      </c>
      <c r="BE27" s="41">
        <v>0</v>
      </c>
      <c r="BF27" s="41">
        <v>0</v>
      </c>
      <c r="BG27" s="41">
        <v>0</v>
      </c>
      <c r="BH27" s="19">
        <v>0</v>
      </c>
      <c r="BI27" s="562">
        <f>SUM(BE27:BH27)</f>
        <v>0</v>
      </c>
      <c r="BK27" s="109"/>
      <c r="BL27" s="109"/>
    </row>
    <row r="28" spans="1:78">
      <c r="A28" s="1" t="s">
        <v>29</v>
      </c>
      <c r="B28" s="42">
        <f t="shared" ref="B28:AA28" si="28">+SUM(B15:B27)</f>
        <v>-1735</v>
      </c>
      <c r="C28" s="42">
        <f t="shared" si="28"/>
        <v>1584</v>
      </c>
      <c r="D28" s="42">
        <f t="shared" si="28"/>
        <v>543</v>
      </c>
      <c r="E28" s="22">
        <f t="shared" si="28"/>
        <v>1403</v>
      </c>
      <c r="F28" s="72">
        <f t="shared" si="28"/>
        <v>1795</v>
      </c>
      <c r="G28" s="42">
        <f t="shared" si="28"/>
        <v>-549</v>
      </c>
      <c r="H28" s="42">
        <f t="shared" si="28"/>
        <v>2846</v>
      </c>
      <c r="I28" s="42">
        <f t="shared" si="28"/>
        <v>313</v>
      </c>
      <c r="J28" s="22">
        <f t="shared" si="28"/>
        <v>435</v>
      </c>
      <c r="K28" s="72">
        <f t="shared" si="28"/>
        <v>3045</v>
      </c>
      <c r="L28" s="42">
        <f t="shared" si="28"/>
        <v>-85</v>
      </c>
      <c r="M28" s="42">
        <f t="shared" si="28"/>
        <v>2564</v>
      </c>
      <c r="N28" s="42">
        <f t="shared" si="28"/>
        <v>930</v>
      </c>
      <c r="O28" s="22">
        <f t="shared" si="28"/>
        <v>-1157</v>
      </c>
      <c r="P28" s="72">
        <f t="shared" si="28"/>
        <v>2252</v>
      </c>
      <c r="Q28" s="42">
        <f t="shared" si="28"/>
        <v>38</v>
      </c>
      <c r="R28" s="42">
        <f t="shared" si="28"/>
        <v>1852</v>
      </c>
      <c r="S28" s="42">
        <f t="shared" si="28"/>
        <v>1626</v>
      </c>
      <c r="T28" s="22">
        <f t="shared" si="28"/>
        <v>-1232</v>
      </c>
      <c r="U28" s="72">
        <f t="shared" si="28"/>
        <v>2284</v>
      </c>
      <c r="V28" s="42">
        <f t="shared" si="28"/>
        <v>-178</v>
      </c>
      <c r="W28" s="42">
        <f t="shared" si="28"/>
        <v>1834</v>
      </c>
      <c r="X28" s="42">
        <f t="shared" si="28"/>
        <v>-4308</v>
      </c>
      <c r="Y28" s="22">
        <f t="shared" si="28"/>
        <v>-1977</v>
      </c>
      <c r="Z28" s="72">
        <f t="shared" si="28"/>
        <v>-4629</v>
      </c>
      <c r="AA28" s="42">
        <f t="shared" si="28"/>
        <v>-4341</v>
      </c>
      <c r="AB28" s="42">
        <f t="shared" ref="AB28:AM28" si="29">+SUM(AB15:AB27)</f>
        <v>-4435</v>
      </c>
      <c r="AC28" s="42">
        <f t="shared" si="29"/>
        <v>-4997</v>
      </c>
      <c r="AD28" s="22">
        <f t="shared" si="29"/>
        <v>-3562</v>
      </c>
      <c r="AE28" s="72">
        <f t="shared" si="29"/>
        <v>-17335</v>
      </c>
      <c r="AF28" s="42">
        <f t="shared" si="29"/>
        <v>-4038</v>
      </c>
      <c r="AG28" s="42">
        <f t="shared" si="29"/>
        <v>-1968</v>
      </c>
      <c r="AH28" s="42">
        <f t="shared" si="29"/>
        <v>-942</v>
      </c>
      <c r="AI28" s="22">
        <f t="shared" si="29"/>
        <v>-29</v>
      </c>
      <c r="AJ28" s="72">
        <f t="shared" si="29"/>
        <v>-6977</v>
      </c>
      <c r="AK28" s="42">
        <f t="shared" si="29"/>
        <v>-3286</v>
      </c>
      <c r="AL28" s="42">
        <f t="shared" si="29"/>
        <v>-1087</v>
      </c>
      <c r="AM28" s="42">
        <f t="shared" si="29"/>
        <v>5382</v>
      </c>
      <c r="AN28" s="22">
        <f t="shared" ref="AN28:AO28" si="30">+SUM(AN15:AN27)</f>
        <v>3130</v>
      </c>
      <c r="AO28" s="72">
        <f t="shared" si="30"/>
        <v>4139</v>
      </c>
      <c r="AP28" s="42">
        <f t="shared" ref="AP28" si="31">+SUM(AP15:AP27)</f>
        <v>-1169</v>
      </c>
      <c r="AQ28" s="42">
        <f t="shared" ref="AQ28" si="32">+SUM(AQ15:AQ27)</f>
        <v>2103</v>
      </c>
      <c r="AR28" s="42">
        <f t="shared" ref="AR28:AV28" si="33">+SUM(AR15:AR27)</f>
        <v>739</v>
      </c>
      <c r="AS28" s="22">
        <f t="shared" si="33"/>
        <v>2416</v>
      </c>
      <c r="AT28" s="72">
        <f t="shared" si="33"/>
        <v>4089</v>
      </c>
      <c r="AU28" s="42">
        <f t="shared" si="33"/>
        <v>-4205</v>
      </c>
      <c r="AV28" s="42">
        <f t="shared" si="33"/>
        <v>-3325</v>
      </c>
      <c r="AW28" s="42">
        <f t="shared" ref="AW28:BA28" si="34">+SUM(AW15:AW27)</f>
        <v>597</v>
      </c>
      <c r="AX28" s="22">
        <f t="shared" si="34"/>
        <v>-1835</v>
      </c>
      <c r="AY28" s="72">
        <f t="shared" si="34"/>
        <v>-8768</v>
      </c>
      <c r="AZ28" s="42">
        <f t="shared" si="34"/>
        <v>-2713</v>
      </c>
      <c r="BA28" s="42">
        <f t="shared" si="34"/>
        <v>-134</v>
      </c>
      <c r="BB28" s="42">
        <f t="shared" ref="BB28:BC28" si="35">+SUM(BB15:BB27)</f>
        <v>304</v>
      </c>
      <c r="BC28" s="22">
        <f t="shared" si="35"/>
        <v>1541</v>
      </c>
      <c r="BD28" s="72">
        <f t="shared" ref="BD28:BG28" si="36">+SUM(BD15:BD27)</f>
        <v>-1002</v>
      </c>
      <c r="BE28" s="22">
        <f t="shared" ca="1" si="36"/>
        <v>-1538.4537462885889</v>
      </c>
      <c r="BF28" s="22">
        <f t="shared" ca="1" si="36"/>
        <v>-869.52398760655637</v>
      </c>
      <c r="BG28" s="22">
        <f t="shared" ca="1" si="36"/>
        <v>547.72930309193089</v>
      </c>
      <c r="BH28" s="22">
        <f t="shared" ref="BH28:BI28" ca="1" si="37">+SUM(BH15:BH27)</f>
        <v>2270.2546355142954</v>
      </c>
      <c r="BI28" s="23">
        <f t="shared" ca="1" si="37"/>
        <v>410.00620471108095</v>
      </c>
      <c r="BK28" s="109"/>
      <c r="BL28" s="109"/>
    </row>
    <row r="29" spans="1:78">
      <c r="A29" s="16" t="s">
        <v>70</v>
      </c>
      <c r="B29" s="24">
        <f t="shared" ref="B29:AF29" si="38">+SUM(B4:B13,B28:B28)</f>
        <v>88</v>
      </c>
      <c r="C29" s="24">
        <f t="shared" si="38"/>
        <v>3297</v>
      </c>
      <c r="D29" s="24">
        <f t="shared" si="38"/>
        <v>2859</v>
      </c>
      <c r="E29" s="24">
        <f t="shared" si="38"/>
        <v>3119</v>
      </c>
      <c r="F29" s="25">
        <f t="shared" si="38"/>
        <v>9363</v>
      </c>
      <c r="G29" s="24">
        <f t="shared" si="38"/>
        <v>1275</v>
      </c>
      <c r="H29" s="24">
        <f t="shared" si="38"/>
        <v>3190</v>
      </c>
      <c r="I29" s="24">
        <f t="shared" si="38"/>
        <v>3202</v>
      </c>
      <c r="J29" s="24">
        <f t="shared" si="38"/>
        <v>2832</v>
      </c>
      <c r="K29" s="25">
        <f t="shared" si="38"/>
        <v>10499</v>
      </c>
      <c r="L29" s="24">
        <f t="shared" si="38"/>
        <v>2098</v>
      </c>
      <c r="M29" s="24">
        <f t="shared" si="38"/>
        <v>4949</v>
      </c>
      <c r="N29" s="24">
        <f t="shared" si="38"/>
        <v>3396</v>
      </c>
      <c r="O29" s="24">
        <f t="shared" si="38"/>
        <v>2903</v>
      </c>
      <c r="P29" s="25">
        <f t="shared" si="38"/>
        <v>13346</v>
      </c>
      <c r="Q29" s="24">
        <f t="shared" si="38"/>
        <v>3136</v>
      </c>
      <c r="R29" s="24">
        <f t="shared" si="38"/>
        <v>4680</v>
      </c>
      <c r="S29" s="24">
        <f t="shared" si="38"/>
        <v>4559</v>
      </c>
      <c r="T29" s="24">
        <f t="shared" si="38"/>
        <v>2947</v>
      </c>
      <c r="U29" s="25">
        <f t="shared" si="38"/>
        <v>15322</v>
      </c>
      <c r="V29" s="24">
        <f t="shared" si="38"/>
        <v>2788</v>
      </c>
      <c r="W29" s="24">
        <f t="shared" si="38"/>
        <v>-590</v>
      </c>
      <c r="X29" s="24">
        <f t="shared" si="38"/>
        <v>-2424</v>
      </c>
      <c r="Y29" s="24">
        <f t="shared" si="38"/>
        <v>-2220</v>
      </c>
      <c r="Z29" s="25">
        <f t="shared" si="38"/>
        <v>-2446</v>
      </c>
      <c r="AA29" s="24">
        <f t="shared" si="38"/>
        <v>-4302</v>
      </c>
      <c r="AB29" s="24">
        <f>+SUM(AB4:AB13,AB28:AB28)</f>
        <v>-5280</v>
      </c>
      <c r="AC29" s="24">
        <f>+SUM(AC4:AC13,AC28:AC28)</f>
        <v>-4819</v>
      </c>
      <c r="AD29" s="24">
        <f t="shared" si="38"/>
        <v>-4009</v>
      </c>
      <c r="AE29" s="25">
        <f t="shared" si="38"/>
        <v>-18410</v>
      </c>
      <c r="AF29" s="24">
        <f t="shared" si="38"/>
        <v>-3387</v>
      </c>
      <c r="AG29" s="24">
        <f t="shared" ref="AG29:AM29" si="39">+SUM(AG4:AG13,AG28:AG28)</f>
        <v>-483</v>
      </c>
      <c r="AH29" s="24">
        <f t="shared" si="39"/>
        <v>-262</v>
      </c>
      <c r="AI29" s="24">
        <f t="shared" si="39"/>
        <v>716</v>
      </c>
      <c r="AJ29" s="25">
        <f t="shared" si="39"/>
        <v>-3416</v>
      </c>
      <c r="AK29" s="24">
        <f t="shared" si="39"/>
        <v>-3216</v>
      </c>
      <c r="AL29" s="24">
        <f t="shared" si="39"/>
        <v>81</v>
      </c>
      <c r="AM29" s="24">
        <f t="shared" si="39"/>
        <v>3190</v>
      </c>
      <c r="AN29" s="24">
        <f t="shared" ref="AN29:AR29" si="40">+SUM(AN4:AN13,AN28:AN28)</f>
        <v>3457</v>
      </c>
      <c r="AO29" s="25">
        <f t="shared" si="40"/>
        <v>3512</v>
      </c>
      <c r="AP29" s="24">
        <f t="shared" si="40"/>
        <v>-318</v>
      </c>
      <c r="AQ29" s="24">
        <f t="shared" si="40"/>
        <v>2875</v>
      </c>
      <c r="AR29" s="24">
        <f t="shared" si="40"/>
        <v>22</v>
      </c>
      <c r="AS29" s="24">
        <f t="shared" ref="AS29:AW29" si="41">+SUM(AS4:AS13,AS28:AS28)</f>
        <v>3381</v>
      </c>
      <c r="AT29" s="25">
        <f t="shared" si="41"/>
        <v>5960</v>
      </c>
      <c r="AU29" s="24">
        <f t="shared" si="41"/>
        <v>-3362</v>
      </c>
      <c r="AV29" s="24">
        <f t="shared" si="41"/>
        <v>-3923</v>
      </c>
      <c r="AW29" s="24">
        <f t="shared" si="41"/>
        <v>-1345</v>
      </c>
      <c r="AX29" s="24">
        <f t="shared" ref="AX29:BB29" si="42">+SUM(AX4:AX13,AX28:AX28)</f>
        <v>-3450</v>
      </c>
      <c r="AY29" s="25">
        <f t="shared" si="42"/>
        <v>-12080</v>
      </c>
      <c r="AZ29" s="24">
        <f t="shared" si="42"/>
        <v>-1616</v>
      </c>
      <c r="BA29" s="24">
        <f t="shared" si="42"/>
        <v>227</v>
      </c>
      <c r="BB29" s="24">
        <f t="shared" si="42"/>
        <v>1123</v>
      </c>
      <c r="BC29" s="24">
        <f t="shared" ref="BC29" si="43">+SUM(BC4:BC13,BC28:BC28)</f>
        <v>1331</v>
      </c>
      <c r="BD29" s="25">
        <f t="shared" ref="BD29:BG29" si="44">+SUM(BD4:BD13,BD28:BD28)</f>
        <v>1065</v>
      </c>
      <c r="BE29" s="24">
        <f t="shared" ca="1" si="44"/>
        <v>-437.73641057754003</v>
      </c>
      <c r="BF29" s="24">
        <f t="shared" ca="1" si="44"/>
        <v>526.35942355108432</v>
      </c>
      <c r="BG29" s="24">
        <f t="shared" ca="1" si="44"/>
        <v>2157.5554994739368</v>
      </c>
      <c r="BH29" s="24">
        <f t="shared" ref="BH29:BI29" ca="1" si="45">+SUM(BH4:BH13,BH28:BH28)</f>
        <v>3983.6236469927539</v>
      </c>
      <c r="BI29" s="25">
        <f t="shared" ca="1" si="45"/>
        <v>6229.8021594402344</v>
      </c>
      <c r="BJ29" s="580"/>
      <c r="BK29" s="109"/>
      <c r="BL29" s="109"/>
    </row>
    <row r="30" spans="1:78">
      <c r="B30" s="22"/>
      <c r="C30" s="22"/>
      <c r="D30" s="22"/>
      <c r="E30" s="22"/>
      <c r="F30" s="23"/>
      <c r="G30" s="22"/>
      <c r="H30" s="22"/>
      <c r="I30" s="22"/>
      <c r="J30" s="22"/>
      <c r="K30" s="23"/>
      <c r="L30" s="22"/>
      <c r="M30" s="22"/>
      <c r="N30" s="22"/>
      <c r="O30" s="22"/>
      <c r="P30" s="23"/>
      <c r="Q30" s="22"/>
      <c r="R30" s="22"/>
      <c r="S30" s="22"/>
      <c r="T30" s="22"/>
      <c r="U30" s="23"/>
      <c r="V30" s="22"/>
      <c r="W30" s="22"/>
      <c r="X30" s="22"/>
      <c r="Y30" s="22"/>
      <c r="Z30" s="23"/>
      <c r="AA30" s="22"/>
      <c r="AB30" s="22"/>
      <c r="AC30" s="22"/>
      <c r="AD30" s="416"/>
      <c r="AE30" s="23"/>
      <c r="AF30" s="22"/>
      <c r="AG30" s="22"/>
      <c r="AH30" s="22"/>
      <c r="AI30" s="416"/>
      <c r="AJ30" s="23"/>
      <c r="AK30" s="22"/>
      <c r="AL30" s="22"/>
      <c r="AM30" s="22"/>
      <c r="AN30" s="416"/>
      <c r="AO30" s="23"/>
      <c r="AP30" s="22"/>
      <c r="AQ30" s="22"/>
      <c r="AR30" s="22"/>
      <c r="AS30" s="416"/>
      <c r="AT30" s="23"/>
      <c r="AU30" s="22"/>
      <c r="AV30" s="22"/>
      <c r="AW30" s="22"/>
      <c r="AX30" s="416"/>
      <c r="AY30" s="23"/>
      <c r="AZ30" s="22"/>
      <c r="BA30" s="22"/>
      <c r="BB30" s="22"/>
      <c r="BC30" s="245"/>
      <c r="BD30" s="23"/>
      <c r="BE30" s="245"/>
      <c r="BF30" s="245"/>
      <c r="BG30" s="245"/>
      <c r="BH30" s="245"/>
      <c r="BI30" s="23"/>
      <c r="BJ30" s="13"/>
    </row>
    <row r="31" spans="1:78">
      <c r="A31" s="5" t="s">
        <v>71</v>
      </c>
      <c r="B31" s="22"/>
      <c r="C31" s="22"/>
      <c r="D31" s="22"/>
      <c r="E31" s="22"/>
      <c r="F31" s="23"/>
      <c r="G31" s="22"/>
      <c r="H31" s="22"/>
      <c r="I31" s="22"/>
      <c r="J31" s="22"/>
      <c r="K31" s="23"/>
      <c r="L31" s="22"/>
      <c r="M31" s="22"/>
      <c r="N31" s="22"/>
      <c r="O31" s="22"/>
      <c r="P31" s="23"/>
      <c r="Q31" s="22"/>
      <c r="R31" s="22"/>
      <c r="S31" s="22"/>
      <c r="T31" s="22"/>
      <c r="U31" s="23"/>
      <c r="V31" s="22"/>
      <c r="W31" s="22"/>
      <c r="X31" s="22"/>
      <c r="Y31" s="22"/>
      <c r="Z31" s="23"/>
      <c r="AA31" s="22"/>
      <c r="AB31" s="22"/>
      <c r="AC31" s="22"/>
      <c r="AD31" s="22"/>
      <c r="AE31" s="23"/>
      <c r="AF31" s="22"/>
      <c r="AG31" s="22"/>
      <c r="AH31" s="22"/>
      <c r="AI31" s="22"/>
      <c r="AJ31" s="23"/>
      <c r="AK31" s="22"/>
      <c r="AL31" s="22"/>
      <c r="AM31" s="22"/>
      <c r="AN31" s="22"/>
      <c r="AO31" s="23"/>
      <c r="AP31" s="22"/>
      <c r="AQ31" s="22"/>
      <c r="AR31" s="22"/>
      <c r="AS31" s="22"/>
      <c r="AT31" s="23"/>
      <c r="AU31" s="22"/>
      <c r="AV31" s="22"/>
      <c r="AW31" s="22"/>
      <c r="AX31" s="22"/>
      <c r="AY31" s="23"/>
      <c r="AZ31" s="22"/>
      <c r="BA31" s="22"/>
      <c r="BB31" s="22"/>
      <c r="BC31" s="22"/>
      <c r="BD31" s="23"/>
      <c r="BE31" s="22"/>
      <c r="BF31" s="22"/>
      <c r="BG31" s="22"/>
      <c r="BH31" s="22"/>
      <c r="BI31" s="23"/>
      <c r="BJ31" s="74"/>
    </row>
    <row r="32" spans="1:78">
      <c r="A32" s="1" t="s">
        <v>336</v>
      </c>
      <c r="B32" s="41">
        <v>0</v>
      </c>
      <c r="C32" s="41">
        <v>0</v>
      </c>
      <c r="D32" s="41">
        <v>0</v>
      </c>
      <c r="E32" s="22">
        <f t="shared" ref="E32:E40" si="46">+F32-SUM(B32:D32)</f>
        <v>0</v>
      </c>
      <c r="F32" s="43">
        <v>0</v>
      </c>
      <c r="G32" s="41">
        <v>0</v>
      </c>
      <c r="H32" s="41">
        <v>0</v>
      </c>
      <c r="I32" s="41">
        <v>0</v>
      </c>
      <c r="J32" s="22">
        <f t="shared" ref="J32:J40" si="47">+K32-SUM(G32:I32)</f>
        <v>0</v>
      </c>
      <c r="K32" s="43">
        <v>0</v>
      </c>
      <c r="L32" s="41">
        <v>0</v>
      </c>
      <c r="M32" s="41">
        <v>0</v>
      </c>
      <c r="N32" s="41">
        <v>0</v>
      </c>
      <c r="O32" s="22">
        <f t="shared" ref="O32:O40" si="48">+P32-SUM(L32:N32)</f>
        <v>0</v>
      </c>
      <c r="P32" s="43">
        <v>0</v>
      </c>
      <c r="Q32" s="41">
        <v>0</v>
      </c>
      <c r="R32" s="41">
        <v>0</v>
      </c>
      <c r="S32" s="41">
        <v>0</v>
      </c>
      <c r="T32" s="22">
        <f t="shared" ref="T32:T40" si="49">+U32-SUM(Q32:S32)</f>
        <v>0</v>
      </c>
      <c r="U32" s="43">
        <v>0</v>
      </c>
      <c r="V32" s="41">
        <v>0</v>
      </c>
      <c r="W32" s="41">
        <v>0</v>
      </c>
      <c r="X32" s="41">
        <v>0</v>
      </c>
      <c r="Y32" s="22">
        <f t="shared" ref="Y32:Y40" si="50">+Z32-SUM(V32:X32)</f>
        <v>0</v>
      </c>
      <c r="Z32" s="43">
        <v>0</v>
      </c>
      <c r="AA32" s="41">
        <v>0</v>
      </c>
      <c r="AB32" s="41">
        <v>0</v>
      </c>
      <c r="AC32" s="41">
        <v>0</v>
      </c>
      <c r="AD32" s="22">
        <f t="shared" ref="AD32:AD40" si="51">+AE32-SUM(AA32:AC32)</f>
        <v>0</v>
      </c>
      <c r="AE32" s="43">
        <v>0</v>
      </c>
      <c r="AF32" s="41">
        <v>0</v>
      </c>
      <c r="AG32" s="41">
        <v>0</v>
      </c>
      <c r="AH32" s="41">
        <v>0</v>
      </c>
      <c r="AI32" s="22">
        <f t="shared" ref="AI32:AI40" si="52">+AJ32-SUM(AF32:AH32)</f>
        <v>0</v>
      </c>
      <c r="AJ32" s="43">
        <v>0</v>
      </c>
      <c r="AK32" s="41">
        <v>0</v>
      </c>
      <c r="AL32" s="41">
        <v>0</v>
      </c>
      <c r="AM32" s="41">
        <v>0</v>
      </c>
      <c r="AN32" s="22">
        <f t="shared" ref="AN32:AN40" si="53">+AO32-SUM(AK32:AM32)</f>
        <v>0</v>
      </c>
      <c r="AO32" s="43">
        <v>0</v>
      </c>
      <c r="AP32" s="41">
        <v>0</v>
      </c>
      <c r="AQ32" s="41">
        <v>0</v>
      </c>
      <c r="AR32" s="41">
        <v>0</v>
      </c>
      <c r="AS32" s="22">
        <f t="shared" ref="AS32:AS40" si="54">+AT32-SUM(AP32:AR32)</f>
        <v>0</v>
      </c>
      <c r="AT32" s="43">
        <v>0</v>
      </c>
      <c r="AU32" s="41">
        <v>0</v>
      </c>
      <c r="AV32" s="41">
        <v>0</v>
      </c>
      <c r="AW32" s="41">
        <v>0</v>
      </c>
      <c r="AX32" s="22">
        <f t="shared" ref="AX32:AX40" si="55">+AY32-SUM(AU32:AW32)</f>
        <v>0</v>
      </c>
      <c r="AY32" s="43">
        <v>0</v>
      </c>
      <c r="AZ32" s="41">
        <v>0</v>
      </c>
      <c r="BA32" s="41">
        <v>0</v>
      </c>
      <c r="BB32" s="41">
        <v>0</v>
      </c>
      <c r="BC32" s="22">
        <f t="shared" ref="BC32:BC40" si="56">+BD32-SUM(AZ32:BB32)</f>
        <v>0</v>
      </c>
      <c r="BD32" s="43">
        <v>0</v>
      </c>
      <c r="BE32" s="37">
        <f>+(Balance_Sheet_Qtr!BD18-Balance_Sheet_Qtr!BE18)</f>
        <v>0</v>
      </c>
      <c r="BF32" s="37">
        <f>+(Balance_Sheet_Qtr!BE18-Balance_Sheet_Qtr!BF18)</f>
        <v>0</v>
      </c>
      <c r="BG32" s="37">
        <f>+(Balance_Sheet_Qtr!BF18-Balance_Sheet_Qtr!BG18)</f>
        <v>0</v>
      </c>
      <c r="BH32" s="37">
        <f>+(Balance_Sheet_Qtr!BG18-Balance_Sheet_Qtr!BH18)</f>
        <v>0</v>
      </c>
      <c r="BI32" s="23">
        <f>SUM(BE32:BH32)</f>
        <v>0</v>
      </c>
    </row>
    <row r="33" spans="1:63">
      <c r="A33" s="1" t="s">
        <v>255</v>
      </c>
      <c r="B33" s="41">
        <v>-574</v>
      </c>
      <c r="C33" s="41">
        <f>-1266-B33</f>
        <v>-692</v>
      </c>
      <c r="D33" s="41">
        <f>-1827-B33-C33</f>
        <v>-561</v>
      </c>
      <c r="E33" s="22">
        <f t="shared" si="46"/>
        <v>-623</v>
      </c>
      <c r="F33" s="43">
        <v>-2450</v>
      </c>
      <c r="G33" s="41">
        <v>-748</v>
      </c>
      <c r="H33" s="41">
        <f>-1419-G33</f>
        <v>-671</v>
      </c>
      <c r="I33" s="41">
        <f>-2014-G33-H33</f>
        <v>-595</v>
      </c>
      <c r="J33" s="22">
        <f t="shared" si="47"/>
        <v>-599</v>
      </c>
      <c r="K33" s="43">
        <v>-2613</v>
      </c>
      <c r="L33" s="41">
        <v>-466</v>
      </c>
      <c r="M33" s="41">
        <f>-905-L33</f>
        <v>-439</v>
      </c>
      <c r="N33" s="41">
        <f>-1304-L33-M33</f>
        <v>-399</v>
      </c>
      <c r="O33" s="22">
        <f t="shared" si="48"/>
        <v>-435</v>
      </c>
      <c r="P33" s="43">
        <v>-1739</v>
      </c>
      <c r="Q33" s="41">
        <v>-394</v>
      </c>
      <c r="R33" s="41">
        <f>-770-Q33</f>
        <v>-376</v>
      </c>
      <c r="S33" s="41">
        <f>-1227-Q33-R33</f>
        <v>-457</v>
      </c>
      <c r="T33" s="22">
        <f t="shared" si="49"/>
        <v>-495</v>
      </c>
      <c r="U33" s="43">
        <v>-1722</v>
      </c>
      <c r="V33" s="41">
        <v>-501</v>
      </c>
      <c r="W33" s="41">
        <f>-922-V33</f>
        <v>-421</v>
      </c>
      <c r="X33" s="41">
        <f>-1387-V33-W33</f>
        <v>-465</v>
      </c>
      <c r="Y33" s="22">
        <f t="shared" si="50"/>
        <v>-447</v>
      </c>
      <c r="Z33" s="43">
        <v>-1834</v>
      </c>
      <c r="AA33" s="41">
        <v>-428</v>
      </c>
      <c r="AB33" s="41">
        <f>-776-AA33</f>
        <v>-348</v>
      </c>
      <c r="AC33" s="41">
        <f>-1038-AA33-AB33</f>
        <v>-262</v>
      </c>
      <c r="AD33" s="22">
        <f t="shared" si="51"/>
        <v>-265</v>
      </c>
      <c r="AE33" s="43">
        <v>-1303</v>
      </c>
      <c r="AF33" s="41">
        <v>-291</v>
      </c>
      <c r="AG33" s="41">
        <f>-513-AF33</f>
        <v>-222</v>
      </c>
      <c r="AH33" s="41">
        <f>-758-AG33-AF33</f>
        <v>-245</v>
      </c>
      <c r="AI33" s="22">
        <f t="shared" si="52"/>
        <v>-222</v>
      </c>
      <c r="AJ33" s="43">
        <v>-980</v>
      </c>
      <c r="AK33" s="41">
        <v>-349</v>
      </c>
      <c r="AL33" s="41">
        <f>-612-AK33</f>
        <v>-263</v>
      </c>
      <c r="AM33" s="41">
        <f>-896-AL33-AK33</f>
        <v>-284</v>
      </c>
      <c r="AN33" s="22">
        <f t="shared" si="53"/>
        <v>-326</v>
      </c>
      <c r="AO33" s="43">
        <v>-1222</v>
      </c>
      <c r="AP33" s="41">
        <v>-468</v>
      </c>
      <c r="AQ33" s="41">
        <f>-764-AP33</f>
        <v>-296</v>
      </c>
      <c r="AR33" s="41">
        <f>-1096-AQ33-AP33</f>
        <v>-332</v>
      </c>
      <c r="AS33" s="22">
        <f t="shared" si="54"/>
        <v>-431</v>
      </c>
      <c r="AT33" s="43">
        <v>-1527</v>
      </c>
      <c r="AU33" s="41">
        <v>-567</v>
      </c>
      <c r="AV33" s="41">
        <f>-971-AU33</f>
        <v>-404</v>
      </c>
      <c r="AW33" s="41">
        <f>-1582-AV33-AU33</f>
        <v>-611</v>
      </c>
      <c r="AX33" s="22">
        <f t="shared" si="55"/>
        <v>-648</v>
      </c>
      <c r="AY33" s="43">
        <v>-2230</v>
      </c>
      <c r="AZ33" s="41">
        <v>-674</v>
      </c>
      <c r="BA33" s="41">
        <f>-1101-AZ33</f>
        <v>-427</v>
      </c>
      <c r="BB33" s="41">
        <f>-1986-BA33-AZ33</f>
        <v>-885</v>
      </c>
      <c r="BC33" s="22">
        <f t="shared" si="56"/>
        <v>-956</v>
      </c>
      <c r="BD33" s="43">
        <v>-2942</v>
      </c>
      <c r="BE33" s="22">
        <f>-Income_Statement_Qtr!BE10*BE74</f>
        <v>-1007.7724774580466</v>
      </c>
      <c r="BF33" s="22">
        <f>-Income_Statement_Qtr!BF10*BF74</f>
        <v>-1016.6450774580467</v>
      </c>
      <c r="BG33" s="22">
        <f>-Income_Statement_Qtr!BG10*BG74</f>
        <v>-1020.2673774580467</v>
      </c>
      <c r="BH33" s="20">
        <f>BI33-SUM(BE33:BG33)</f>
        <v>-1013.7146774580469</v>
      </c>
      <c r="BI33" s="191">
        <f>-Income_Statement_Qtr!BI10*BI74</f>
        <v>-4058.3996098321868</v>
      </c>
      <c r="BJ33" s="26" t="s">
        <v>681</v>
      </c>
      <c r="BK33" s="109"/>
    </row>
    <row r="34" spans="1:63">
      <c r="A34" s="1" t="s">
        <v>256</v>
      </c>
      <c r="B34" s="41">
        <v>0</v>
      </c>
      <c r="C34" s="41">
        <f>20-B34</f>
        <v>20</v>
      </c>
      <c r="D34" s="41">
        <f>24-B34-C34</f>
        <v>4</v>
      </c>
      <c r="E34" s="22">
        <f t="shared" si="46"/>
        <v>18</v>
      </c>
      <c r="F34" s="43">
        <v>42</v>
      </c>
      <c r="G34" s="41">
        <v>11</v>
      </c>
      <c r="H34" s="41">
        <f>13-G34</f>
        <v>2</v>
      </c>
      <c r="I34" s="41">
        <f>14-G34-H34</f>
        <v>1</v>
      </c>
      <c r="J34" s="22">
        <f t="shared" si="47"/>
        <v>24</v>
      </c>
      <c r="K34" s="43">
        <v>38</v>
      </c>
      <c r="L34" s="41">
        <v>9</v>
      </c>
      <c r="M34" s="41">
        <f>25-L34</f>
        <v>16</v>
      </c>
      <c r="N34" s="41">
        <f>30-L34-M34</f>
        <v>5</v>
      </c>
      <c r="O34" s="22">
        <f t="shared" si="48"/>
        <v>62</v>
      </c>
      <c r="P34" s="43">
        <v>92</v>
      </c>
      <c r="Q34" s="41">
        <v>27</v>
      </c>
      <c r="R34" s="41">
        <f>41-Q34</f>
        <v>14</v>
      </c>
      <c r="S34" s="41">
        <f>117-Q34-R34</f>
        <v>76</v>
      </c>
      <c r="T34" s="22">
        <f t="shared" si="49"/>
        <v>3</v>
      </c>
      <c r="U34" s="43">
        <v>120</v>
      </c>
      <c r="V34" s="41">
        <v>110</v>
      </c>
      <c r="W34" s="41">
        <f>331-V34</f>
        <v>221</v>
      </c>
      <c r="X34" s="41">
        <f>334-V34-W34</f>
        <v>3</v>
      </c>
      <c r="Y34" s="22">
        <f t="shared" si="50"/>
        <v>0</v>
      </c>
      <c r="Z34" s="43">
        <v>334</v>
      </c>
      <c r="AA34" s="41">
        <v>58</v>
      </c>
      <c r="AB34" s="41">
        <f>96-AA34</f>
        <v>38</v>
      </c>
      <c r="AC34" s="41">
        <f>275-AA34-AB34</f>
        <v>179</v>
      </c>
      <c r="AD34" s="22">
        <f t="shared" si="51"/>
        <v>21</v>
      </c>
      <c r="AE34" s="43">
        <v>296</v>
      </c>
      <c r="AF34" s="41">
        <v>2</v>
      </c>
      <c r="AG34" s="41">
        <f>51-AF34</f>
        <v>49</v>
      </c>
      <c r="AH34" s="41">
        <f>385-AG34-AF34</f>
        <v>334</v>
      </c>
      <c r="AI34" s="22">
        <f t="shared" si="52"/>
        <v>144</v>
      </c>
      <c r="AJ34" s="43">
        <v>529</v>
      </c>
      <c r="AK34" s="41">
        <v>8</v>
      </c>
      <c r="AL34" s="41">
        <f>16-AK34</f>
        <v>8</v>
      </c>
      <c r="AM34" s="41">
        <f>19-AL34-AK34</f>
        <v>3</v>
      </c>
      <c r="AN34" s="22">
        <f t="shared" si="53"/>
        <v>16</v>
      </c>
      <c r="AO34" s="43">
        <v>35</v>
      </c>
      <c r="AP34" s="41">
        <v>5</v>
      </c>
      <c r="AQ34" s="41">
        <f>13-AP34</f>
        <v>8</v>
      </c>
      <c r="AR34" s="41">
        <f>19-AQ34-AP34</f>
        <v>6</v>
      </c>
      <c r="AS34" s="22">
        <f t="shared" si="54"/>
        <v>8</v>
      </c>
      <c r="AT34" s="43">
        <v>27</v>
      </c>
      <c r="AU34" s="41">
        <v>11</v>
      </c>
      <c r="AV34" s="41">
        <f>30-AU34</f>
        <v>19</v>
      </c>
      <c r="AW34" s="41">
        <f>46-AV34-AU34</f>
        <v>16</v>
      </c>
      <c r="AX34" s="22">
        <f t="shared" si="55"/>
        <v>3</v>
      </c>
      <c r="AY34" s="43">
        <v>49</v>
      </c>
      <c r="AZ34" s="41">
        <v>3</v>
      </c>
      <c r="BA34" s="41">
        <f>4-AZ34</f>
        <v>1</v>
      </c>
      <c r="BB34" s="41">
        <f>5-BA34-AZ34</f>
        <v>1</v>
      </c>
      <c r="BC34" s="22">
        <f t="shared" si="56"/>
        <v>77</v>
      </c>
      <c r="BD34" s="43">
        <v>82</v>
      </c>
      <c r="BE34" s="41">
        <f t="shared" ref="BE34:BG36" si="57">$BI34/4</f>
        <v>0</v>
      </c>
      <c r="BF34" s="41">
        <f t="shared" si="57"/>
        <v>0</v>
      </c>
      <c r="BG34" s="41">
        <f t="shared" si="57"/>
        <v>0</v>
      </c>
      <c r="BH34" s="20">
        <f>+BI34-SUM(BE34:BG34)</f>
        <v>0</v>
      </c>
      <c r="BI34" s="43">
        <v>0</v>
      </c>
    </row>
    <row r="35" spans="1:63">
      <c r="A35" s="1" t="s">
        <v>257</v>
      </c>
      <c r="B35" s="41">
        <v>0</v>
      </c>
      <c r="C35" s="41">
        <f>-23-B35</f>
        <v>-23</v>
      </c>
      <c r="D35" s="41">
        <f>-23-B35-C35</f>
        <v>0</v>
      </c>
      <c r="E35" s="22">
        <f t="shared" si="46"/>
        <v>-8</v>
      </c>
      <c r="F35" s="43">
        <v>-31</v>
      </c>
      <c r="G35" s="41">
        <v>0</v>
      </c>
      <c r="H35" s="41">
        <f>0-G35</f>
        <v>0</v>
      </c>
      <c r="I35" s="41">
        <f>0-G35-H35</f>
        <v>0</v>
      </c>
      <c r="J35" s="22">
        <f t="shared" si="47"/>
        <v>-297</v>
      </c>
      <c r="K35" s="43">
        <v>-297</v>
      </c>
      <c r="L35" s="41">
        <v>0</v>
      </c>
      <c r="M35" s="41">
        <f>0-L35</f>
        <v>0</v>
      </c>
      <c r="N35" s="41">
        <f>0-L35-M35</f>
        <v>0</v>
      </c>
      <c r="O35" s="22">
        <f t="shared" si="48"/>
        <v>-324</v>
      </c>
      <c r="P35" s="43">
        <v>-324</v>
      </c>
      <c r="Q35" s="41">
        <v>0</v>
      </c>
      <c r="R35" s="41">
        <f>0-Q35</f>
        <v>0</v>
      </c>
      <c r="S35" s="41">
        <f>-250-Q35-R35</f>
        <v>-250</v>
      </c>
      <c r="T35" s="22">
        <f t="shared" si="49"/>
        <v>-2980</v>
      </c>
      <c r="U35" s="43">
        <v>-3230</v>
      </c>
      <c r="V35" s="41">
        <v>-276</v>
      </c>
      <c r="W35" s="41">
        <f>-492-V35</f>
        <v>-216</v>
      </c>
      <c r="X35" s="41">
        <f>-492-V35-W35</f>
        <v>0</v>
      </c>
      <c r="Y35" s="22">
        <f t="shared" si="50"/>
        <v>37</v>
      </c>
      <c r="Z35" s="43">
        <v>-455</v>
      </c>
      <c r="AA35" s="41">
        <v>0</v>
      </c>
      <c r="AB35" s="41">
        <f>0-AA35</f>
        <v>0</v>
      </c>
      <c r="AC35" s="41">
        <f>0-AA35-AB35</f>
        <v>0</v>
      </c>
      <c r="AD35" s="22">
        <f t="shared" si="51"/>
        <v>0</v>
      </c>
      <c r="AE35" s="43">
        <v>0</v>
      </c>
      <c r="AF35" s="41">
        <v>0</v>
      </c>
      <c r="AG35" s="41">
        <f>0-AF35</f>
        <v>0</v>
      </c>
      <c r="AH35" s="41">
        <f>-6-AG35-AF35</f>
        <v>-6</v>
      </c>
      <c r="AI35" s="22">
        <f t="shared" si="52"/>
        <v>0</v>
      </c>
      <c r="AJ35" s="43">
        <v>-6</v>
      </c>
      <c r="AK35" s="41">
        <v>0</v>
      </c>
      <c r="AL35" s="41">
        <f>0-AK35</f>
        <v>0</v>
      </c>
      <c r="AM35" s="41">
        <f>0-AL35-AK35</f>
        <v>0</v>
      </c>
      <c r="AN35" s="22">
        <f t="shared" si="53"/>
        <v>0</v>
      </c>
      <c r="AO35" s="43">
        <v>0</v>
      </c>
      <c r="AP35" s="41">
        <v>0</v>
      </c>
      <c r="AQ35" s="41">
        <f>0-AP35</f>
        <v>0</v>
      </c>
      <c r="AR35" s="41">
        <f>-19-AQ35-AP35</f>
        <v>-19</v>
      </c>
      <c r="AS35" s="22">
        <f t="shared" si="54"/>
        <v>-51</v>
      </c>
      <c r="AT35" s="43">
        <v>-70</v>
      </c>
      <c r="AU35" s="41">
        <v>0</v>
      </c>
      <c r="AV35" s="41">
        <f>-50-AU35</f>
        <v>-50</v>
      </c>
      <c r="AW35" s="41">
        <f>-50-AV35-AU35</f>
        <v>0</v>
      </c>
      <c r="AX35" s="22">
        <f t="shared" si="55"/>
        <v>0</v>
      </c>
      <c r="AY35" s="43">
        <v>-50</v>
      </c>
      <c r="AZ35" s="41">
        <v>0</v>
      </c>
      <c r="BA35" s="41">
        <f>0-AZ35</f>
        <v>0</v>
      </c>
      <c r="BB35" s="41">
        <f>0-BA35-AZ35</f>
        <v>0</v>
      </c>
      <c r="BC35" s="22">
        <f t="shared" si="56"/>
        <v>-1248</v>
      </c>
      <c r="BD35" s="43">
        <v>-1248</v>
      </c>
      <c r="BE35" s="41">
        <f t="shared" si="57"/>
        <v>0</v>
      </c>
      <c r="BF35" s="41">
        <f t="shared" si="57"/>
        <v>0</v>
      </c>
      <c r="BG35" s="41">
        <f t="shared" si="57"/>
        <v>0</v>
      </c>
      <c r="BH35" s="22">
        <f>+BI35-SUM(BE35:BG35)</f>
        <v>0</v>
      </c>
      <c r="BI35" s="43">
        <v>0</v>
      </c>
    </row>
    <row r="36" spans="1:63">
      <c r="A36" s="1" t="s">
        <v>258</v>
      </c>
      <c r="B36" s="41">
        <v>0</v>
      </c>
      <c r="C36" s="41">
        <f>0-B36</f>
        <v>0</v>
      </c>
      <c r="D36" s="41">
        <f>0-B36-C36</f>
        <v>0</v>
      </c>
      <c r="E36" s="22">
        <f t="shared" si="46"/>
        <v>0</v>
      </c>
      <c r="F36" s="43">
        <v>0</v>
      </c>
      <c r="G36" s="41">
        <v>0</v>
      </c>
      <c r="H36" s="41">
        <f>0-G36</f>
        <v>0</v>
      </c>
      <c r="I36" s="41">
        <f>0-G36-H36</f>
        <v>0</v>
      </c>
      <c r="J36" s="22">
        <f t="shared" si="47"/>
        <v>0</v>
      </c>
      <c r="K36" s="43">
        <v>0</v>
      </c>
      <c r="L36" s="41">
        <v>0</v>
      </c>
      <c r="M36" s="41">
        <f>0-L36</f>
        <v>0</v>
      </c>
      <c r="N36" s="41">
        <f>0-L36-M36</f>
        <v>0</v>
      </c>
      <c r="O36" s="22">
        <f t="shared" si="48"/>
        <v>0</v>
      </c>
      <c r="P36" s="43">
        <v>0</v>
      </c>
      <c r="Q36" s="41">
        <v>0</v>
      </c>
      <c r="R36" s="41">
        <f>0-Q36</f>
        <v>0</v>
      </c>
      <c r="S36" s="41">
        <f>0-Q36-R36</f>
        <v>0</v>
      </c>
      <c r="T36" s="22">
        <f t="shared" si="49"/>
        <v>0</v>
      </c>
      <c r="U36" s="43">
        <v>0</v>
      </c>
      <c r="V36" s="41">
        <v>0</v>
      </c>
      <c r="W36" s="41">
        <f>0-V36</f>
        <v>0</v>
      </c>
      <c r="X36" s="41">
        <f>0-V36-W36</f>
        <v>0</v>
      </c>
      <c r="Y36" s="22">
        <f t="shared" si="50"/>
        <v>464</v>
      </c>
      <c r="Z36" s="43">
        <v>464</v>
      </c>
      <c r="AA36" s="41">
        <v>0</v>
      </c>
      <c r="AB36" s="41">
        <f>0-AA36</f>
        <v>0</v>
      </c>
      <c r="AC36" s="41">
        <f>0-AA36-AB36</f>
        <v>0</v>
      </c>
      <c r="AD36" s="22">
        <f t="shared" si="51"/>
        <v>0</v>
      </c>
      <c r="AE36" s="43">
        <v>0</v>
      </c>
      <c r="AF36" s="41">
        <v>0</v>
      </c>
      <c r="AG36" s="41">
        <f>0-AF36</f>
        <v>0</v>
      </c>
      <c r="AH36" s="41">
        <f>0-AF36-AG36</f>
        <v>0</v>
      </c>
      <c r="AI36" s="22">
        <f t="shared" si="52"/>
        <v>0</v>
      </c>
      <c r="AJ36" s="43">
        <v>0</v>
      </c>
      <c r="AK36" s="41">
        <v>0</v>
      </c>
      <c r="AL36" s="41">
        <f>0-AK36</f>
        <v>0</v>
      </c>
      <c r="AM36" s="41">
        <f>0-AK36-AL36</f>
        <v>0</v>
      </c>
      <c r="AN36" s="22">
        <f t="shared" si="53"/>
        <v>0</v>
      </c>
      <c r="AO36" s="43">
        <v>0</v>
      </c>
      <c r="AP36" s="41">
        <v>0</v>
      </c>
      <c r="AQ36" s="41">
        <f>0-AP36</f>
        <v>0</v>
      </c>
      <c r="AR36" s="41">
        <f>0-AP36-AQ36</f>
        <v>0</v>
      </c>
      <c r="AS36" s="22">
        <f t="shared" si="54"/>
        <v>0</v>
      </c>
      <c r="AT36" s="43">
        <v>0</v>
      </c>
      <c r="AU36" s="41">
        <v>0</v>
      </c>
      <c r="AV36" s="41">
        <f>0-AU36</f>
        <v>0</v>
      </c>
      <c r="AW36" s="41">
        <f>0-AU36-AV36</f>
        <v>0</v>
      </c>
      <c r="AX36" s="22">
        <f t="shared" si="55"/>
        <v>124</v>
      </c>
      <c r="AY36" s="43">
        <v>124</v>
      </c>
      <c r="AZ36" s="41">
        <v>0</v>
      </c>
      <c r="BA36" s="41">
        <f>35-AZ36</f>
        <v>35</v>
      </c>
      <c r="BB36" s="41">
        <f>35-AZ36-BA36</f>
        <v>0</v>
      </c>
      <c r="BC36" s="22">
        <f t="shared" si="56"/>
        <v>10550</v>
      </c>
      <c r="BD36" s="43">
        <v>10585</v>
      </c>
      <c r="BE36" s="41">
        <f t="shared" si="57"/>
        <v>0</v>
      </c>
      <c r="BF36" s="41">
        <f t="shared" si="57"/>
        <v>0</v>
      </c>
      <c r="BG36" s="41">
        <f t="shared" si="57"/>
        <v>0</v>
      </c>
      <c r="BH36" s="22">
        <f>+BI36-SUM(BE36:BG36)</f>
        <v>0</v>
      </c>
      <c r="BI36" s="43">
        <v>0</v>
      </c>
    </row>
    <row r="37" spans="1:63">
      <c r="A37" s="1" t="s">
        <v>259</v>
      </c>
      <c r="B37" s="41">
        <v>-807</v>
      </c>
      <c r="C37" s="41">
        <f>-1205-B37</f>
        <v>-398</v>
      </c>
      <c r="D37" s="41">
        <f>-1341-B37-C37</f>
        <v>-136</v>
      </c>
      <c r="E37" s="22">
        <f t="shared" si="46"/>
        <v>-695</v>
      </c>
      <c r="F37" s="43">
        <v>-2036</v>
      </c>
      <c r="G37" s="41">
        <v>-204</v>
      </c>
      <c r="H37" s="41">
        <f>-657-G37</f>
        <v>-453</v>
      </c>
      <c r="I37" s="41">
        <f>-928-G37-H37</f>
        <v>-271</v>
      </c>
      <c r="J37" s="22">
        <f t="shared" si="47"/>
        <v>-791</v>
      </c>
      <c r="K37" s="43">
        <v>-1719</v>
      </c>
      <c r="L37" s="41">
        <v>-605</v>
      </c>
      <c r="M37" s="41">
        <f>-1820-L37</f>
        <v>-1215</v>
      </c>
      <c r="N37" s="41">
        <f>-2815-L37-M37</f>
        <v>-995</v>
      </c>
      <c r="O37" s="22">
        <f t="shared" si="48"/>
        <v>-754</v>
      </c>
      <c r="P37" s="43">
        <v>-3569</v>
      </c>
      <c r="Q37" s="41">
        <v>-249</v>
      </c>
      <c r="R37" s="41">
        <f>-1537-Q37</f>
        <v>-1288</v>
      </c>
      <c r="S37" s="41">
        <f>-2145-Q37-R37</f>
        <v>-608</v>
      </c>
      <c r="T37" s="22">
        <f t="shared" si="49"/>
        <v>-462</v>
      </c>
      <c r="U37" s="43">
        <v>-2607</v>
      </c>
      <c r="V37" s="41">
        <v>-457</v>
      </c>
      <c r="W37" s="41">
        <f>-496-V37</f>
        <v>-39</v>
      </c>
      <c r="X37" s="41">
        <f>-1439-V37-W37</f>
        <v>-943</v>
      </c>
      <c r="Y37" s="22">
        <f t="shared" si="50"/>
        <v>-219</v>
      </c>
      <c r="Z37" s="43">
        <v>-1658</v>
      </c>
      <c r="AA37" s="41">
        <v>-244</v>
      </c>
      <c r="AB37" s="41">
        <f>-12557-AA37</f>
        <v>-12313</v>
      </c>
      <c r="AC37" s="41">
        <f>-25846-AA37-AB37</f>
        <v>-13289</v>
      </c>
      <c r="AD37" s="22">
        <f t="shared" si="51"/>
        <v>-11770</v>
      </c>
      <c r="AE37" s="43">
        <v>-37616</v>
      </c>
      <c r="AF37" s="41">
        <v>-9688</v>
      </c>
      <c r="AG37" s="41">
        <f>-20108-AF37</f>
        <v>-10420</v>
      </c>
      <c r="AH37" s="41">
        <f>-27902-AG37-AF37</f>
        <v>-7794</v>
      </c>
      <c r="AI37" s="22">
        <f t="shared" si="52"/>
        <v>-7811</v>
      </c>
      <c r="AJ37" s="43">
        <v>-35713</v>
      </c>
      <c r="AK37" s="41">
        <v>-1732</v>
      </c>
      <c r="AL37" s="41">
        <f>-2471-AK37</f>
        <v>-739</v>
      </c>
      <c r="AM37" s="41">
        <f>-2773-AL37-AK37</f>
        <v>-302</v>
      </c>
      <c r="AN37" s="22">
        <f t="shared" si="53"/>
        <v>-2278</v>
      </c>
      <c r="AO37" s="43">
        <v>-5051</v>
      </c>
      <c r="AP37" s="41">
        <v>-3561</v>
      </c>
      <c r="AQ37" s="41">
        <f>-9496-AP37</f>
        <v>-5935</v>
      </c>
      <c r="AR37" s="41">
        <f>-14485-AQ37-AP37</f>
        <v>-4989</v>
      </c>
      <c r="AS37" s="22">
        <f t="shared" si="54"/>
        <v>-1963</v>
      </c>
      <c r="AT37" s="43">
        <v>-16448</v>
      </c>
      <c r="AU37" s="41">
        <v>-243</v>
      </c>
      <c r="AV37" s="41">
        <f>-1617-AU37</f>
        <v>-1374</v>
      </c>
      <c r="AW37" s="41">
        <f>-1751-AV37-AU37</f>
        <v>-134</v>
      </c>
      <c r="AX37" s="22">
        <f t="shared" si="55"/>
        <v>-12105</v>
      </c>
      <c r="AY37" s="43">
        <v>-13856</v>
      </c>
      <c r="AZ37" s="41">
        <v>-8797</v>
      </c>
      <c r="BA37" s="41">
        <f>-21581-AZ37</f>
        <v>-12784</v>
      </c>
      <c r="BB37" s="41">
        <f>-36337-BA37-AZ37</f>
        <v>-14756</v>
      </c>
      <c r="BC37" s="22">
        <f t="shared" si="56"/>
        <v>-15601</v>
      </c>
      <c r="BD37" s="43">
        <v>-51938</v>
      </c>
      <c r="BE37" s="22">
        <f>IF(((Balance_Sheet_Qtr!BD7-Balance_Sheet_Qtr!BE7)+(Balance_Sheet_Qtr!BD23-Balance_Sheet_Qtr!BE23))&lt;0,((Balance_Sheet_Qtr!BD7-Balance_Sheet_Qtr!BE7)+(Balance_Sheet_Qtr!BD23-Balance_Sheet_Qtr!BE23)),0)</f>
        <v>0</v>
      </c>
      <c r="BF37" s="22">
        <f>IF(((Balance_Sheet_Qtr!BE7-Balance_Sheet_Qtr!BF7)+(Balance_Sheet_Qtr!BE23-Balance_Sheet_Qtr!BF23))&lt;0,((Balance_Sheet_Qtr!BE7-Balance_Sheet_Qtr!BF7)+(Balance_Sheet_Qtr!BE23-Balance_Sheet_Qtr!BF23)),0)</f>
        <v>0</v>
      </c>
      <c r="BG37" s="22">
        <f>IF(((Balance_Sheet_Qtr!BF7-Balance_Sheet_Qtr!BG7)+(Balance_Sheet_Qtr!BF23-Balance_Sheet_Qtr!BG23))&lt;0,((Balance_Sheet_Qtr!BF7-Balance_Sheet_Qtr!BG7)+(Balance_Sheet_Qtr!BF23-Balance_Sheet_Qtr!BG23)),0)</f>
        <v>0</v>
      </c>
      <c r="BH37" s="20">
        <f>IF(((Balance_Sheet_Qtr!BG7-Balance_Sheet_Qtr!BH7)+(Balance_Sheet_Qtr!BG23-Balance_Sheet_Qtr!BH23))&lt;0,((Balance_Sheet_Qtr!BG7-Balance_Sheet_Qtr!BH7)+(Balance_Sheet_Qtr!BG23-Balance_Sheet_Qtr!BH23)),0)</f>
        <v>0</v>
      </c>
      <c r="BI37" s="23">
        <f>SUM(BE37:BH37)</f>
        <v>0</v>
      </c>
    </row>
    <row r="38" spans="1:63">
      <c r="A38" s="1" t="s">
        <v>260</v>
      </c>
      <c r="B38" s="41">
        <v>1159</v>
      </c>
      <c r="C38" s="41">
        <f>2040-B38</f>
        <v>881</v>
      </c>
      <c r="D38" s="41">
        <f>2169-B38-C38</f>
        <v>129</v>
      </c>
      <c r="E38" s="22">
        <f t="shared" si="46"/>
        <v>421</v>
      </c>
      <c r="F38" s="43">
        <v>2590</v>
      </c>
      <c r="G38" s="41">
        <v>493</v>
      </c>
      <c r="H38" s="41">
        <f>705-G38</f>
        <v>212</v>
      </c>
      <c r="I38" s="41">
        <f>956-G38-H38</f>
        <v>251</v>
      </c>
      <c r="J38" s="22">
        <f t="shared" si="47"/>
        <v>253</v>
      </c>
      <c r="K38" s="43">
        <v>1209</v>
      </c>
      <c r="L38" s="41">
        <v>803</v>
      </c>
      <c r="M38" s="41">
        <f>1441-L38</f>
        <v>638</v>
      </c>
      <c r="N38" s="41">
        <f>2612-L38-M38</f>
        <v>1171</v>
      </c>
      <c r="O38" s="22">
        <f t="shared" si="48"/>
        <v>995</v>
      </c>
      <c r="P38" s="43">
        <v>3607</v>
      </c>
      <c r="Q38" s="41">
        <v>752</v>
      </c>
      <c r="R38" s="41">
        <f>1028-Q38</f>
        <v>276</v>
      </c>
      <c r="S38" s="41">
        <f>1369-Q38-R38</f>
        <v>341</v>
      </c>
      <c r="T38" s="22">
        <f t="shared" si="49"/>
        <v>1529</v>
      </c>
      <c r="U38" s="43">
        <v>2898</v>
      </c>
      <c r="V38" s="41">
        <v>366</v>
      </c>
      <c r="W38" s="41">
        <f>758-V38</f>
        <v>392</v>
      </c>
      <c r="X38" s="41">
        <f>967-V38-W38</f>
        <v>209</v>
      </c>
      <c r="Y38" s="22">
        <f t="shared" si="50"/>
        <v>792</v>
      </c>
      <c r="Z38" s="43">
        <v>1759</v>
      </c>
      <c r="AA38" s="41">
        <v>227</v>
      </c>
      <c r="AB38" s="41">
        <f>543-AA38</f>
        <v>316</v>
      </c>
      <c r="AC38" s="41">
        <f>9772-AA38-AB38</f>
        <v>9229</v>
      </c>
      <c r="AD38" s="22">
        <f t="shared" si="51"/>
        <v>10503</v>
      </c>
      <c r="AE38" s="43">
        <v>20275</v>
      </c>
      <c r="AF38" s="41">
        <v>12738</v>
      </c>
      <c r="AG38" s="41">
        <f>24989-AF38</f>
        <v>12251</v>
      </c>
      <c r="AH38" s="41">
        <f>35664-AG38-AF38</f>
        <v>10675</v>
      </c>
      <c r="AI38" s="22">
        <f t="shared" si="52"/>
        <v>9825</v>
      </c>
      <c r="AJ38" s="43">
        <v>45489</v>
      </c>
      <c r="AK38" s="41">
        <v>5037</v>
      </c>
      <c r="AL38" s="41">
        <f>9296-AK38</f>
        <v>4259</v>
      </c>
      <c r="AM38" s="41">
        <f>10182-AL38-AK38</f>
        <v>886</v>
      </c>
      <c r="AN38" s="22">
        <f t="shared" si="53"/>
        <v>437</v>
      </c>
      <c r="AO38" s="43">
        <v>10619</v>
      </c>
      <c r="AP38" s="41">
        <v>2203</v>
      </c>
      <c r="AQ38" s="41">
        <f>5567-AP38</f>
        <v>3364</v>
      </c>
      <c r="AR38" s="41">
        <f>10497-AQ38-AP38</f>
        <v>4930</v>
      </c>
      <c r="AS38" s="22">
        <f t="shared" si="54"/>
        <v>5242</v>
      </c>
      <c r="AT38" s="43">
        <v>15739</v>
      </c>
      <c r="AU38" s="41">
        <v>2907</v>
      </c>
      <c r="AV38" s="41">
        <f>3173-AU38</f>
        <v>266</v>
      </c>
      <c r="AW38" s="41">
        <f>4546-AV38-AU38</f>
        <v>1373</v>
      </c>
      <c r="AX38" s="22">
        <f t="shared" si="55"/>
        <v>197</v>
      </c>
      <c r="AY38" s="43">
        <v>4743</v>
      </c>
      <c r="AZ38" s="41">
        <v>7750</v>
      </c>
      <c r="BA38" s="41">
        <f>18847-AZ38</f>
        <v>11097</v>
      </c>
      <c r="BB38" s="41">
        <f>32674-BA38-AZ38</f>
        <v>13827</v>
      </c>
      <c r="BC38" s="22">
        <f t="shared" si="56"/>
        <v>13954</v>
      </c>
      <c r="BD38" s="43">
        <v>46628</v>
      </c>
      <c r="BE38" s="22">
        <f>IF(((Balance_Sheet_Qtr!BD7-Balance_Sheet_Qtr!BE7)+(Balance_Sheet_Qtr!BD23-Balance_Sheet_Qtr!BE23))&gt;0,((Balance_Sheet_Qtr!BD7-Balance_Sheet_Qtr!BE7)+(Balance_Sheet_Qtr!BD23-Balance_Sheet_Qtr!BE23)),0)</f>
        <v>0</v>
      </c>
      <c r="BF38" s="22">
        <f>IF(((Balance_Sheet_Qtr!BE7-Balance_Sheet_Qtr!BF7)+(Balance_Sheet_Qtr!BE23-Balance_Sheet_Qtr!BF23))&gt;0,((Balance_Sheet_Qtr!BE7-Balance_Sheet_Qtr!BF7)+(Balance_Sheet_Qtr!BE23-Balance_Sheet_Qtr!BF23)),0)</f>
        <v>0</v>
      </c>
      <c r="BG38" s="22">
        <f>IF(((Balance_Sheet_Qtr!BF7-Balance_Sheet_Qtr!BG7)+(Balance_Sheet_Qtr!BF23-Balance_Sheet_Qtr!BG23))&gt;0,((Balance_Sheet_Qtr!BF7-Balance_Sheet_Qtr!BG7)+(Balance_Sheet_Qtr!BF23-Balance_Sheet_Qtr!BG23)),0)</f>
        <v>0</v>
      </c>
      <c r="BH38" s="22">
        <f>IF(((Balance_Sheet_Qtr!BG7-Balance_Sheet_Qtr!BH7)+(Balance_Sheet_Qtr!BG23-Balance_Sheet_Qtr!BH23))&gt;0,((Balance_Sheet_Qtr!BG7-Balance_Sheet_Qtr!BH7)+(Balance_Sheet_Qtr!BG23-Balance_Sheet_Qtr!BH23)),0)</f>
        <v>0</v>
      </c>
      <c r="BI38" s="23">
        <f>SUM(BE38:BH38)</f>
        <v>0</v>
      </c>
    </row>
    <row r="39" spans="1:63">
      <c r="A39" s="1" t="s">
        <v>261</v>
      </c>
      <c r="B39" s="41">
        <v>0</v>
      </c>
      <c r="C39" s="41">
        <f>0-B39</f>
        <v>0</v>
      </c>
      <c r="D39" s="41">
        <f>0-B39-C39</f>
        <v>0</v>
      </c>
      <c r="E39" s="22">
        <f t="shared" si="46"/>
        <v>0</v>
      </c>
      <c r="F39" s="43">
        <v>0</v>
      </c>
      <c r="G39" s="41">
        <v>0</v>
      </c>
      <c r="H39" s="41">
        <f>0-G39</f>
        <v>0</v>
      </c>
      <c r="I39" s="41">
        <f>0-G39-H39</f>
        <v>0</v>
      </c>
      <c r="J39" s="22">
        <f t="shared" si="47"/>
        <v>0</v>
      </c>
      <c r="K39" s="43">
        <v>0</v>
      </c>
      <c r="L39" s="41">
        <v>0</v>
      </c>
      <c r="M39" s="41">
        <f>-131-L39</f>
        <v>-131</v>
      </c>
      <c r="N39" s="41">
        <f>-131-L39-M39</f>
        <v>0</v>
      </c>
      <c r="O39" s="22">
        <f t="shared" si="48"/>
        <v>0</v>
      </c>
      <c r="P39" s="43">
        <v>-131</v>
      </c>
      <c r="Q39" s="41">
        <v>-20</v>
      </c>
      <c r="R39" s="41">
        <f>-56-Q39</f>
        <v>-36</v>
      </c>
      <c r="S39" s="41">
        <f>-56-Q39-R39</f>
        <v>0</v>
      </c>
      <c r="T39" s="22">
        <f t="shared" si="49"/>
        <v>-13</v>
      </c>
      <c r="U39" s="43">
        <v>-69</v>
      </c>
      <c r="V39" s="41">
        <v>0</v>
      </c>
      <c r="W39" s="41">
        <f>-20-V39</f>
        <v>-20</v>
      </c>
      <c r="X39" s="41">
        <f>-20-V39-W39</f>
        <v>0</v>
      </c>
      <c r="Y39" s="22">
        <f t="shared" si="50"/>
        <v>-107</v>
      </c>
      <c r="Z39" s="43">
        <v>-127</v>
      </c>
      <c r="AA39" s="41">
        <v>0</v>
      </c>
      <c r="AB39" s="41">
        <f>0-AA39</f>
        <v>0</v>
      </c>
      <c r="AC39" s="41">
        <f>0-AA39-AB39</f>
        <v>0</v>
      </c>
      <c r="AD39" s="22">
        <f t="shared" si="51"/>
        <v>0</v>
      </c>
      <c r="AE39" s="43">
        <v>0</v>
      </c>
      <c r="AF39" s="41">
        <v>0</v>
      </c>
      <c r="AG39" s="41">
        <f>0-AF39</f>
        <v>0</v>
      </c>
      <c r="AH39" s="41">
        <f>0-AF39-AG39</f>
        <v>0</v>
      </c>
      <c r="AI39" s="22">
        <f t="shared" si="52"/>
        <v>0</v>
      </c>
      <c r="AJ39" s="43">
        <v>0</v>
      </c>
      <c r="AK39" s="41">
        <v>0</v>
      </c>
      <c r="AL39" s="41">
        <f>0-AK39</f>
        <v>0</v>
      </c>
      <c r="AM39" s="41">
        <f>0-AK39-AL39</f>
        <v>0</v>
      </c>
      <c r="AN39" s="22">
        <f t="shared" si="53"/>
        <v>0</v>
      </c>
      <c r="AO39" s="43">
        <v>0</v>
      </c>
      <c r="AP39" s="41">
        <v>0</v>
      </c>
      <c r="AQ39" s="41">
        <f>0-AP39</f>
        <v>0</v>
      </c>
      <c r="AR39" s="41">
        <f>0-AP39-AQ39</f>
        <v>0</v>
      </c>
      <c r="AS39" s="22">
        <f t="shared" si="54"/>
        <v>0</v>
      </c>
      <c r="AT39" s="43">
        <v>0</v>
      </c>
      <c r="AU39" s="41">
        <v>0</v>
      </c>
      <c r="AV39" s="41">
        <f>0-AU39</f>
        <v>0</v>
      </c>
      <c r="AW39" s="41">
        <f>0-AU39-AV39</f>
        <v>0</v>
      </c>
      <c r="AX39" s="22">
        <f t="shared" si="55"/>
        <v>0</v>
      </c>
      <c r="AY39" s="43">
        <v>0</v>
      </c>
      <c r="AZ39" s="41">
        <v>0</v>
      </c>
      <c r="BA39" s="41">
        <f>0-AZ39</f>
        <v>0</v>
      </c>
      <c r="BB39" s="41">
        <f>0-AZ39-BA39</f>
        <v>0</v>
      </c>
      <c r="BC39" s="22">
        <f t="shared" si="56"/>
        <v>-9</v>
      </c>
      <c r="BD39" s="43">
        <v>-9</v>
      </c>
      <c r="BE39" s="41">
        <v>0</v>
      </c>
      <c r="BF39" s="41">
        <v>0</v>
      </c>
      <c r="BG39" s="41">
        <v>0</v>
      </c>
      <c r="BH39" s="22">
        <f>+BI39-SUM(BE39:BG39)</f>
        <v>0</v>
      </c>
      <c r="BI39" s="43">
        <v>0</v>
      </c>
    </row>
    <row r="40" spans="1:63">
      <c r="A40" s="183" t="s">
        <v>44</v>
      </c>
      <c r="B40" s="19">
        <v>8</v>
      </c>
      <c r="C40" s="19">
        <f>22-B40</f>
        <v>14</v>
      </c>
      <c r="D40" s="19">
        <f>33-B40-C40</f>
        <v>11</v>
      </c>
      <c r="E40" s="20">
        <f t="shared" si="46"/>
        <v>6</v>
      </c>
      <c r="F40" s="21">
        <v>39</v>
      </c>
      <c r="G40" s="19">
        <v>10</v>
      </c>
      <c r="H40" s="19">
        <f>8-G40</f>
        <v>-2</v>
      </c>
      <c r="I40" s="19">
        <f>8-G40-H40</f>
        <v>0</v>
      </c>
      <c r="J40" s="20">
        <f t="shared" si="47"/>
        <v>-6</v>
      </c>
      <c r="K40" s="21">
        <v>2</v>
      </c>
      <c r="L40" s="19">
        <v>-1</v>
      </c>
      <c r="M40" s="19">
        <f>7-L40</f>
        <v>8</v>
      </c>
      <c r="N40" s="19">
        <f>7-L40-M40</f>
        <v>0</v>
      </c>
      <c r="O40" s="20">
        <f t="shared" si="48"/>
        <v>-1</v>
      </c>
      <c r="P40" s="21">
        <v>6</v>
      </c>
      <c r="Q40" s="19">
        <v>3</v>
      </c>
      <c r="R40" s="19">
        <f>-1-Q40</f>
        <v>-4</v>
      </c>
      <c r="S40" s="19">
        <f>-5-Q40-R40</f>
        <v>-4</v>
      </c>
      <c r="T40" s="20">
        <f t="shared" si="49"/>
        <v>-6</v>
      </c>
      <c r="U40" s="21">
        <v>-11</v>
      </c>
      <c r="V40" s="19">
        <v>-9</v>
      </c>
      <c r="W40" s="19">
        <f>-12-V40</f>
        <v>-3</v>
      </c>
      <c r="X40" s="19">
        <f>-10-V40-W40</f>
        <v>2</v>
      </c>
      <c r="Y40" s="20">
        <f t="shared" si="50"/>
        <v>-3</v>
      </c>
      <c r="Z40" s="21">
        <v>-13</v>
      </c>
      <c r="AA40" s="19">
        <v>8</v>
      </c>
      <c r="AB40" s="19">
        <f>8-AA40</f>
        <v>0</v>
      </c>
      <c r="AC40" s="19">
        <f>14-AA40-AB40</f>
        <v>6</v>
      </c>
      <c r="AD40" s="20">
        <f t="shared" si="51"/>
        <v>-32</v>
      </c>
      <c r="AE40" s="21">
        <v>-18</v>
      </c>
      <c r="AF40" s="19">
        <v>3</v>
      </c>
      <c r="AG40" s="19">
        <f>4-AF40</f>
        <v>1</v>
      </c>
      <c r="AH40" s="19">
        <f>6-AG40-AF40</f>
        <v>2</v>
      </c>
      <c r="AI40" s="20">
        <f t="shared" si="52"/>
        <v>-1</v>
      </c>
      <c r="AJ40" s="21">
        <v>5</v>
      </c>
      <c r="AK40" s="19">
        <v>1</v>
      </c>
      <c r="AL40" s="19">
        <f>2-AK40</f>
        <v>1</v>
      </c>
      <c r="AM40" s="19">
        <f>-11-AL40-AK40</f>
        <v>-13</v>
      </c>
      <c r="AN40" s="20">
        <f t="shared" si="53"/>
        <v>0</v>
      </c>
      <c r="AO40" s="21">
        <v>-11</v>
      </c>
      <c r="AP40" s="19">
        <v>-2</v>
      </c>
      <c r="AQ40" s="19">
        <f>-158-AP40</f>
        <v>-156</v>
      </c>
      <c r="AR40" s="19">
        <f>-157-AQ40-AP40</f>
        <v>1</v>
      </c>
      <c r="AS40" s="20">
        <f t="shared" si="54"/>
        <v>-1</v>
      </c>
      <c r="AT40" s="21">
        <v>-158</v>
      </c>
      <c r="AU40" s="19">
        <v>-34</v>
      </c>
      <c r="AV40" s="19">
        <f>-17-88-486-AU40</f>
        <v>-557</v>
      </c>
      <c r="AW40" s="19">
        <f>-494+40-88-14-AV40-AU40</f>
        <v>35</v>
      </c>
      <c r="AX40" s="20">
        <f t="shared" si="55"/>
        <v>-197</v>
      </c>
      <c r="AY40" s="21">
        <f>-694+40-88-11</f>
        <v>-753</v>
      </c>
      <c r="AZ40" s="19">
        <v>1</v>
      </c>
      <c r="BA40" s="19">
        <f>-150-AZ40</f>
        <v>-151</v>
      </c>
      <c r="BB40" s="19">
        <f>-292-BA40-AZ40</f>
        <v>-142</v>
      </c>
      <c r="BC40" s="20">
        <f t="shared" si="56"/>
        <v>-367</v>
      </c>
      <c r="BD40" s="21">
        <f>2+1-662</f>
        <v>-659</v>
      </c>
      <c r="BE40" s="41">
        <v>0</v>
      </c>
      <c r="BF40" s="41">
        <v>0</v>
      </c>
      <c r="BG40" s="41">
        <v>0</v>
      </c>
      <c r="BH40" s="19">
        <v>0</v>
      </c>
      <c r="BI40" s="43">
        <v>0</v>
      </c>
    </row>
    <row r="41" spans="1:63">
      <c r="A41" s="9" t="s">
        <v>72</v>
      </c>
      <c r="B41" s="24">
        <f t="shared" ref="B41:AA41" si="58">+SUM(B32:B40)</f>
        <v>-214</v>
      </c>
      <c r="C41" s="24">
        <f t="shared" si="58"/>
        <v>-198</v>
      </c>
      <c r="D41" s="24">
        <f t="shared" si="58"/>
        <v>-553</v>
      </c>
      <c r="E41" s="24">
        <f t="shared" si="58"/>
        <v>-881</v>
      </c>
      <c r="F41" s="25">
        <f t="shared" si="58"/>
        <v>-1846</v>
      </c>
      <c r="G41" s="24">
        <f t="shared" si="58"/>
        <v>-438</v>
      </c>
      <c r="H41" s="24">
        <f t="shared" si="58"/>
        <v>-912</v>
      </c>
      <c r="I41" s="24">
        <f t="shared" si="58"/>
        <v>-614</v>
      </c>
      <c r="J41" s="24">
        <f t="shared" si="58"/>
        <v>-1416</v>
      </c>
      <c r="K41" s="25">
        <f t="shared" si="58"/>
        <v>-3380</v>
      </c>
      <c r="L41" s="24">
        <f t="shared" si="58"/>
        <v>-260</v>
      </c>
      <c r="M41" s="24">
        <f t="shared" si="58"/>
        <v>-1123</v>
      </c>
      <c r="N41" s="24">
        <f t="shared" si="58"/>
        <v>-218</v>
      </c>
      <c r="O41" s="24">
        <f t="shared" si="58"/>
        <v>-457</v>
      </c>
      <c r="P41" s="25">
        <f t="shared" si="58"/>
        <v>-2058</v>
      </c>
      <c r="Q41" s="24">
        <f t="shared" si="58"/>
        <v>119</v>
      </c>
      <c r="R41" s="24">
        <f t="shared" si="58"/>
        <v>-1414</v>
      </c>
      <c r="S41" s="24">
        <f t="shared" si="58"/>
        <v>-902</v>
      </c>
      <c r="T41" s="24">
        <f t="shared" si="58"/>
        <v>-2424</v>
      </c>
      <c r="U41" s="25">
        <f t="shared" si="58"/>
        <v>-4621</v>
      </c>
      <c r="V41" s="24">
        <f t="shared" si="58"/>
        <v>-767</v>
      </c>
      <c r="W41" s="24">
        <f t="shared" si="58"/>
        <v>-86</v>
      </c>
      <c r="X41" s="24">
        <f t="shared" si="58"/>
        <v>-1194</v>
      </c>
      <c r="Y41" s="24">
        <f t="shared" si="58"/>
        <v>517</v>
      </c>
      <c r="Z41" s="25">
        <f t="shared" si="58"/>
        <v>-1530</v>
      </c>
      <c r="AA41" s="24">
        <f t="shared" si="58"/>
        <v>-379</v>
      </c>
      <c r="AB41" s="24">
        <f t="shared" ref="AB41:AM41" si="59">+SUM(AB32:AB40)</f>
        <v>-12307</v>
      </c>
      <c r="AC41" s="24">
        <f t="shared" si="59"/>
        <v>-4137</v>
      </c>
      <c r="AD41" s="24">
        <f t="shared" si="59"/>
        <v>-1543</v>
      </c>
      <c r="AE41" s="25">
        <f t="shared" si="59"/>
        <v>-18366</v>
      </c>
      <c r="AF41" s="24">
        <f t="shared" si="59"/>
        <v>2764</v>
      </c>
      <c r="AG41" s="24">
        <f t="shared" si="59"/>
        <v>1659</v>
      </c>
      <c r="AH41" s="24">
        <f t="shared" si="59"/>
        <v>2966</v>
      </c>
      <c r="AI41" s="24">
        <f t="shared" si="59"/>
        <v>1935</v>
      </c>
      <c r="AJ41" s="25">
        <f t="shared" si="59"/>
        <v>9324</v>
      </c>
      <c r="AK41" s="24">
        <f t="shared" si="59"/>
        <v>2965</v>
      </c>
      <c r="AL41" s="24">
        <f t="shared" si="59"/>
        <v>3266</v>
      </c>
      <c r="AM41" s="24">
        <f t="shared" si="59"/>
        <v>290</v>
      </c>
      <c r="AN41" s="24">
        <f t="shared" ref="AN41:AO41" si="60">+SUM(AN32:AN40)</f>
        <v>-2151</v>
      </c>
      <c r="AO41" s="25">
        <f t="shared" si="60"/>
        <v>4370</v>
      </c>
      <c r="AP41" s="24">
        <f t="shared" ref="AP41" si="61">+SUM(AP32:AP40)</f>
        <v>-1823</v>
      </c>
      <c r="AQ41" s="24">
        <f t="shared" ref="AQ41" si="62">+SUM(AQ32:AQ40)</f>
        <v>-3015</v>
      </c>
      <c r="AR41" s="24">
        <f t="shared" ref="AR41:AV41" si="63">+SUM(AR32:AR40)</f>
        <v>-403</v>
      </c>
      <c r="AS41" s="24">
        <f t="shared" si="63"/>
        <v>2804</v>
      </c>
      <c r="AT41" s="25">
        <f t="shared" si="63"/>
        <v>-2437</v>
      </c>
      <c r="AU41" s="24">
        <f t="shared" si="63"/>
        <v>2074</v>
      </c>
      <c r="AV41" s="24">
        <f t="shared" si="63"/>
        <v>-2100</v>
      </c>
      <c r="AW41" s="24">
        <f t="shared" ref="AW41:BA41" si="64">+SUM(AW32:AW40)</f>
        <v>679</v>
      </c>
      <c r="AX41" s="24">
        <f t="shared" si="64"/>
        <v>-12626</v>
      </c>
      <c r="AY41" s="25">
        <f t="shared" si="64"/>
        <v>-11973</v>
      </c>
      <c r="AZ41" s="24">
        <f t="shared" si="64"/>
        <v>-1717</v>
      </c>
      <c r="BA41" s="24">
        <f t="shared" si="64"/>
        <v>-2229</v>
      </c>
      <c r="BB41" s="24">
        <f t="shared" ref="BB41:BC41" si="65">+SUM(BB32:BB40)</f>
        <v>-1955</v>
      </c>
      <c r="BC41" s="24">
        <f t="shared" si="65"/>
        <v>6400</v>
      </c>
      <c r="BD41" s="25">
        <f t="shared" ref="BD41:BG41" si="66">+SUM(BD32:BD40)</f>
        <v>499</v>
      </c>
      <c r="BE41" s="24">
        <f t="shared" si="66"/>
        <v>-1007.7724774580466</v>
      </c>
      <c r="BF41" s="24">
        <f t="shared" si="66"/>
        <v>-1016.6450774580467</v>
      </c>
      <c r="BG41" s="24">
        <f t="shared" si="66"/>
        <v>-1020.2673774580467</v>
      </c>
      <c r="BH41" s="24">
        <f t="shared" ref="BH41:BI41" si="67">+SUM(BH32:BH40)</f>
        <v>-1013.7146774580469</v>
      </c>
      <c r="BI41" s="25">
        <f t="shared" si="67"/>
        <v>-4058.3996098321868</v>
      </c>
    </row>
    <row r="42" spans="1:63">
      <c r="B42" s="22"/>
      <c r="C42" s="22"/>
      <c r="D42" s="22"/>
      <c r="E42" s="22"/>
      <c r="F42" s="23"/>
      <c r="G42" s="22"/>
      <c r="H42" s="22"/>
      <c r="I42" s="22"/>
      <c r="J42" s="22"/>
      <c r="K42" s="23"/>
      <c r="L42" s="22"/>
      <c r="M42" s="22"/>
      <c r="N42" s="22"/>
      <c r="O42" s="22"/>
      <c r="P42" s="23"/>
      <c r="Q42" s="22"/>
      <c r="R42" s="22"/>
      <c r="S42" s="22"/>
      <c r="T42" s="22"/>
      <c r="U42" s="23"/>
      <c r="V42" s="22"/>
      <c r="W42" s="22"/>
      <c r="X42" s="22"/>
      <c r="Y42" s="22"/>
      <c r="Z42" s="23"/>
      <c r="AA42" s="22"/>
      <c r="AB42" s="22"/>
      <c r="AC42" s="22"/>
      <c r="AD42" s="22"/>
      <c r="AE42" s="23"/>
      <c r="AF42" s="22"/>
      <c r="AG42" s="22"/>
      <c r="AH42" s="22"/>
      <c r="AI42" s="22"/>
      <c r="AJ42" s="23"/>
      <c r="AK42" s="22"/>
      <c r="AL42" s="22"/>
      <c r="AM42" s="22"/>
      <c r="AN42" s="22"/>
      <c r="AO42" s="23"/>
      <c r="AP42" s="22"/>
      <c r="AQ42" s="22"/>
      <c r="AR42" s="22"/>
      <c r="AS42" s="22"/>
      <c r="AT42" s="23"/>
      <c r="AU42" s="22"/>
      <c r="AV42" s="22"/>
      <c r="AW42" s="22"/>
      <c r="AX42" s="22"/>
      <c r="AY42" s="23"/>
      <c r="AZ42" s="22"/>
      <c r="BA42" s="22"/>
      <c r="BB42" s="22"/>
      <c r="BC42" s="22"/>
      <c r="BD42" s="23"/>
      <c r="BE42" s="22"/>
      <c r="BF42" s="22"/>
      <c r="BG42" s="22"/>
      <c r="BH42" s="22"/>
      <c r="BI42" s="23"/>
    </row>
    <row r="43" spans="1:63">
      <c r="A43" s="14" t="s">
        <v>73</v>
      </c>
      <c r="B43" s="22"/>
      <c r="C43" s="22"/>
      <c r="D43" s="22"/>
      <c r="E43" s="22"/>
      <c r="F43" s="23"/>
      <c r="G43" s="22"/>
      <c r="H43" s="22"/>
      <c r="I43" s="22"/>
      <c r="J43" s="22"/>
      <c r="K43" s="23"/>
      <c r="L43" s="22"/>
      <c r="M43" s="22"/>
      <c r="N43" s="22"/>
      <c r="O43" s="22"/>
      <c r="P43" s="23"/>
      <c r="Q43" s="22"/>
      <c r="R43" s="22"/>
      <c r="S43" s="22"/>
      <c r="T43" s="22"/>
      <c r="U43" s="23"/>
      <c r="V43" s="22"/>
      <c r="W43" s="22"/>
      <c r="X43" s="22"/>
      <c r="Y43" s="22"/>
      <c r="Z43" s="23"/>
      <c r="AA43" s="22"/>
      <c r="AB43" s="22"/>
      <c r="AC43" s="22"/>
      <c r="AD43" s="22"/>
      <c r="AE43" s="23"/>
      <c r="AF43" s="22"/>
      <c r="AG43" s="22"/>
      <c r="AH43" s="22"/>
      <c r="AI43" s="22"/>
      <c r="AJ43" s="23"/>
      <c r="AK43" s="22"/>
      <c r="AL43" s="22"/>
      <c r="AM43" s="22"/>
      <c r="AN43" s="22"/>
      <c r="AO43" s="23"/>
      <c r="AP43" s="22"/>
      <c r="AQ43" s="22"/>
      <c r="AR43" s="22"/>
      <c r="AS43" s="22"/>
      <c r="AT43" s="23"/>
      <c r="AU43" s="22"/>
      <c r="AV43" s="22"/>
      <c r="AW43" s="22"/>
      <c r="AX43" s="22"/>
      <c r="AY43" s="23"/>
      <c r="AZ43" s="22"/>
      <c r="BA43" s="22"/>
      <c r="BB43" s="22"/>
      <c r="BC43" s="22"/>
      <c r="BD43" s="23"/>
      <c r="BE43" s="22"/>
      <c r="BF43" s="22"/>
      <c r="BG43" s="22"/>
      <c r="BH43" s="22"/>
      <c r="BI43" s="23"/>
    </row>
    <row r="44" spans="1:63">
      <c r="A44" s="1" t="s">
        <v>262</v>
      </c>
      <c r="B44" s="41">
        <v>761</v>
      </c>
      <c r="C44" s="41">
        <f>761-B44</f>
        <v>0</v>
      </c>
      <c r="D44" s="41">
        <f>761-B44-C44</f>
        <v>0</v>
      </c>
      <c r="E44" s="22">
        <f t="shared" ref="E44:E54" si="68">+F44-SUM(B44:D44)</f>
        <v>985</v>
      </c>
      <c r="F44" s="43">
        <v>1746</v>
      </c>
      <c r="G44" s="41">
        <v>115</v>
      </c>
      <c r="H44" s="41">
        <f>1323-G44</f>
        <v>1208</v>
      </c>
      <c r="I44" s="41">
        <f>1323-G44-H44</f>
        <v>0</v>
      </c>
      <c r="J44" s="22">
        <f t="shared" ref="J44:J52" si="69">+K44-SUM(G44:I44)</f>
        <v>2</v>
      </c>
      <c r="K44" s="43">
        <v>1325</v>
      </c>
      <c r="L44" s="41">
        <v>872</v>
      </c>
      <c r="M44" s="41">
        <f>874-L44</f>
        <v>2</v>
      </c>
      <c r="N44" s="41">
        <f>876-L44-M44</f>
        <v>2</v>
      </c>
      <c r="O44" s="22">
        <f t="shared" ref="O44:O54" si="70">+P44-SUM(L44:N44)</f>
        <v>1201</v>
      </c>
      <c r="P44" s="43">
        <v>2077</v>
      </c>
      <c r="Q44" s="41">
        <v>2687</v>
      </c>
      <c r="R44" s="41">
        <f>3648-Q44</f>
        <v>961</v>
      </c>
      <c r="S44" s="41">
        <f>4696-Q44-R44</f>
        <v>1048</v>
      </c>
      <c r="T44" s="22">
        <f t="shared" ref="T44:T54" si="71">+U44-SUM(Q44:S44)</f>
        <v>3852</v>
      </c>
      <c r="U44" s="43">
        <v>8548</v>
      </c>
      <c r="V44" s="41">
        <v>5237</v>
      </c>
      <c r="W44" s="41">
        <f>11670-V44</f>
        <v>6433</v>
      </c>
      <c r="X44" s="41">
        <f>19621-V44-W44</f>
        <v>7951</v>
      </c>
      <c r="Y44" s="22">
        <f t="shared" ref="Y44:Y54" si="72">+Z44-SUM(V44:X44)</f>
        <v>5768</v>
      </c>
      <c r="Z44" s="43">
        <v>25389</v>
      </c>
      <c r="AA44" s="41">
        <v>17433</v>
      </c>
      <c r="AB44" s="41">
        <f>42302-AA44</f>
        <v>24869</v>
      </c>
      <c r="AC44" s="41">
        <f>42362-AA44-AB44</f>
        <v>60</v>
      </c>
      <c r="AD44" s="22">
        <f t="shared" ref="AD44:AD54" si="73">+AE44-SUM(AA44:AC44)</f>
        <v>4886</v>
      </c>
      <c r="AE44" s="43">
        <v>47248</v>
      </c>
      <c r="AF44" s="41">
        <v>9814</v>
      </c>
      <c r="AG44" s="41">
        <f>9826-AF44</f>
        <v>12</v>
      </c>
      <c r="AH44" s="41">
        <f>9822-AG44-AF44</f>
        <v>-4</v>
      </c>
      <c r="AI44" s="22">
        <f t="shared" ref="AI44:AI54" si="74">+AJ44-SUM(AF44:AH44)</f>
        <v>-27</v>
      </c>
      <c r="AJ44" s="43">
        <v>9795</v>
      </c>
      <c r="AK44" s="41">
        <v>2</v>
      </c>
      <c r="AL44" s="41">
        <f>15-AK44</f>
        <v>13</v>
      </c>
      <c r="AM44" s="41">
        <f>19-AL44-AK44</f>
        <v>4</v>
      </c>
      <c r="AN44" s="22">
        <f t="shared" ref="AN44:AN54" si="75">+AO44-SUM(AK44:AM44)</f>
        <v>15</v>
      </c>
      <c r="AO44" s="43">
        <v>34</v>
      </c>
      <c r="AP44" s="41">
        <v>17</v>
      </c>
      <c r="AQ44" s="41">
        <f>38-AP44</f>
        <v>21</v>
      </c>
      <c r="AR44" s="41">
        <f>55-AQ44-AP44</f>
        <v>17</v>
      </c>
      <c r="AS44" s="22">
        <f t="shared" ref="AS44:AS54" si="76">+AT44-SUM(AP44:AR44)</f>
        <v>20</v>
      </c>
      <c r="AT44" s="43">
        <v>75</v>
      </c>
      <c r="AU44" s="41">
        <v>27</v>
      </c>
      <c r="AV44" s="41">
        <f>10089-AU44</f>
        <v>10062</v>
      </c>
      <c r="AW44" s="41">
        <f>10120-AV44-AU44</f>
        <v>31</v>
      </c>
      <c r="AX44" s="22">
        <f t="shared" ref="AX44:AX53" si="77">+AY44-SUM(AU44:AW44)</f>
        <v>41</v>
      </c>
      <c r="AY44" s="43">
        <v>10161</v>
      </c>
      <c r="AZ44" s="41">
        <v>29</v>
      </c>
      <c r="BA44" s="41">
        <f>98-AZ44</f>
        <v>69</v>
      </c>
      <c r="BB44" s="41">
        <f>138-BA44-AZ44</f>
        <v>40</v>
      </c>
      <c r="BC44" s="22">
        <f t="shared" ref="BC44:BC54" si="78">+BD44-SUM(AZ44:BB44)</f>
        <v>27</v>
      </c>
      <c r="BD44" s="43">
        <v>165</v>
      </c>
      <c r="BE44" s="37">
        <f>'Debt_Qtr '!BE70</f>
        <v>0</v>
      </c>
      <c r="BF44" s="37">
        <f>'Debt_Qtr '!BF70</f>
        <v>0</v>
      </c>
      <c r="BG44" s="37">
        <f>'Debt_Qtr '!BG70</f>
        <v>0</v>
      </c>
      <c r="BH44" s="37">
        <f>'Debt_Qtr '!BH70</f>
        <v>0</v>
      </c>
      <c r="BI44" s="23">
        <f>SUM(BE44:BH44)</f>
        <v>0</v>
      </c>
    </row>
    <row r="45" spans="1:63">
      <c r="A45" s="183" t="s">
        <v>263</v>
      </c>
      <c r="B45" s="41">
        <v>-813</v>
      </c>
      <c r="C45" s="41">
        <f>-846-B45</f>
        <v>-33</v>
      </c>
      <c r="D45" s="41">
        <f>-864-B45-C45</f>
        <v>-18</v>
      </c>
      <c r="E45" s="22">
        <f t="shared" si="68"/>
        <v>-21</v>
      </c>
      <c r="F45" s="43">
        <v>-885</v>
      </c>
      <c r="G45" s="41">
        <v>-128</v>
      </c>
      <c r="H45" s="41">
        <f>-267-G45</f>
        <v>-139</v>
      </c>
      <c r="I45" s="41">
        <f>-836-G45-H45</f>
        <v>-569</v>
      </c>
      <c r="J45" s="22">
        <f t="shared" si="69"/>
        <v>-523</v>
      </c>
      <c r="K45" s="43">
        <v>-1359</v>
      </c>
      <c r="L45" s="41">
        <v>-34</v>
      </c>
      <c r="M45" s="41">
        <f>-56-L45</f>
        <v>-22</v>
      </c>
      <c r="N45" s="41">
        <f>-83-L45-M45</f>
        <v>-27</v>
      </c>
      <c r="O45" s="22">
        <f t="shared" si="70"/>
        <v>-870</v>
      </c>
      <c r="P45" s="43">
        <v>-953</v>
      </c>
      <c r="Q45" s="41">
        <v>-1371</v>
      </c>
      <c r="R45" s="41">
        <f>-2708-Q45</f>
        <v>-1337</v>
      </c>
      <c r="S45" s="41">
        <f>-4029-Q45-R45</f>
        <v>-1321</v>
      </c>
      <c r="T45" s="22">
        <f t="shared" si="71"/>
        <v>-3154</v>
      </c>
      <c r="U45" s="43">
        <v>-7183</v>
      </c>
      <c r="V45" s="41">
        <v>-4374</v>
      </c>
      <c r="W45" s="41">
        <f>-6422-V45</f>
        <v>-2048</v>
      </c>
      <c r="X45" s="41">
        <f>-8978-V45-W45</f>
        <v>-2556</v>
      </c>
      <c r="Y45" s="22">
        <f t="shared" si="72"/>
        <v>-3193</v>
      </c>
      <c r="Z45" s="43">
        <v>-12171</v>
      </c>
      <c r="AA45" s="41">
        <v>-5854</v>
      </c>
      <c r="AB45" s="41">
        <f>-8265-AA45</f>
        <v>-2411</v>
      </c>
      <c r="AC45" s="41">
        <f>-8792-AA45-AB45</f>
        <v>-527</v>
      </c>
      <c r="AD45" s="22">
        <f t="shared" si="73"/>
        <v>-2206</v>
      </c>
      <c r="AE45" s="43">
        <v>-10998</v>
      </c>
      <c r="AF45" s="41">
        <v>-9847</v>
      </c>
      <c r="AG45" s="41">
        <f>-9882-AF45</f>
        <v>-35</v>
      </c>
      <c r="AH45" s="41">
        <f>-11049-AG45-AF45</f>
        <v>-1167</v>
      </c>
      <c r="AI45" s="22">
        <f t="shared" si="74"/>
        <v>-4322</v>
      </c>
      <c r="AJ45" s="43">
        <v>-15371</v>
      </c>
      <c r="AK45" s="41">
        <v>-396</v>
      </c>
      <c r="AL45" s="41">
        <f>-1013-AK45</f>
        <v>-617</v>
      </c>
      <c r="AM45" s="41">
        <f>-1038-AL45-AK45</f>
        <v>-25</v>
      </c>
      <c r="AN45" s="22">
        <f t="shared" si="75"/>
        <v>-272</v>
      </c>
      <c r="AO45" s="43">
        <v>-1310</v>
      </c>
      <c r="AP45" s="41">
        <v>-1699</v>
      </c>
      <c r="AQ45" s="41">
        <f>-5123-AP45</f>
        <v>-3424</v>
      </c>
      <c r="AR45" s="41">
        <f>-5181-AQ45-AP45</f>
        <v>-58</v>
      </c>
      <c r="AS45" s="22">
        <f t="shared" si="76"/>
        <v>-35</v>
      </c>
      <c r="AT45" s="43">
        <v>-5216</v>
      </c>
      <c r="AU45" s="41">
        <v>-4442</v>
      </c>
      <c r="AV45" s="41">
        <f>-4481-AU45</f>
        <v>-39</v>
      </c>
      <c r="AW45" s="41">
        <f>-4824-AV45-AU45</f>
        <v>-343</v>
      </c>
      <c r="AX45" s="22">
        <f t="shared" si="77"/>
        <v>-3849</v>
      </c>
      <c r="AY45" s="43">
        <v>-8673</v>
      </c>
      <c r="AZ45" s="41">
        <v>-295</v>
      </c>
      <c r="BA45" s="41">
        <f>-677-AZ45</f>
        <v>-382</v>
      </c>
      <c r="BB45" s="41">
        <f>-721-BA45-AZ45</f>
        <v>-44</v>
      </c>
      <c r="BC45" s="22">
        <f t="shared" si="78"/>
        <v>-2900</v>
      </c>
      <c r="BD45" s="43">
        <v>-3621</v>
      </c>
      <c r="BE45" s="37">
        <f>'Debt_Qtr '!BE71</f>
        <v>-550</v>
      </c>
      <c r="BF45" s="37">
        <f>'Debt_Qtr '!BF71</f>
        <v>-2600</v>
      </c>
      <c r="BG45" s="37">
        <f>'Debt_Qtr '!BG71</f>
        <v>-1300</v>
      </c>
      <c r="BH45" s="37">
        <f>'Debt_Qtr '!BH71</f>
        <v>0</v>
      </c>
      <c r="BI45" s="23">
        <f>SUM(BE45:BH45)</f>
        <v>-4450</v>
      </c>
    </row>
    <row r="46" spans="1:63">
      <c r="A46" s="1" t="s">
        <v>264</v>
      </c>
      <c r="B46" s="41">
        <v>0</v>
      </c>
      <c r="C46" s="41">
        <f>0-B46</f>
        <v>0</v>
      </c>
      <c r="D46" s="41">
        <f>0-B46-C46</f>
        <v>0</v>
      </c>
      <c r="E46" s="22">
        <f t="shared" si="68"/>
        <v>0</v>
      </c>
      <c r="F46" s="43">
        <v>0</v>
      </c>
      <c r="G46" s="41">
        <v>0</v>
      </c>
      <c r="H46" s="41">
        <f>-24-G46</f>
        <v>-24</v>
      </c>
      <c r="I46" s="41">
        <f>-24-G46-H46</f>
        <v>0</v>
      </c>
      <c r="J46" s="22">
        <f t="shared" si="69"/>
        <v>0</v>
      </c>
      <c r="K46" s="43">
        <v>-24</v>
      </c>
      <c r="L46" s="41">
        <v>0</v>
      </c>
      <c r="M46" s="41">
        <f>0-L46</f>
        <v>0</v>
      </c>
      <c r="N46" s="41">
        <f>0-L46-M46</f>
        <v>0</v>
      </c>
      <c r="O46" s="22">
        <f t="shared" si="70"/>
        <v>0</v>
      </c>
      <c r="P46" s="43">
        <v>0</v>
      </c>
      <c r="Q46" s="41">
        <v>0</v>
      </c>
      <c r="R46" s="41">
        <f>0-Q46</f>
        <v>0</v>
      </c>
      <c r="S46" s="41">
        <f>0-Q46-R46</f>
        <v>0</v>
      </c>
      <c r="T46" s="22">
        <f t="shared" si="71"/>
        <v>0</v>
      </c>
      <c r="U46" s="43">
        <v>0</v>
      </c>
      <c r="V46" s="41">
        <v>0</v>
      </c>
      <c r="W46" s="41">
        <f>0-V46</f>
        <v>0</v>
      </c>
      <c r="X46" s="41">
        <f>0-V46-W46</f>
        <v>0</v>
      </c>
      <c r="Y46" s="22">
        <f t="shared" si="72"/>
        <v>0</v>
      </c>
      <c r="Z46" s="43">
        <v>0</v>
      </c>
      <c r="AA46" s="41">
        <v>0</v>
      </c>
      <c r="AB46" s="41">
        <f>0-AA46</f>
        <v>0</v>
      </c>
      <c r="AC46" s="41">
        <f>0-AA46-AB46</f>
        <v>0</v>
      </c>
      <c r="AD46" s="22">
        <f t="shared" si="73"/>
        <v>0</v>
      </c>
      <c r="AE46" s="43">
        <v>0</v>
      </c>
      <c r="AF46" s="41">
        <v>0</v>
      </c>
      <c r="AG46" s="41">
        <f>0-AF46</f>
        <v>0</v>
      </c>
      <c r="AH46" s="41">
        <f>0-AF46-AG46</f>
        <v>0</v>
      </c>
      <c r="AI46" s="22">
        <f t="shared" si="74"/>
        <v>0</v>
      </c>
      <c r="AJ46" s="43">
        <v>0</v>
      </c>
      <c r="AK46" s="41">
        <v>0</v>
      </c>
      <c r="AL46" s="41">
        <f>0-AK46</f>
        <v>0</v>
      </c>
      <c r="AM46" s="41">
        <f>0-AK46-AL46</f>
        <v>0</v>
      </c>
      <c r="AN46" s="22">
        <f t="shared" si="75"/>
        <v>0</v>
      </c>
      <c r="AO46" s="43">
        <v>0</v>
      </c>
      <c r="AP46" s="41">
        <v>0</v>
      </c>
      <c r="AQ46" s="41">
        <f>0-AP46</f>
        <v>0</v>
      </c>
      <c r="AR46" s="41">
        <f>0-AP46-AQ46</f>
        <v>0</v>
      </c>
      <c r="AS46" s="22">
        <f t="shared" si="76"/>
        <v>0</v>
      </c>
      <c r="AT46" s="43">
        <v>0</v>
      </c>
      <c r="AU46" s="41">
        <v>0</v>
      </c>
      <c r="AV46" s="41">
        <f>0-AU46</f>
        <v>0</v>
      </c>
      <c r="AW46" s="41">
        <f>0-AU46-AV46</f>
        <v>0</v>
      </c>
      <c r="AX46" s="22">
        <f t="shared" si="77"/>
        <v>0</v>
      </c>
      <c r="AY46" s="43">
        <v>0</v>
      </c>
      <c r="AZ46" s="41">
        <v>0</v>
      </c>
      <c r="BA46" s="41">
        <f>0-AZ46</f>
        <v>0</v>
      </c>
      <c r="BB46" s="41">
        <f>0-AZ46-BA46</f>
        <v>0</v>
      </c>
      <c r="BC46" s="22">
        <f t="shared" si="78"/>
        <v>0</v>
      </c>
      <c r="BD46" s="43">
        <v>0</v>
      </c>
      <c r="BE46" s="41">
        <v>0</v>
      </c>
      <c r="BF46" s="41">
        <v>0</v>
      </c>
      <c r="BG46" s="41">
        <v>0</v>
      </c>
      <c r="BH46" s="22">
        <f t="shared" ref="BH46:BH49" si="79">+BI46-SUM(BE46:BG46)</f>
        <v>0</v>
      </c>
      <c r="BI46" s="43">
        <v>0</v>
      </c>
    </row>
    <row r="47" spans="1:63">
      <c r="A47" s="1" t="s">
        <v>265</v>
      </c>
      <c r="B47" s="41">
        <v>0</v>
      </c>
      <c r="C47" s="41">
        <f>0-B47</f>
        <v>0</v>
      </c>
      <c r="D47" s="41">
        <f>0-B47-C47</f>
        <v>0</v>
      </c>
      <c r="E47" s="22">
        <f t="shared" si="68"/>
        <v>0</v>
      </c>
      <c r="F47" s="43">
        <v>0</v>
      </c>
      <c r="G47" s="41">
        <v>0</v>
      </c>
      <c r="H47" s="41">
        <f>0-G47</f>
        <v>0</v>
      </c>
      <c r="I47" s="41">
        <f>0-G47-H47</f>
        <v>0</v>
      </c>
      <c r="J47" s="22">
        <f t="shared" si="69"/>
        <v>0</v>
      </c>
      <c r="K47" s="43">
        <v>0</v>
      </c>
      <c r="L47" s="41">
        <v>0</v>
      </c>
      <c r="M47" s="41">
        <f>0-L47</f>
        <v>0</v>
      </c>
      <c r="N47" s="41">
        <f>0-L47-M47</f>
        <v>0</v>
      </c>
      <c r="O47" s="22">
        <f t="shared" si="70"/>
        <v>0</v>
      </c>
      <c r="P47" s="43">
        <v>0</v>
      </c>
      <c r="Q47" s="41">
        <v>20</v>
      </c>
      <c r="R47" s="41">
        <f>20-Q47</f>
        <v>0</v>
      </c>
      <c r="S47" s="41">
        <f>35-Q47-R47</f>
        <v>15</v>
      </c>
      <c r="T47" s="22">
        <f t="shared" si="71"/>
        <v>0</v>
      </c>
      <c r="U47" s="43">
        <v>35</v>
      </c>
      <c r="V47" s="41">
        <v>7</v>
      </c>
      <c r="W47" s="41">
        <f>7-V47</f>
        <v>0</v>
      </c>
      <c r="X47" s="41">
        <f>7-V47-W47</f>
        <v>0</v>
      </c>
      <c r="Y47" s="22">
        <f t="shared" si="72"/>
        <v>0</v>
      </c>
      <c r="Z47" s="43">
        <v>7</v>
      </c>
      <c r="AA47" s="41">
        <v>0</v>
      </c>
      <c r="AB47" s="41">
        <f>0-AA47</f>
        <v>0</v>
      </c>
      <c r="AC47" s="41">
        <f>0-AA47-AB47</f>
        <v>0</v>
      </c>
      <c r="AD47" s="22">
        <f t="shared" si="73"/>
        <v>0</v>
      </c>
      <c r="AE47" s="43">
        <v>0</v>
      </c>
      <c r="AF47" s="41">
        <v>0</v>
      </c>
      <c r="AG47" s="41">
        <f>0-AF47</f>
        <v>0</v>
      </c>
      <c r="AH47" s="41">
        <f>0-AF47-AG47</f>
        <v>0</v>
      </c>
      <c r="AI47" s="22">
        <f t="shared" si="74"/>
        <v>0</v>
      </c>
      <c r="AJ47" s="43">
        <v>0</v>
      </c>
      <c r="AK47" s="41">
        <v>0</v>
      </c>
      <c r="AL47" s="41">
        <f>0-AK47</f>
        <v>0</v>
      </c>
      <c r="AM47" s="41">
        <f>0-AK47-AL47</f>
        <v>0</v>
      </c>
      <c r="AN47" s="22">
        <f t="shared" si="75"/>
        <v>0</v>
      </c>
      <c r="AO47" s="43">
        <v>0</v>
      </c>
      <c r="AP47" s="41">
        <v>0</v>
      </c>
      <c r="AQ47" s="41">
        <f>0-AP47</f>
        <v>0</v>
      </c>
      <c r="AR47" s="41">
        <f>0-AP47-AQ47</f>
        <v>0</v>
      </c>
      <c r="AS47" s="22">
        <f t="shared" si="76"/>
        <v>0</v>
      </c>
      <c r="AT47" s="43">
        <v>0</v>
      </c>
      <c r="AU47" s="41">
        <v>0</v>
      </c>
      <c r="AV47" s="41">
        <f>0-AU47</f>
        <v>0</v>
      </c>
      <c r="AW47" s="41">
        <f>0-AU47-AV47</f>
        <v>0</v>
      </c>
      <c r="AX47" s="22">
        <f t="shared" si="77"/>
        <v>0</v>
      </c>
      <c r="AY47" s="43">
        <v>0</v>
      </c>
      <c r="AZ47" s="41">
        <v>0</v>
      </c>
      <c r="BA47" s="41">
        <f>0-AZ47</f>
        <v>0</v>
      </c>
      <c r="BB47" s="41">
        <f>0-AZ47-BA47</f>
        <v>0</v>
      </c>
      <c r="BC47" s="22">
        <f t="shared" si="78"/>
        <v>0</v>
      </c>
      <c r="BD47" s="43">
        <v>0</v>
      </c>
      <c r="BE47" s="41">
        <v>0</v>
      </c>
      <c r="BF47" s="41">
        <v>0</v>
      </c>
      <c r="BG47" s="41">
        <v>0</v>
      </c>
      <c r="BH47" s="22">
        <f t="shared" si="79"/>
        <v>0</v>
      </c>
      <c r="BI47" s="43">
        <v>0</v>
      </c>
    </row>
    <row r="48" spans="1:63">
      <c r="A48" s="1" t="s">
        <v>266</v>
      </c>
      <c r="B48" s="41">
        <v>231</v>
      </c>
      <c r="C48" s="41">
        <f>276-B48</f>
        <v>45</v>
      </c>
      <c r="D48" s="41">
        <f>331-B48-C48</f>
        <v>55</v>
      </c>
      <c r="E48" s="22">
        <f t="shared" si="68"/>
        <v>68</v>
      </c>
      <c r="F48" s="43">
        <v>399</v>
      </c>
      <c r="G48" s="41">
        <v>42</v>
      </c>
      <c r="H48" s="41">
        <f>147-G48</f>
        <v>105</v>
      </c>
      <c r="I48" s="41">
        <f>192-G48-H48</f>
        <v>45</v>
      </c>
      <c r="J48" s="22">
        <f t="shared" si="69"/>
        <v>129</v>
      </c>
      <c r="K48" s="43">
        <v>321</v>
      </c>
      <c r="L48" s="41">
        <v>174</v>
      </c>
      <c r="M48" s="41">
        <f>240-L48</f>
        <v>66</v>
      </c>
      <c r="N48" s="41">
        <f>291-L48-M48</f>
        <v>51</v>
      </c>
      <c r="O48" s="22">
        <f t="shared" si="70"/>
        <v>20</v>
      </c>
      <c r="P48" s="43">
        <v>311</v>
      </c>
      <c r="Q48" s="41">
        <v>51</v>
      </c>
      <c r="R48" s="41">
        <f>61-Q48</f>
        <v>10</v>
      </c>
      <c r="S48" s="41">
        <f>70-Q48-R48</f>
        <v>9</v>
      </c>
      <c r="T48" s="22">
        <f t="shared" si="71"/>
        <v>11</v>
      </c>
      <c r="U48" s="43">
        <v>81</v>
      </c>
      <c r="V48" s="41">
        <v>42</v>
      </c>
      <c r="W48" s="41">
        <f>47-V48</f>
        <v>5</v>
      </c>
      <c r="X48" s="41">
        <f>51-V48-W48</f>
        <v>4</v>
      </c>
      <c r="Y48" s="22">
        <f t="shared" si="72"/>
        <v>7</v>
      </c>
      <c r="Z48" s="43">
        <v>58</v>
      </c>
      <c r="AA48" s="41">
        <v>21</v>
      </c>
      <c r="AB48" s="41">
        <f>27-AA48</f>
        <v>6</v>
      </c>
      <c r="AC48" s="41">
        <f>31-AA48-AB48</f>
        <v>4</v>
      </c>
      <c r="AD48" s="22">
        <f t="shared" si="73"/>
        <v>5</v>
      </c>
      <c r="AE48" s="43">
        <v>36</v>
      </c>
      <c r="AF48" s="41">
        <v>23</v>
      </c>
      <c r="AG48" s="41">
        <f>29-AF48</f>
        <v>6</v>
      </c>
      <c r="AH48" s="41">
        <f>36-AG48-AF48</f>
        <v>7</v>
      </c>
      <c r="AI48" s="22">
        <f t="shared" si="74"/>
        <v>6</v>
      </c>
      <c r="AJ48" s="43">
        <v>42</v>
      </c>
      <c r="AK48" s="41">
        <v>30</v>
      </c>
      <c r="AL48" s="41">
        <f>34-AK48</f>
        <v>4</v>
      </c>
      <c r="AM48" s="41">
        <f>39-AL48-AK48</f>
        <v>5</v>
      </c>
      <c r="AN48" s="22">
        <f t="shared" si="75"/>
        <v>11</v>
      </c>
      <c r="AO48" s="43">
        <v>50</v>
      </c>
      <c r="AP48" s="41">
        <v>44</v>
      </c>
      <c r="AQ48" s="41">
        <f>44-AP48</f>
        <v>0</v>
      </c>
      <c r="AR48" s="41">
        <f>45-AQ48-AP48</f>
        <v>1</v>
      </c>
      <c r="AS48" s="22">
        <f t="shared" si="76"/>
        <v>0</v>
      </c>
      <c r="AT48" s="43">
        <v>45</v>
      </c>
      <c r="AU48" s="41">
        <v>0</v>
      </c>
      <c r="AV48" s="41">
        <f>0-AU48</f>
        <v>0</v>
      </c>
      <c r="AW48" s="41">
        <f>0-AV48-AU48</f>
        <v>0</v>
      </c>
      <c r="AX48" s="22">
        <f t="shared" si="77"/>
        <v>0</v>
      </c>
      <c r="AY48" s="43">
        <v>0</v>
      </c>
      <c r="AZ48" s="41">
        <v>0</v>
      </c>
      <c r="BA48" s="41">
        <f>0-AZ48</f>
        <v>0</v>
      </c>
      <c r="BB48" s="41">
        <f>0-BA48-AZ48</f>
        <v>0</v>
      </c>
      <c r="BC48" s="22">
        <f t="shared" si="78"/>
        <v>0</v>
      </c>
      <c r="BD48" s="43">
        <v>0</v>
      </c>
      <c r="BE48" s="41">
        <v>0</v>
      </c>
      <c r="BF48" s="41">
        <v>0</v>
      </c>
      <c r="BG48" s="41">
        <v>0</v>
      </c>
      <c r="BH48" s="20">
        <f t="shared" si="79"/>
        <v>0</v>
      </c>
      <c r="BI48" s="43">
        <v>0</v>
      </c>
    </row>
    <row r="49" spans="1:65">
      <c r="A49" s="1" t="s">
        <v>245</v>
      </c>
      <c r="B49" s="41">
        <v>112</v>
      </c>
      <c r="C49" s="41">
        <f>124-B49</f>
        <v>12</v>
      </c>
      <c r="D49" s="41">
        <f>139-B49-C49</f>
        <v>15</v>
      </c>
      <c r="E49" s="22">
        <f t="shared" si="68"/>
        <v>18</v>
      </c>
      <c r="F49" s="43">
        <v>157</v>
      </c>
      <c r="G49" s="41">
        <v>0</v>
      </c>
      <c r="H49" s="41">
        <f>0-G49</f>
        <v>0</v>
      </c>
      <c r="I49" s="41">
        <f>0-G49-H49</f>
        <v>0</v>
      </c>
      <c r="J49" s="22">
        <f t="shared" si="69"/>
        <v>0</v>
      </c>
      <c r="K49" s="43">
        <v>0</v>
      </c>
      <c r="L49" s="41">
        <v>0</v>
      </c>
      <c r="M49" s="41">
        <f>0-L49</f>
        <v>0</v>
      </c>
      <c r="N49" s="41">
        <f>0-L49-M49</f>
        <v>0</v>
      </c>
      <c r="O49" s="22">
        <f t="shared" si="70"/>
        <v>0</v>
      </c>
      <c r="P49" s="43">
        <v>0</v>
      </c>
      <c r="Q49" s="41">
        <v>0</v>
      </c>
      <c r="R49" s="41">
        <f>0-Q49</f>
        <v>0</v>
      </c>
      <c r="S49" s="41">
        <f>0-Q49-R49</f>
        <v>0</v>
      </c>
      <c r="T49" s="22">
        <f t="shared" si="71"/>
        <v>0</v>
      </c>
      <c r="U49" s="43">
        <v>0</v>
      </c>
      <c r="V49" s="41">
        <v>0</v>
      </c>
      <c r="W49" s="41">
        <f>0-V49</f>
        <v>0</v>
      </c>
      <c r="X49" s="41">
        <f>0-V49-W49</f>
        <v>0</v>
      </c>
      <c r="Y49" s="22">
        <f t="shared" si="72"/>
        <v>0</v>
      </c>
      <c r="Z49" s="43">
        <v>0</v>
      </c>
      <c r="AA49" s="41">
        <v>0</v>
      </c>
      <c r="AB49" s="41">
        <f>0-AA49</f>
        <v>0</v>
      </c>
      <c r="AC49" s="41">
        <f>0-AA49-AB49</f>
        <v>0</v>
      </c>
      <c r="AD49" s="22">
        <f t="shared" si="73"/>
        <v>0</v>
      </c>
      <c r="AE49" s="43">
        <v>0</v>
      </c>
      <c r="AF49" s="41">
        <v>0</v>
      </c>
      <c r="AG49" s="41">
        <f>0-AF49</f>
        <v>0</v>
      </c>
      <c r="AH49" s="41">
        <f>0-AF49-AG49</f>
        <v>0</v>
      </c>
      <c r="AI49" s="22">
        <f t="shared" si="74"/>
        <v>0</v>
      </c>
      <c r="AJ49" s="43">
        <v>0</v>
      </c>
      <c r="AK49" s="41">
        <v>0</v>
      </c>
      <c r="AL49" s="41">
        <f>0-AK49</f>
        <v>0</v>
      </c>
      <c r="AM49" s="41">
        <f>0-AK49-AL49</f>
        <v>0</v>
      </c>
      <c r="AN49" s="22">
        <f t="shared" si="75"/>
        <v>0</v>
      </c>
      <c r="AO49" s="43">
        <v>0</v>
      </c>
      <c r="AP49" s="41">
        <v>0</v>
      </c>
      <c r="AQ49" s="41">
        <v>0</v>
      </c>
      <c r="AR49" s="41">
        <f>0-AP49-AQ49</f>
        <v>0</v>
      </c>
      <c r="AS49" s="22">
        <f t="shared" si="76"/>
        <v>0</v>
      </c>
      <c r="AT49" s="43">
        <v>0</v>
      </c>
      <c r="AU49" s="41">
        <v>0</v>
      </c>
      <c r="AV49" s="41">
        <v>0</v>
      </c>
      <c r="AW49" s="41">
        <f>0-AU49-AV49</f>
        <v>0</v>
      </c>
      <c r="AX49" s="22">
        <f t="shared" si="77"/>
        <v>0</v>
      </c>
      <c r="AY49" s="43">
        <v>0</v>
      </c>
      <c r="AZ49" s="41">
        <v>0</v>
      </c>
      <c r="BA49" s="41">
        <v>0</v>
      </c>
      <c r="BB49" s="41">
        <f>0-AZ49-BA49</f>
        <v>0</v>
      </c>
      <c r="BC49" s="22">
        <f t="shared" si="78"/>
        <v>0</v>
      </c>
      <c r="BD49" s="43">
        <v>0</v>
      </c>
      <c r="BE49" s="41">
        <v>0</v>
      </c>
      <c r="BF49" s="41">
        <v>0</v>
      </c>
      <c r="BG49" s="41">
        <v>0</v>
      </c>
      <c r="BH49" s="22">
        <f t="shared" si="79"/>
        <v>0</v>
      </c>
      <c r="BI49" s="43">
        <v>0</v>
      </c>
    </row>
    <row r="50" spans="1:65">
      <c r="A50" s="183" t="s">
        <v>267</v>
      </c>
      <c r="B50" s="19">
        <v>-87</v>
      </c>
      <c r="C50" s="19">
        <f>-90-B50</f>
        <v>-3</v>
      </c>
      <c r="D50" s="19">
        <f>-93-B50-C50</f>
        <v>-3</v>
      </c>
      <c r="E50" s="20">
        <f t="shared" si="68"/>
        <v>-3</v>
      </c>
      <c r="F50" s="21">
        <v>-96</v>
      </c>
      <c r="G50" s="19">
        <v>-76</v>
      </c>
      <c r="H50" s="19">
        <f>-79-G50</f>
        <v>-3</v>
      </c>
      <c r="I50" s="19">
        <f>-83-G50-H50</f>
        <v>-4</v>
      </c>
      <c r="J50" s="20">
        <f t="shared" si="69"/>
        <v>-10</v>
      </c>
      <c r="K50" s="21">
        <v>-93</v>
      </c>
      <c r="L50" s="19">
        <v>-107</v>
      </c>
      <c r="M50" s="19">
        <f>-112-L50</f>
        <v>-5</v>
      </c>
      <c r="N50" s="19">
        <f>-118-L50-M50</f>
        <v>-6</v>
      </c>
      <c r="O50" s="20">
        <f t="shared" si="70"/>
        <v>-14</v>
      </c>
      <c r="P50" s="21">
        <v>-132</v>
      </c>
      <c r="Q50" s="19">
        <v>-226</v>
      </c>
      <c r="R50" s="19">
        <f>-236-Q50</f>
        <v>-10</v>
      </c>
      <c r="S50" s="19">
        <f>-247-Q50-R50</f>
        <v>-11</v>
      </c>
      <c r="T50" s="20">
        <f t="shared" si="71"/>
        <v>-10</v>
      </c>
      <c r="U50" s="21">
        <v>-257</v>
      </c>
      <c r="V50" s="19">
        <v>-233</v>
      </c>
      <c r="W50" s="19">
        <f>-238-V50</f>
        <v>-5</v>
      </c>
      <c r="X50" s="19">
        <f>-241-V50-W50</f>
        <v>-3</v>
      </c>
      <c r="Y50" s="20">
        <f t="shared" si="72"/>
        <v>-7</v>
      </c>
      <c r="Z50" s="21">
        <v>-248</v>
      </c>
      <c r="AA50" s="19">
        <v>-162</v>
      </c>
      <c r="AB50" s="19">
        <f>-164-AA50</f>
        <v>-2</v>
      </c>
      <c r="AC50" s="19">
        <f>-169-AA50-AB50</f>
        <v>-5</v>
      </c>
      <c r="AD50" s="20">
        <f t="shared" si="73"/>
        <v>-4</v>
      </c>
      <c r="AE50" s="21">
        <v>-173</v>
      </c>
      <c r="AF50" s="19">
        <v>-38</v>
      </c>
      <c r="AG50" s="19">
        <f>-40-AF50</f>
        <v>-2</v>
      </c>
      <c r="AH50" s="19">
        <f>-47-AG50-AF50</f>
        <v>-7</v>
      </c>
      <c r="AI50" s="20">
        <f t="shared" si="74"/>
        <v>-19</v>
      </c>
      <c r="AJ50" s="21">
        <v>-66</v>
      </c>
      <c r="AK50" s="19">
        <v>-32</v>
      </c>
      <c r="AL50" s="19">
        <f>-34-AK50</f>
        <v>-2</v>
      </c>
      <c r="AM50" s="19">
        <f>-36-AL50-AK50</f>
        <v>-2</v>
      </c>
      <c r="AN50" s="20">
        <f t="shared" si="75"/>
        <v>-4</v>
      </c>
      <c r="AO50" s="21">
        <v>-40</v>
      </c>
      <c r="AP50" s="19">
        <v>-42</v>
      </c>
      <c r="AQ50" s="19">
        <f>-48-AP50</f>
        <v>-6</v>
      </c>
      <c r="AR50" s="19">
        <f>-52-AQ50-AP50</f>
        <v>-4</v>
      </c>
      <c r="AS50" s="20">
        <f t="shared" si="76"/>
        <v>-356</v>
      </c>
      <c r="AT50" s="21">
        <v>-408</v>
      </c>
      <c r="AU50" s="19">
        <v>-65</v>
      </c>
      <c r="AV50" s="19">
        <f>-67-AU50</f>
        <v>-2</v>
      </c>
      <c r="AW50" s="19">
        <f>-73-AV50-AU50</f>
        <v>-6</v>
      </c>
      <c r="AX50" s="20">
        <f t="shared" si="77"/>
        <v>-10</v>
      </c>
      <c r="AY50" s="21">
        <v>-83</v>
      </c>
      <c r="AZ50" s="19">
        <v>-14</v>
      </c>
      <c r="BA50" s="19">
        <f>-18-AZ50</f>
        <v>-4</v>
      </c>
      <c r="BB50" s="19">
        <f>-28-BA50-AZ50</f>
        <v>-10</v>
      </c>
      <c r="BC50" s="20">
        <f t="shared" si="78"/>
        <v>-6</v>
      </c>
      <c r="BD50" s="21">
        <v>-34</v>
      </c>
      <c r="BE50" s="41">
        <v>0</v>
      </c>
      <c r="BF50" s="41">
        <v>0</v>
      </c>
      <c r="BG50" s="41">
        <v>0</v>
      </c>
      <c r="BH50" s="19">
        <v>0</v>
      </c>
      <c r="BI50" s="43">
        <v>0</v>
      </c>
    </row>
    <row r="51" spans="1:65">
      <c r="A51" s="1" t="s">
        <v>653</v>
      </c>
      <c r="B51" s="41">
        <v>-2500</v>
      </c>
      <c r="C51" s="41">
        <f>-4501-B51</f>
        <v>-2001</v>
      </c>
      <c r="D51" s="41">
        <f>-6001-B51-C51</f>
        <v>-1500</v>
      </c>
      <c r="E51" s="22">
        <f t="shared" si="68"/>
        <v>-750</v>
      </c>
      <c r="F51" s="43">
        <v>-6751</v>
      </c>
      <c r="G51" s="41">
        <v>-3501</v>
      </c>
      <c r="H51" s="41">
        <f>-5501-G51</f>
        <v>-2000</v>
      </c>
      <c r="I51" s="41">
        <f>-6501-G51-H51</f>
        <v>-1000</v>
      </c>
      <c r="J51" s="22">
        <f t="shared" si="69"/>
        <v>-500</v>
      </c>
      <c r="K51" s="43">
        <v>-7001</v>
      </c>
      <c r="L51" s="41">
        <v>-2500</v>
      </c>
      <c r="M51" s="41">
        <f>-5000-L51</f>
        <v>-2500</v>
      </c>
      <c r="N51" s="41">
        <f>-7500-L51-M51</f>
        <v>-2500</v>
      </c>
      <c r="O51" s="22">
        <f t="shared" si="70"/>
        <v>-1736</v>
      </c>
      <c r="P51" s="43">
        <v>-9236</v>
      </c>
      <c r="Q51" s="41">
        <v>-3000</v>
      </c>
      <c r="R51" s="41">
        <f>-5965-Q51</f>
        <v>-2965</v>
      </c>
      <c r="S51" s="41">
        <f>-8415-Q51-R51</f>
        <v>-2450</v>
      </c>
      <c r="T51" s="22">
        <f t="shared" si="71"/>
        <v>-585</v>
      </c>
      <c r="U51" s="43">
        <v>-9000</v>
      </c>
      <c r="V51" s="41">
        <v>-2341</v>
      </c>
      <c r="W51" s="41">
        <f>-2651-V51</f>
        <v>-310</v>
      </c>
      <c r="X51" s="41">
        <f>-2651-V51-W51</f>
        <v>0</v>
      </c>
      <c r="Y51" s="22">
        <f t="shared" si="72"/>
        <v>0</v>
      </c>
      <c r="Z51" s="43">
        <v>-2651</v>
      </c>
      <c r="AA51" s="41">
        <v>0</v>
      </c>
      <c r="AB51" s="41">
        <f>0-AA51</f>
        <v>0</v>
      </c>
      <c r="AC51" s="41">
        <f>0-AA51-AB51</f>
        <v>0</v>
      </c>
      <c r="AD51" s="22">
        <f t="shared" si="73"/>
        <v>0</v>
      </c>
      <c r="AE51" s="43">
        <v>0</v>
      </c>
      <c r="AF51" s="41">
        <v>0</v>
      </c>
      <c r="AG51" s="41">
        <v>0</v>
      </c>
      <c r="AH51" s="41">
        <f>0-AF51-AG51</f>
        <v>0</v>
      </c>
      <c r="AI51" s="22">
        <f t="shared" si="74"/>
        <v>0</v>
      </c>
      <c r="AJ51" s="43">
        <v>0</v>
      </c>
      <c r="AK51" s="41">
        <v>0</v>
      </c>
      <c r="AL51" s="41">
        <v>0</v>
      </c>
      <c r="AM51" s="41">
        <f>0-AK51-AL51</f>
        <v>0</v>
      </c>
      <c r="AN51" s="22">
        <f t="shared" si="75"/>
        <v>0</v>
      </c>
      <c r="AO51" s="43">
        <v>0</v>
      </c>
      <c r="AP51" s="41">
        <v>0</v>
      </c>
      <c r="AQ51" s="41">
        <v>0</v>
      </c>
      <c r="AR51" s="41">
        <f>0-AP51-AQ51</f>
        <v>0</v>
      </c>
      <c r="AS51" s="22">
        <f t="shared" si="76"/>
        <v>0</v>
      </c>
      <c r="AT51" s="43">
        <v>0</v>
      </c>
      <c r="AU51" s="41">
        <v>0</v>
      </c>
      <c r="AV51" s="41">
        <v>0</v>
      </c>
      <c r="AW51" s="41">
        <f>0-AU51-AV51</f>
        <v>0</v>
      </c>
      <c r="AX51" s="22">
        <f t="shared" si="77"/>
        <v>18200</v>
      </c>
      <c r="AY51" s="43">
        <v>18200</v>
      </c>
      <c r="AZ51" s="41">
        <v>0</v>
      </c>
      <c r="BA51" s="41">
        <v>0</v>
      </c>
      <c r="BB51" s="41">
        <f>0-AZ51-BA51</f>
        <v>0</v>
      </c>
      <c r="BC51" s="22">
        <f t="shared" si="78"/>
        <v>0</v>
      </c>
      <c r="BD51" s="43">
        <v>0</v>
      </c>
      <c r="BE51" s="41">
        <v>0</v>
      </c>
      <c r="BF51" s="41">
        <v>0</v>
      </c>
      <c r="BG51" s="41">
        <v>0</v>
      </c>
      <c r="BH51" s="22">
        <f t="shared" ref="BH51" si="80">+BI51-SUM(BE51:BG51)</f>
        <v>0</v>
      </c>
      <c r="BI51" s="43">
        <v>0</v>
      </c>
    </row>
    <row r="52" spans="1:65">
      <c r="A52" s="1" t="s">
        <v>74</v>
      </c>
      <c r="B52" s="41">
        <v>-639</v>
      </c>
      <c r="C52" s="41">
        <f>-1264-B52</f>
        <v>-625</v>
      </c>
      <c r="D52" s="41">
        <f>-1882-B52-C52</f>
        <v>-618</v>
      </c>
      <c r="E52" s="22">
        <f t="shared" si="68"/>
        <v>-608</v>
      </c>
      <c r="F52" s="43">
        <v>-2490</v>
      </c>
      <c r="G52" s="41">
        <v>-717</v>
      </c>
      <c r="H52" s="41">
        <f>-1408-G52</f>
        <v>-691</v>
      </c>
      <c r="I52" s="41">
        <f>-2084-G52-H52</f>
        <v>-676</v>
      </c>
      <c r="J52" s="22">
        <f t="shared" si="69"/>
        <v>-672</v>
      </c>
      <c r="K52" s="43">
        <v>-2756</v>
      </c>
      <c r="L52" s="41">
        <v>-868</v>
      </c>
      <c r="M52" s="41">
        <f>-1720-L52</f>
        <v>-852</v>
      </c>
      <c r="N52" s="41">
        <f>-2575-L52-M52</f>
        <v>-855</v>
      </c>
      <c r="O52" s="22">
        <f t="shared" si="70"/>
        <v>-842</v>
      </c>
      <c r="P52" s="43">
        <v>-3417</v>
      </c>
      <c r="Q52" s="41">
        <v>-1006</v>
      </c>
      <c r="R52" s="41">
        <f>-1997-Q52</f>
        <v>-991</v>
      </c>
      <c r="S52" s="41">
        <f>-2976-Q52-R52</f>
        <v>-979</v>
      </c>
      <c r="T52" s="22">
        <f t="shared" si="71"/>
        <v>-970</v>
      </c>
      <c r="U52" s="43">
        <v>-3946</v>
      </c>
      <c r="V52" s="41">
        <v>-1161</v>
      </c>
      <c r="W52" s="41">
        <f>-2317-V52</f>
        <v>-1156</v>
      </c>
      <c r="X52" s="41">
        <f>-3473-V52-W52</f>
        <v>-1156</v>
      </c>
      <c r="Y52" s="22">
        <f t="shared" si="72"/>
        <v>-1157</v>
      </c>
      <c r="Z52" s="43">
        <v>-4630</v>
      </c>
      <c r="AA52" s="41">
        <v>-1158</v>
      </c>
      <c r="AB52" s="41">
        <f>-1158-AA52</f>
        <v>0</v>
      </c>
      <c r="AC52" s="41">
        <f>-1158-AA52-AB52</f>
        <v>0</v>
      </c>
      <c r="AD52" s="22">
        <f t="shared" si="73"/>
        <v>0</v>
      </c>
      <c r="AE52" s="43">
        <v>-1158</v>
      </c>
      <c r="AF52" s="41">
        <v>0</v>
      </c>
      <c r="AG52" s="41">
        <f>0-AF52</f>
        <v>0</v>
      </c>
      <c r="AH52" s="41">
        <f>0-AG52-AF52</f>
        <v>0</v>
      </c>
      <c r="AI52" s="22">
        <f t="shared" si="74"/>
        <v>0</v>
      </c>
      <c r="AJ52" s="43">
        <v>0</v>
      </c>
      <c r="AK52" s="41">
        <v>0</v>
      </c>
      <c r="AL52" s="41">
        <f>0-AK52</f>
        <v>0</v>
      </c>
      <c r="AM52" s="41">
        <f>0-AL52-AK52</f>
        <v>0</v>
      </c>
      <c r="AN52" s="22">
        <f t="shared" si="75"/>
        <v>0</v>
      </c>
      <c r="AO52" s="43">
        <v>0</v>
      </c>
      <c r="AP52" s="41">
        <v>0</v>
      </c>
      <c r="AQ52" s="41">
        <f>0-AP52</f>
        <v>0</v>
      </c>
      <c r="AR52" s="41">
        <f>0-AQ52-AP52</f>
        <v>0</v>
      </c>
      <c r="AS52" s="22">
        <f t="shared" si="76"/>
        <v>0</v>
      </c>
      <c r="AT52" s="43">
        <v>0</v>
      </c>
      <c r="AU52" s="41">
        <v>0</v>
      </c>
      <c r="AV52" s="41">
        <f>0-AU52</f>
        <v>0</v>
      </c>
      <c r="AW52" s="41">
        <f>0-AV52-AU52</f>
        <v>0</v>
      </c>
      <c r="AX52" s="22">
        <f t="shared" si="77"/>
        <v>0</v>
      </c>
      <c r="AY52" s="43">
        <v>0</v>
      </c>
      <c r="AZ52" s="41">
        <v>-72</v>
      </c>
      <c r="BA52" s="41">
        <f>-158-AZ52</f>
        <v>-86</v>
      </c>
      <c r="BB52" s="41">
        <f>-244-BA52-AZ52</f>
        <v>-86</v>
      </c>
      <c r="BC52" s="22">
        <f t="shared" si="78"/>
        <v>-87</v>
      </c>
      <c r="BD52" s="43">
        <v>-331</v>
      </c>
      <c r="BE52" s="85">
        <f>Income_Statement_Qtr!BE49</f>
        <v>-86.5</v>
      </c>
      <c r="BF52" s="85">
        <f>Income_Statement_Qtr!BF49</f>
        <v>-86.5</v>
      </c>
      <c r="BG52" s="85">
        <f>Income_Statement_Qtr!BG49</f>
        <v>-86.5</v>
      </c>
      <c r="BH52" s="85">
        <f>Income_Statement_Qtr!BH49</f>
        <v>-86.5</v>
      </c>
      <c r="BI52" s="23">
        <f>SUM(BE52:BH52)</f>
        <v>-346</v>
      </c>
    </row>
    <row r="53" spans="1:65">
      <c r="A53" s="1" t="s">
        <v>655</v>
      </c>
      <c r="B53" s="41"/>
      <c r="C53" s="41"/>
      <c r="D53" s="41"/>
      <c r="E53" s="22"/>
      <c r="F53" s="43"/>
      <c r="G53" s="41"/>
      <c r="H53" s="41"/>
      <c r="I53" s="41"/>
      <c r="J53" s="22"/>
      <c r="K53" s="43"/>
      <c r="L53" s="41"/>
      <c r="M53" s="41"/>
      <c r="N53" s="41"/>
      <c r="O53" s="22"/>
      <c r="P53" s="43"/>
      <c r="Q53" s="41"/>
      <c r="R53" s="41"/>
      <c r="S53" s="41"/>
      <c r="T53" s="22"/>
      <c r="U53" s="43"/>
      <c r="V53" s="41"/>
      <c r="W53" s="41"/>
      <c r="X53" s="41"/>
      <c r="Y53" s="22"/>
      <c r="Z53" s="43"/>
      <c r="AA53" s="41"/>
      <c r="AB53" s="41"/>
      <c r="AC53" s="41"/>
      <c r="AD53" s="22"/>
      <c r="AE53" s="43"/>
      <c r="AF53" s="41"/>
      <c r="AG53" s="41"/>
      <c r="AH53" s="41"/>
      <c r="AI53" s="22"/>
      <c r="AJ53" s="43"/>
      <c r="AK53" s="41"/>
      <c r="AL53" s="41"/>
      <c r="AM53" s="41"/>
      <c r="AN53" s="22"/>
      <c r="AO53" s="43"/>
      <c r="AP53" s="41"/>
      <c r="AQ53" s="41"/>
      <c r="AR53" s="41"/>
      <c r="AS53" s="22"/>
      <c r="AT53" s="43"/>
      <c r="AU53" s="41"/>
      <c r="AV53" s="41"/>
      <c r="AW53" s="41"/>
      <c r="AX53" s="22">
        <f t="shared" si="77"/>
        <v>5657</v>
      </c>
      <c r="AY53" s="43">
        <v>5657</v>
      </c>
      <c r="AZ53" s="41"/>
      <c r="BA53" s="41"/>
      <c r="BB53" s="41"/>
      <c r="BC53" s="22">
        <f t="shared" si="78"/>
        <v>0</v>
      </c>
      <c r="BD53" s="43">
        <v>0</v>
      </c>
      <c r="BE53" s="20">
        <v>0</v>
      </c>
      <c r="BF53" s="20">
        <v>0</v>
      </c>
      <c r="BG53" s="20">
        <v>0</v>
      </c>
      <c r="BH53" s="22">
        <f t="shared" ref="BH53" si="81">+BI53-SUM(BE53:BG53)</f>
        <v>0</v>
      </c>
      <c r="BI53" s="43">
        <v>0</v>
      </c>
      <c r="BM53" s="547"/>
    </row>
    <row r="54" spans="1:65">
      <c r="A54" s="1" t="s">
        <v>1</v>
      </c>
      <c r="B54" s="41">
        <v>0</v>
      </c>
      <c r="C54" s="41">
        <f>0-B54</f>
        <v>0</v>
      </c>
      <c r="D54" s="41">
        <f>0-B54-C54</f>
        <v>0</v>
      </c>
      <c r="E54" s="22">
        <f t="shared" si="68"/>
        <v>0</v>
      </c>
      <c r="F54" s="43">
        <v>0</v>
      </c>
      <c r="G54" s="41">
        <v>0</v>
      </c>
      <c r="H54" s="41">
        <f>0-G54</f>
        <v>0</v>
      </c>
      <c r="I54" s="41">
        <f>0-G54-H54</f>
        <v>0</v>
      </c>
      <c r="J54" s="22">
        <f>+K54-SUM(G54:I54)</f>
        <v>0</v>
      </c>
      <c r="K54" s="43">
        <v>0</v>
      </c>
      <c r="L54" s="41">
        <v>0</v>
      </c>
      <c r="M54" s="41">
        <f>0-L54</f>
        <v>0</v>
      </c>
      <c r="N54" s="41">
        <f>0-L54-M54</f>
        <v>0</v>
      </c>
      <c r="O54" s="22">
        <f t="shared" si="70"/>
        <v>0</v>
      </c>
      <c r="P54" s="43">
        <v>0</v>
      </c>
      <c r="Q54" s="41">
        <v>0</v>
      </c>
      <c r="R54" s="41">
        <f>0-Q54</f>
        <v>0</v>
      </c>
      <c r="S54" s="41">
        <f>0-Q54-R54</f>
        <v>0</v>
      </c>
      <c r="T54" s="22">
        <f t="shared" si="71"/>
        <v>0</v>
      </c>
      <c r="U54" s="43">
        <v>0</v>
      </c>
      <c r="V54" s="41">
        <v>0</v>
      </c>
      <c r="W54" s="41">
        <f>0-V54</f>
        <v>0</v>
      </c>
      <c r="X54" s="41">
        <f>0-V54-W54</f>
        <v>0</v>
      </c>
      <c r="Y54" s="22">
        <f t="shared" si="72"/>
        <v>-15</v>
      </c>
      <c r="Z54" s="43">
        <v>-15</v>
      </c>
      <c r="AA54" s="41">
        <v>0</v>
      </c>
      <c r="AB54" s="41">
        <f>0-AA54</f>
        <v>0</v>
      </c>
      <c r="AC54" s="41">
        <f>0-AA54-AB54</f>
        <v>0</v>
      </c>
      <c r="AD54" s="22">
        <f t="shared" si="73"/>
        <v>0</v>
      </c>
      <c r="AE54" s="43">
        <v>0</v>
      </c>
      <c r="AF54" s="41">
        <v>0</v>
      </c>
      <c r="AG54" s="41">
        <f>0-AF54</f>
        <v>0</v>
      </c>
      <c r="AH54" s="41">
        <f>0-AF54-AG54</f>
        <v>0</v>
      </c>
      <c r="AI54" s="22">
        <f t="shared" si="74"/>
        <v>0</v>
      </c>
      <c r="AJ54" s="43">
        <v>0</v>
      </c>
      <c r="AK54" s="41">
        <v>0</v>
      </c>
      <c r="AL54" s="41">
        <f>0-AK54</f>
        <v>0</v>
      </c>
      <c r="AM54" s="41">
        <f>0-AK54-AL54</f>
        <v>0</v>
      </c>
      <c r="AN54" s="22">
        <f t="shared" si="75"/>
        <v>0</v>
      </c>
      <c r="AO54" s="43">
        <v>0</v>
      </c>
      <c r="AP54" s="41">
        <v>0</v>
      </c>
      <c r="AQ54" s="41">
        <f>-4-AP54</f>
        <v>-4</v>
      </c>
      <c r="AR54" s="41">
        <f>2-AP54-AQ54</f>
        <v>6</v>
      </c>
      <c r="AS54" s="22">
        <f t="shared" si="76"/>
        <v>15</v>
      </c>
      <c r="AT54" s="43">
        <v>17</v>
      </c>
      <c r="AU54" s="41">
        <v>18</v>
      </c>
      <c r="AV54" s="41">
        <f>-3-AU54</f>
        <v>-21</v>
      </c>
      <c r="AW54" s="41">
        <f>15-AU54-AV54</f>
        <v>18</v>
      </c>
      <c r="AX54" s="22">
        <f t="shared" ref="AX54" si="82">+AY54-SUM(AU54:AW54)</f>
        <v>-68</v>
      </c>
      <c r="AY54" s="43">
        <v>-53</v>
      </c>
      <c r="AZ54" s="41">
        <v>14</v>
      </c>
      <c r="BA54" s="41">
        <f>30-AZ54</f>
        <v>16</v>
      </c>
      <c r="BB54" s="41">
        <f>43-AZ54-BA54</f>
        <v>13</v>
      </c>
      <c r="BC54" s="22">
        <f t="shared" si="78"/>
        <v>15</v>
      </c>
      <c r="BD54" s="43">
        <v>58</v>
      </c>
      <c r="BE54" s="41">
        <v>0</v>
      </c>
      <c r="BF54" s="41">
        <v>0</v>
      </c>
      <c r="BG54" s="41">
        <v>0</v>
      </c>
      <c r="BH54" s="41">
        <v>0</v>
      </c>
      <c r="BI54" s="23">
        <f>SUM(BE54:BH54)</f>
        <v>0</v>
      </c>
    </row>
    <row r="55" spans="1:65">
      <c r="A55" s="9" t="s">
        <v>75</v>
      </c>
      <c r="B55" s="24">
        <f t="shared" ref="B55:AA55" si="83">+SUM(B44:B54)</f>
        <v>-2935</v>
      </c>
      <c r="C55" s="24">
        <f t="shared" si="83"/>
        <v>-2605</v>
      </c>
      <c r="D55" s="24">
        <f t="shared" si="83"/>
        <v>-2069</v>
      </c>
      <c r="E55" s="24">
        <f t="shared" si="83"/>
        <v>-311</v>
      </c>
      <c r="F55" s="25">
        <f t="shared" si="83"/>
        <v>-7920</v>
      </c>
      <c r="G55" s="24">
        <f t="shared" si="83"/>
        <v>-4265</v>
      </c>
      <c r="H55" s="24">
        <f t="shared" si="83"/>
        <v>-1544</v>
      </c>
      <c r="I55" s="24">
        <f t="shared" si="83"/>
        <v>-2204</v>
      </c>
      <c r="J55" s="24">
        <f t="shared" si="83"/>
        <v>-1574</v>
      </c>
      <c r="K55" s="25">
        <f t="shared" si="83"/>
        <v>-9587</v>
      </c>
      <c r="L55" s="24">
        <f t="shared" si="83"/>
        <v>-2463</v>
      </c>
      <c r="M55" s="24">
        <f t="shared" si="83"/>
        <v>-3311</v>
      </c>
      <c r="N55" s="24">
        <f t="shared" si="83"/>
        <v>-3335</v>
      </c>
      <c r="O55" s="24">
        <f t="shared" si="83"/>
        <v>-2241</v>
      </c>
      <c r="P55" s="25">
        <f t="shared" si="83"/>
        <v>-11350</v>
      </c>
      <c r="Q55" s="24">
        <f t="shared" si="83"/>
        <v>-2845</v>
      </c>
      <c r="R55" s="24">
        <f t="shared" si="83"/>
        <v>-4332</v>
      </c>
      <c r="S55" s="24">
        <f t="shared" si="83"/>
        <v>-3689</v>
      </c>
      <c r="T55" s="24">
        <f t="shared" si="83"/>
        <v>-856</v>
      </c>
      <c r="U55" s="25">
        <f t="shared" si="83"/>
        <v>-11722</v>
      </c>
      <c r="V55" s="24">
        <f t="shared" si="83"/>
        <v>-2823</v>
      </c>
      <c r="W55" s="24">
        <f t="shared" si="83"/>
        <v>2919</v>
      </c>
      <c r="X55" s="24">
        <f t="shared" si="83"/>
        <v>4240</v>
      </c>
      <c r="Y55" s="24">
        <f t="shared" si="83"/>
        <v>1403</v>
      </c>
      <c r="Z55" s="25">
        <f t="shared" si="83"/>
        <v>5739</v>
      </c>
      <c r="AA55" s="24">
        <f t="shared" si="83"/>
        <v>10280</v>
      </c>
      <c r="AB55" s="24">
        <f t="shared" ref="AB55:AM55" si="84">+SUM(AB44:AB54)</f>
        <v>22462</v>
      </c>
      <c r="AC55" s="24">
        <f t="shared" si="84"/>
        <v>-468</v>
      </c>
      <c r="AD55" s="24">
        <f t="shared" si="84"/>
        <v>2681</v>
      </c>
      <c r="AE55" s="25">
        <f t="shared" si="84"/>
        <v>34955</v>
      </c>
      <c r="AF55" s="24">
        <f t="shared" si="84"/>
        <v>-48</v>
      </c>
      <c r="AG55" s="24">
        <f t="shared" si="84"/>
        <v>-19</v>
      </c>
      <c r="AH55" s="24">
        <f t="shared" si="84"/>
        <v>-1171</v>
      </c>
      <c r="AI55" s="24">
        <f t="shared" si="84"/>
        <v>-4362</v>
      </c>
      <c r="AJ55" s="25">
        <f t="shared" si="84"/>
        <v>-5600</v>
      </c>
      <c r="AK55" s="24">
        <f t="shared" si="84"/>
        <v>-396</v>
      </c>
      <c r="AL55" s="24">
        <f t="shared" si="84"/>
        <v>-602</v>
      </c>
      <c r="AM55" s="24">
        <f t="shared" si="84"/>
        <v>-18</v>
      </c>
      <c r="AN55" s="24">
        <f t="shared" ref="AN55:AO55" si="85">+SUM(AN44:AN54)</f>
        <v>-250</v>
      </c>
      <c r="AO55" s="25">
        <f t="shared" si="85"/>
        <v>-1266</v>
      </c>
      <c r="AP55" s="24">
        <f t="shared" ref="AP55" si="86">+SUM(AP44:AP54)</f>
        <v>-1680</v>
      </c>
      <c r="AQ55" s="24">
        <f t="shared" ref="AQ55" si="87">+SUM(AQ44:AQ54)</f>
        <v>-3413</v>
      </c>
      <c r="AR55" s="24">
        <f t="shared" ref="AR55:AV55" si="88">+SUM(AR44:AR54)</f>
        <v>-38</v>
      </c>
      <c r="AS55" s="24">
        <f t="shared" si="88"/>
        <v>-356</v>
      </c>
      <c r="AT55" s="25">
        <f t="shared" si="88"/>
        <v>-5487</v>
      </c>
      <c r="AU55" s="24">
        <f t="shared" si="88"/>
        <v>-4462</v>
      </c>
      <c r="AV55" s="24">
        <f t="shared" si="88"/>
        <v>10000</v>
      </c>
      <c r="AW55" s="24">
        <f t="shared" ref="AW55:BA55" si="89">+SUM(AW44:AW54)</f>
        <v>-300</v>
      </c>
      <c r="AX55" s="24">
        <f t="shared" si="89"/>
        <v>19971</v>
      </c>
      <c r="AY55" s="25">
        <f t="shared" si="89"/>
        <v>25209</v>
      </c>
      <c r="AZ55" s="24">
        <f t="shared" si="89"/>
        <v>-338</v>
      </c>
      <c r="BA55" s="24">
        <f t="shared" si="89"/>
        <v>-387</v>
      </c>
      <c r="BB55" s="24">
        <f t="shared" ref="BB55:BC55" si="90">+SUM(BB44:BB54)</f>
        <v>-87</v>
      </c>
      <c r="BC55" s="24">
        <f t="shared" si="90"/>
        <v>-2951</v>
      </c>
      <c r="BD55" s="25">
        <f t="shared" ref="BD55" si="91">+SUM(BD44:BD54)</f>
        <v>-3763</v>
      </c>
      <c r="BE55" s="24">
        <f>+SUM(BE44:BE54)</f>
        <v>-636.5</v>
      </c>
      <c r="BF55" s="24">
        <f>+SUM(BF44:BF54)</f>
        <v>-2686.5</v>
      </c>
      <c r="BG55" s="24">
        <f>+SUM(BG44:BG54)</f>
        <v>-1386.5</v>
      </c>
      <c r="BH55" s="24">
        <f t="shared" ref="BH55:BI55" si="92">+SUM(BH44:BH54)</f>
        <v>-86.5</v>
      </c>
      <c r="BI55" s="25">
        <f t="shared" si="92"/>
        <v>-4796</v>
      </c>
    </row>
    <row r="56" spans="1:65">
      <c r="B56" s="22"/>
      <c r="C56" s="22"/>
      <c r="D56" s="22"/>
      <c r="E56" s="22"/>
      <c r="F56" s="23"/>
      <c r="G56" s="22"/>
      <c r="H56" s="22"/>
      <c r="I56" s="22"/>
      <c r="J56" s="22"/>
      <c r="K56" s="23"/>
      <c r="L56" s="22"/>
      <c r="M56" s="22"/>
      <c r="N56" s="22"/>
      <c r="O56" s="22"/>
      <c r="P56" s="23"/>
      <c r="Q56" s="22"/>
      <c r="R56" s="22"/>
      <c r="S56" s="22"/>
      <c r="T56" s="22"/>
      <c r="U56" s="23"/>
      <c r="V56" s="22"/>
      <c r="W56" s="22"/>
      <c r="X56" s="22"/>
      <c r="Y56" s="22"/>
      <c r="Z56" s="23"/>
      <c r="AA56" s="22"/>
      <c r="AB56" s="22"/>
      <c r="AC56" s="22"/>
      <c r="AD56" s="22"/>
      <c r="AE56" s="23"/>
      <c r="AF56" s="22"/>
      <c r="AG56" s="22"/>
      <c r="AH56" s="22"/>
      <c r="AI56" s="22"/>
      <c r="AJ56" s="23"/>
      <c r="AK56" s="22"/>
      <c r="AL56" s="22"/>
      <c r="AM56" s="22"/>
      <c r="AN56" s="22"/>
      <c r="AO56" s="23"/>
      <c r="AP56" s="22"/>
      <c r="AQ56" s="22"/>
      <c r="AR56" s="22"/>
      <c r="AS56" s="22"/>
      <c r="AT56" s="23"/>
      <c r="AU56" s="22"/>
      <c r="AV56" s="22"/>
      <c r="AW56" s="22"/>
      <c r="AX56" s="22"/>
      <c r="AY56" s="23"/>
      <c r="AZ56" s="22"/>
      <c r="BA56" s="22"/>
      <c r="BB56" s="22"/>
      <c r="BC56" s="22"/>
      <c r="BD56" s="23"/>
      <c r="BE56" s="22"/>
      <c r="BF56" s="22"/>
      <c r="BG56" s="22"/>
      <c r="BH56" s="22"/>
      <c r="BI56" s="23"/>
    </row>
    <row r="57" spans="1:65">
      <c r="A57" s="1" t="s">
        <v>76</v>
      </c>
      <c r="B57" s="41">
        <v>-17</v>
      </c>
      <c r="C57" s="41">
        <f>-9-B57</f>
        <v>8</v>
      </c>
      <c r="D57" s="41">
        <f>-20-B57-C57</f>
        <v>-11</v>
      </c>
      <c r="E57" s="22">
        <f>+F57-SUM(B57:D57)</f>
        <v>-8</v>
      </c>
      <c r="F57" s="43">
        <v>-28</v>
      </c>
      <c r="G57" s="41">
        <v>12</v>
      </c>
      <c r="H57" s="41">
        <f>-3-G57</f>
        <v>-15</v>
      </c>
      <c r="I57" s="41">
        <f>-6-G57-H57</f>
        <v>-3</v>
      </c>
      <c r="J57" s="22">
        <f>+K57-SUM(G57:I57)</f>
        <v>-27</v>
      </c>
      <c r="K57" s="43">
        <v>-33</v>
      </c>
      <c r="L57" s="41">
        <v>20</v>
      </c>
      <c r="M57" s="41">
        <f>52-L57</f>
        <v>32</v>
      </c>
      <c r="N57" s="41">
        <f>73-L57-M57</f>
        <v>21</v>
      </c>
      <c r="O57" s="22">
        <f>+P57-SUM(L57:N57)</f>
        <v>7</v>
      </c>
      <c r="P57" s="43">
        <v>80</v>
      </c>
      <c r="Q57" s="41">
        <v>8</v>
      </c>
      <c r="R57" s="41">
        <f>-36-Q57</f>
        <v>-44</v>
      </c>
      <c r="S57" s="41">
        <f>-37-Q57-R57</f>
        <v>-1</v>
      </c>
      <c r="T57" s="22">
        <f>+U57-SUM(Q57:S57)</f>
        <v>-16</v>
      </c>
      <c r="U57" s="43">
        <v>-53</v>
      </c>
      <c r="V57" s="41">
        <v>1</v>
      </c>
      <c r="W57" s="41">
        <f>-2-V57</f>
        <v>-3</v>
      </c>
      <c r="X57" s="41">
        <f>-27-V57-W57</f>
        <v>-25</v>
      </c>
      <c r="Y57" s="22">
        <f>+Z57-SUM(V57:X57)</f>
        <v>22</v>
      </c>
      <c r="Z57" s="43">
        <v>-5</v>
      </c>
      <c r="AA57" s="41">
        <v>-47</v>
      </c>
      <c r="AB57" s="41">
        <f>-11-AA57</f>
        <v>36</v>
      </c>
      <c r="AC57" s="41">
        <f>26-AA57-AB57</f>
        <v>37</v>
      </c>
      <c r="AD57" s="22">
        <f>+AE57-SUM(AA57:AC57)</f>
        <v>59</v>
      </c>
      <c r="AE57" s="43">
        <v>85</v>
      </c>
      <c r="AF57" s="41">
        <v>-18</v>
      </c>
      <c r="AG57" s="41">
        <f>-14-AF57</f>
        <v>4</v>
      </c>
      <c r="AH57" s="41">
        <f>-34-AG57-AF57</f>
        <v>-20</v>
      </c>
      <c r="AI57" s="22">
        <f>+AJ57-SUM(AF57:AH57)</f>
        <v>-5</v>
      </c>
      <c r="AJ57" s="43">
        <v>-39</v>
      </c>
      <c r="AK57" s="41">
        <v>-3</v>
      </c>
      <c r="AL57" s="41">
        <f>-71-AK57</f>
        <v>-68</v>
      </c>
      <c r="AM57" s="41">
        <f>-134-AL57-AK57</f>
        <v>-63</v>
      </c>
      <c r="AN57" s="22">
        <f>+AO57-SUM(AK57:AM57)</f>
        <v>61</v>
      </c>
      <c r="AO57" s="43">
        <v>-73</v>
      </c>
      <c r="AP57" s="41">
        <v>10</v>
      </c>
      <c r="AQ57" s="41">
        <f>2-AP57</f>
        <v>-8</v>
      </c>
      <c r="AR57" s="41">
        <f>-22-AQ57-AP57</f>
        <v>-24</v>
      </c>
      <c r="AS57" s="22">
        <f>+AT57-SUM(AP57:AR57)</f>
        <v>52</v>
      </c>
      <c r="AT57" s="43">
        <v>30</v>
      </c>
      <c r="AU57" s="41">
        <v>-28</v>
      </c>
      <c r="AV57" s="41">
        <f>-25-AU57</f>
        <v>3</v>
      </c>
      <c r="AW57" s="41">
        <f>8-AV57-AU57</f>
        <v>33</v>
      </c>
      <c r="AX57" s="22">
        <f>+AY57-SUM(AU57:AW57)</f>
        <v>-55</v>
      </c>
      <c r="AY57" s="43">
        <v>-47</v>
      </c>
      <c r="AZ57" s="41">
        <v>12</v>
      </c>
      <c r="BA57" s="41">
        <f>34-AZ57</f>
        <v>22</v>
      </c>
      <c r="BB57" s="41">
        <f>39-BA57-AZ57</f>
        <v>5</v>
      </c>
      <c r="BC57" s="22">
        <f>+BD57-SUM(AZ57:BB57)</f>
        <v>1</v>
      </c>
      <c r="BD57" s="43">
        <v>40</v>
      </c>
      <c r="BE57" s="41">
        <v>0</v>
      </c>
      <c r="BF57" s="41">
        <v>0</v>
      </c>
      <c r="BG57" s="41">
        <v>0</v>
      </c>
      <c r="BH57" s="19">
        <v>0</v>
      </c>
      <c r="BI57" s="562">
        <f>SUM(BE57:BH57)</f>
        <v>0</v>
      </c>
    </row>
    <row r="58" spans="1:65">
      <c r="A58" s="1" t="s">
        <v>223</v>
      </c>
      <c r="B58" s="41">
        <v>0</v>
      </c>
      <c r="C58" s="41">
        <v>0</v>
      </c>
      <c r="D58" s="41">
        <v>0</v>
      </c>
      <c r="E58" s="22">
        <f>+F58-SUM(B58:D58)</f>
        <v>0</v>
      </c>
      <c r="F58" s="43">
        <v>0</v>
      </c>
      <c r="G58" s="41">
        <v>0</v>
      </c>
      <c r="H58" s="41">
        <v>0</v>
      </c>
      <c r="I58" s="41">
        <v>0</v>
      </c>
      <c r="J58" s="22">
        <f>+K58-SUM(G58:I58)</f>
        <v>0</v>
      </c>
      <c r="K58" s="43">
        <v>0</v>
      </c>
      <c r="L58" s="41">
        <f>+(8869-8801)</f>
        <v>68</v>
      </c>
      <c r="M58" s="41">
        <v>0</v>
      </c>
      <c r="N58" s="41">
        <v>0</v>
      </c>
      <c r="O58" s="22">
        <f>+P58-SUM(L58:N58)</f>
        <v>0</v>
      </c>
      <c r="P58" s="43">
        <f>+(8869-8801)</f>
        <v>68</v>
      </c>
      <c r="Q58" s="41">
        <v>0</v>
      </c>
      <c r="R58" s="41">
        <v>0</v>
      </c>
      <c r="S58" s="41">
        <v>0</v>
      </c>
      <c r="T58" s="22">
        <f>+U58-SUM(Q58:S58)</f>
        <v>0</v>
      </c>
      <c r="U58" s="43">
        <v>0</v>
      </c>
      <c r="V58" s="41">
        <v>0</v>
      </c>
      <c r="W58" s="41">
        <v>0</v>
      </c>
      <c r="X58" s="41">
        <v>0</v>
      </c>
      <c r="Y58" s="22">
        <f>+Z58-SUM(V58:X58)</f>
        <v>0</v>
      </c>
      <c r="Z58" s="43">
        <v>0</v>
      </c>
      <c r="AA58" s="41">
        <v>0</v>
      </c>
      <c r="AB58" s="41">
        <v>0</v>
      </c>
      <c r="AC58" s="41">
        <v>0</v>
      </c>
      <c r="AD58" s="22">
        <f>+AE58-SUM(AA58:AC58)</f>
        <v>0</v>
      </c>
      <c r="AE58" s="43">
        <v>0</v>
      </c>
      <c r="AF58" s="41">
        <v>0</v>
      </c>
      <c r="AG58" s="41">
        <v>0</v>
      </c>
      <c r="AH58" s="41">
        <v>0</v>
      </c>
      <c r="AI58" s="22">
        <f>+AJ58-SUM(AF58:AH58)</f>
        <v>0</v>
      </c>
      <c r="AJ58" s="43">
        <v>0</v>
      </c>
      <c r="AK58" s="41">
        <v>0</v>
      </c>
      <c r="AL58" s="41">
        <v>0</v>
      </c>
      <c r="AM58" s="41">
        <v>0</v>
      </c>
      <c r="AN58" s="22">
        <f>+AO58-SUM(AK58:AM58)</f>
        <v>0</v>
      </c>
      <c r="AO58" s="43">
        <v>0</v>
      </c>
      <c r="AP58" s="41">
        <v>0</v>
      </c>
      <c r="AQ58" s="41">
        <v>0</v>
      </c>
      <c r="AR58" s="41">
        <v>0</v>
      </c>
      <c r="AS58" s="22">
        <f>+AT58-SUM(AP58:AR58)</f>
        <v>0</v>
      </c>
      <c r="AT58" s="43">
        <v>0</v>
      </c>
      <c r="AU58" s="41">
        <v>0</v>
      </c>
      <c r="AV58" s="41">
        <v>0</v>
      </c>
      <c r="AW58" s="41">
        <v>0</v>
      </c>
      <c r="AX58" s="22">
        <f>+AY58-SUM(AU58:AW58)</f>
        <v>0</v>
      </c>
      <c r="AY58" s="43">
        <v>0</v>
      </c>
      <c r="AZ58" s="41">
        <v>0</v>
      </c>
      <c r="BA58" s="41">
        <v>0</v>
      </c>
      <c r="BB58" s="41">
        <v>0</v>
      </c>
      <c r="BC58" s="22">
        <f>+BD58-SUM(AZ58:BB58)</f>
        <v>0</v>
      </c>
      <c r="BD58" s="43">
        <v>0</v>
      </c>
      <c r="BE58" s="41">
        <v>0</v>
      </c>
      <c r="BF58" s="41">
        <v>0</v>
      </c>
      <c r="BG58" s="41">
        <v>0</v>
      </c>
      <c r="BH58" s="22">
        <f>+BI58-SUM(BE58:BG58)</f>
        <v>0</v>
      </c>
      <c r="BI58" s="43">
        <v>0</v>
      </c>
    </row>
    <row r="59" spans="1:65">
      <c r="A59" s="17" t="s">
        <v>77</v>
      </c>
      <c r="B59" s="74">
        <f t="shared" ref="B59:AA59" si="93">+SUM(B55,B41,B29,B57,B58)</f>
        <v>-3078</v>
      </c>
      <c r="C59" s="74">
        <f t="shared" si="93"/>
        <v>502</v>
      </c>
      <c r="D59" s="74">
        <f t="shared" si="93"/>
        <v>226</v>
      </c>
      <c r="E59" s="74">
        <f t="shared" si="93"/>
        <v>1919</v>
      </c>
      <c r="F59" s="76">
        <f t="shared" si="93"/>
        <v>-431</v>
      </c>
      <c r="G59" s="74">
        <f t="shared" si="93"/>
        <v>-3416</v>
      </c>
      <c r="H59" s="74">
        <f t="shared" si="93"/>
        <v>719</v>
      </c>
      <c r="I59" s="74">
        <f t="shared" si="93"/>
        <v>381</v>
      </c>
      <c r="J59" s="74">
        <f t="shared" si="93"/>
        <v>-185</v>
      </c>
      <c r="K59" s="76">
        <f t="shared" si="93"/>
        <v>-2501</v>
      </c>
      <c r="L59" s="74">
        <f t="shared" si="93"/>
        <v>-537</v>
      </c>
      <c r="M59" s="74">
        <f t="shared" si="93"/>
        <v>547</v>
      </c>
      <c r="N59" s="74">
        <f t="shared" si="93"/>
        <v>-136</v>
      </c>
      <c r="O59" s="74">
        <f t="shared" si="93"/>
        <v>212</v>
      </c>
      <c r="P59" s="76">
        <f t="shared" si="93"/>
        <v>86</v>
      </c>
      <c r="Q59" s="74">
        <f t="shared" si="93"/>
        <v>418</v>
      </c>
      <c r="R59" s="74">
        <f t="shared" si="93"/>
        <v>-1110</v>
      </c>
      <c r="S59" s="74">
        <f t="shared" si="93"/>
        <v>-33</v>
      </c>
      <c r="T59" s="74">
        <f t="shared" si="93"/>
        <v>-349</v>
      </c>
      <c r="U59" s="76">
        <f t="shared" si="93"/>
        <v>-1074</v>
      </c>
      <c r="V59" s="74">
        <f t="shared" si="93"/>
        <v>-801</v>
      </c>
      <c r="W59" s="74">
        <f t="shared" si="93"/>
        <v>2240</v>
      </c>
      <c r="X59" s="74">
        <f t="shared" si="93"/>
        <v>597</v>
      </c>
      <c r="Y59" s="74">
        <f t="shared" si="93"/>
        <v>-278</v>
      </c>
      <c r="Z59" s="76">
        <f t="shared" si="93"/>
        <v>1758</v>
      </c>
      <c r="AA59" s="74">
        <f t="shared" si="93"/>
        <v>5552</v>
      </c>
      <c r="AB59" s="74">
        <f t="shared" ref="AB59:AM59" si="94">+SUM(AB55,AB41,AB29,AB57,AB58)</f>
        <v>4911</v>
      </c>
      <c r="AC59" s="74">
        <f t="shared" si="94"/>
        <v>-9387</v>
      </c>
      <c r="AD59" s="74">
        <f t="shared" si="94"/>
        <v>-2812</v>
      </c>
      <c r="AE59" s="76">
        <f t="shared" si="94"/>
        <v>-1736</v>
      </c>
      <c r="AF59" s="74">
        <f t="shared" si="94"/>
        <v>-689</v>
      </c>
      <c r="AG59" s="74">
        <f t="shared" si="94"/>
        <v>1161</v>
      </c>
      <c r="AH59" s="74">
        <f t="shared" si="94"/>
        <v>1513</v>
      </c>
      <c r="AI59" s="74">
        <f t="shared" si="94"/>
        <v>-1716</v>
      </c>
      <c r="AJ59" s="76">
        <f t="shared" si="94"/>
        <v>269</v>
      </c>
      <c r="AK59" s="74">
        <f t="shared" si="94"/>
        <v>-650</v>
      </c>
      <c r="AL59" s="74">
        <f t="shared" si="94"/>
        <v>2677</v>
      </c>
      <c r="AM59" s="74">
        <f t="shared" si="94"/>
        <v>3399</v>
      </c>
      <c r="AN59" s="74">
        <f t="shared" ref="AN59:AR59" si="95">+SUM(AN55,AN41,AN29,AN57,AN58)</f>
        <v>1117</v>
      </c>
      <c r="AO59" s="76">
        <f t="shared" si="95"/>
        <v>6543</v>
      </c>
      <c r="AP59" s="74">
        <f t="shared" si="95"/>
        <v>-3811</v>
      </c>
      <c r="AQ59" s="74">
        <f t="shared" si="95"/>
        <v>-3561</v>
      </c>
      <c r="AR59" s="74">
        <f t="shared" si="95"/>
        <v>-443</v>
      </c>
      <c r="AS59" s="74">
        <f t="shared" ref="AS59:AW59" si="96">+SUM(AS55,AS41,AS29,AS57,AS58)</f>
        <v>5881</v>
      </c>
      <c r="AT59" s="76">
        <f t="shared" si="96"/>
        <v>-1934</v>
      </c>
      <c r="AU59" s="74">
        <f t="shared" si="96"/>
        <v>-5778</v>
      </c>
      <c r="AV59" s="74">
        <f t="shared" si="96"/>
        <v>3980</v>
      </c>
      <c r="AW59" s="74">
        <f t="shared" si="96"/>
        <v>-933</v>
      </c>
      <c r="AX59" s="74">
        <f t="shared" ref="AX59:BB59" si="97">+SUM(AX55,AX41,AX29,AX57,AX58)</f>
        <v>3840</v>
      </c>
      <c r="AY59" s="76">
        <f t="shared" si="97"/>
        <v>1109</v>
      </c>
      <c r="AZ59" s="74">
        <f t="shared" si="97"/>
        <v>-3659</v>
      </c>
      <c r="BA59" s="74">
        <f t="shared" si="97"/>
        <v>-2367</v>
      </c>
      <c r="BB59" s="74">
        <f t="shared" si="97"/>
        <v>-914</v>
      </c>
      <c r="BC59" s="74">
        <f t="shared" ref="BC59" si="98">+SUM(BC55,BC41,BC29,BC57,BC58)</f>
        <v>4781</v>
      </c>
      <c r="BD59" s="76">
        <f t="shared" ref="BD59" si="99">+SUM(BD55,BD41,BD29,BD57,BD58)</f>
        <v>-2159</v>
      </c>
      <c r="BE59" s="480">
        <f ca="1">+SUM(BE55,BE41,BE29,BE57,BE58)</f>
        <v>-2082.0088880355866</v>
      </c>
      <c r="BF59" s="480">
        <f ca="1">+SUM(BF55,BF41,BF29,BF57,BF58)</f>
        <v>-3176.7856539069626</v>
      </c>
      <c r="BG59" s="480">
        <f ca="1">+SUM(BG55,BG41,BG29,BG57,BG58)</f>
        <v>-249.21187798410983</v>
      </c>
      <c r="BH59" s="480">
        <f t="shared" ref="BH59:BI59" ca="1" si="100">+SUM(BH55,BH41,BH29,BH57,BH58)</f>
        <v>2883.408969534707</v>
      </c>
      <c r="BI59" s="76">
        <f t="shared" ca="1" si="100"/>
        <v>-2624.5974503919533</v>
      </c>
    </row>
    <row r="60" spans="1:65">
      <c r="A60" s="17"/>
      <c r="B60" s="74"/>
      <c r="C60" s="74"/>
      <c r="D60" s="74"/>
      <c r="E60" s="74"/>
      <c r="F60" s="76"/>
      <c r="G60" s="74"/>
      <c r="H60" s="74"/>
      <c r="I60" s="74"/>
      <c r="J60" s="74"/>
      <c r="K60" s="76"/>
      <c r="L60" s="74"/>
      <c r="M60" s="74"/>
      <c r="N60" s="74"/>
      <c r="O60" s="74"/>
      <c r="P60" s="76"/>
      <c r="Q60" s="74"/>
      <c r="R60" s="74"/>
      <c r="S60" s="74"/>
      <c r="T60" s="74"/>
      <c r="U60" s="76"/>
      <c r="V60" s="74"/>
      <c r="W60" s="74"/>
      <c r="X60" s="74"/>
      <c r="Y60" s="74"/>
      <c r="Z60" s="76"/>
      <c r="AA60" s="74"/>
      <c r="AB60" s="74"/>
      <c r="AC60" s="74"/>
      <c r="AD60" s="74"/>
      <c r="AE60" s="76"/>
      <c r="AF60" s="74"/>
      <c r="AG60" s="74"/>
      <c r="AH60" s="74"/>
      <c r="AI60" s="74"/>
      <c r="AJ60" s="76"/>
      <c r="AK60" s="74"/>
      <c r="AL60" s="74"/>
      <c r="AM60" s="74"/>
      <c r="AN60" s="74"/>
      <c r="AO60" s="76"/>
      <c r="AP60" s="74"/>
      <c r="AQ60" s="74"/>
      <c r="AR60" s="74"/>
      <c r="AS60" s="74"/>
      <c r="AT60" s="76"/>
      <c r="AU60" s="74"/>
      <c r="AV60" s="74"/>
      <c r="AW60" s="74"/>
      <c r="AX60" s="74"/>
      <c r="AY60" s="76"/>
      <c r="AZ60" s="74"/>
      <c r="BA60" s="74"/>
      <c r="BB60" s="74"/>
      <c r="BC60" s="74"/>
      <c r="BD60" s="76"/>
      <c r="BE60" s="74"/>
      <c r="BF60" s="74"/>
      <c r="BG60" s="74"/>
      <c r="BH60" s="74"/>
      <c r="BI60" s="76"/>
    </row>
    <row r="61" spans="1:65">
      <c r="A61" s="16" t="s">
        <v>225</v>
      </c>
      <c r="B61" s="24">
        <f>+Cash_Flow_Annual!P64</f>
        <v>11733</v>
      </c>
      <c r="C61" s="24">
        <f>B62</f>
        <v>8655</v>
      </c>
      <c r="D61" s="24">
        <f>C62</f>
        <v>9157</v>
      </c>
      <c r="E61" s="24">
        <f>+D62</f>
        <v>9383</v>
      </c>
      <c r="F61" s="25">
        <f>+B61</f>
        <v>11733</v>
      </c>
      <c r="G61" s="24">
        <f>+F62</f>
        <v>11302</v>
      </c>
      <c r="H61" s="24">
        <f>G62</f>
        <v>7886</v>
      </c>
      <c r="I61" s="24">
        <f>H62</f>
        <v>8605</v>
      </c>
      <c r="J61" s="24">
        <f>+I62</f>
        <v>8986</v>
      </c>
      <c r="K61" s="25">
        <f>+G61</f>
        <v>11302</v>
      </c>
      <c r="L61" s="24">
        <f>+K62</f>
        <v>8801</v>
      </c>
      <c r="M61" s="24">
        <f>L62</f>
        <v>8264</v>
      </c>
      <c r="N61" s="24">
        <f>M62</f>
        <v>8811</v>
      </c>
      <c r="O61" s="24">
        <f>+N62</f>
        <v>8675</v>
      </c>
      <c r="P61" s="25">
        <f>+L61</f>
        <v>8801</v>
      </c>
      <c r="Q61" s="24">
        <v>8887</v>
      </c>
      <c r="R61" s="24">
        <f>Q62</f>
        <v>9305</v>
      </c>
      <c r="S61" s="24">
        <f>R62</f>
        <v>8195</v>
      </c>
      <c r="T61" s="24">
        <f>+S62</f>
        <v>8162</v>
      </c>
      <c r="U61" s="25">
        <f>+Q61</f>
        <v>8887</v>
      </c>
      <c r="V61" s="24">
        <f>+U62</f>
        <v>7813</v>
      </c>
      <c r="W61" s="24">
        <f>+V62</f>
        <v>7012</v>
      </c>
      <c r="X61" s="24">
        <f>+W62</f>
        <v>9252</v>
      </c>
      <c r="Y61" s="24">
        <f>+X62</f>
        <v>9849</v>
      </c>
      <c r="Z61" s="25">
        <f>+V61</f>
        <v>7813</v>
      </c>
      <c r="AA61" s="24">
        <f>+Z62</f>
        <v>9571</v>
      </c>
      <c r="AB61" s="24">
        <f>+AA62</f>
        <v>15123</v>
      </c>
      <c r="AC61" s="24">
        <f>+AB62</f>
        <v>20034</v>
      </c>
      <c r="AD61" s="24">
        <f>+AC62</f>
        <v>10647</v>
      </c>
      <c r="AE61" s="25">
        <f>+AA61</f>
        <v>9571</v>
      </c>
      <c r="AF61" s="24">
        <f>+AE62</f>
        <v>7835</v>
      </c>
      <c r="AG61" s="24">
        <f>+AF62</f>
        <v>7146</v>
      </c>
      <c r="AH61" s="24">
        <f>+AG62</f>
        <v>8307</v>
      </c>
      <c r="AI61" s="24">
        <f>+AH62</f>
        <v>9820</v>
      </c>
      <c r="AJ61" s="25">
        <f>+AF61</f>
        <v>7835</v>
      </c>
      <c r="AK61" s="24">
        <f>+AJ62</f>
        <v>8104</v>
      </c>
      <c r="AL61" s="24">
        <f>+AK62</f>
        <v>7454</v>
      </c>
      <c r="AM61" s="24">
        <f>+AL62</f>
        <v>10131</v>
      </c>
      <c r="AN61" s="24">
        <f>+AM62</f>
        <v>13530</v>
      </c>
      <c r="AO61" s="25">
        <f>+AK61</f>
        <v>8104</v>
      </c>
      <c r="AP61" s="24">
        <f>+AO62</f>
        <v>14647</v>
      </c>
      <c r="AQ61" s="24">
        <f>+AP62</f>
        <v>10836</v>
      </c>
      <c r="AR61" s="24">
        <f>+AQ62</f>
        <v>7275</v>
      </c>
      <c r="AS61" s="24">
        <f>+AR62</f>
        <v>6832</v>
      </c>
      <c r="AT61" s="25">
        <f>+AP61</f>
        <v>14647</v>
      </c>
      <c r="AU61" s="24">
        <f>+AT62</f>
        <v>12713</v>
      </c>
      <c r="AV61" s="24">
        <f>+AU62</f>
        <v>6935</v>
      </c>
      <c r="AW61" s="24">
        <f>+AV62</f>
        <v>10915</v>
      </c>
      <c r="AX61" s="24">
        <f>+AW62</f>
        <v>9982</v>
      </c>
      <c r="AY61" s="25">
        <f>+AU61</f>
        <v>12713</v>
      </c>
      <c r="AZ61" s="24">
        <f>+AY62</f>
        <v>13822</v>
      </c>
      <c r="BA61" s="24">
        <f>+AZ62</f>
        <v>10163</v>
      </c>
      <c r="BB61" s="24">
        <f>+BA62</f>
        <v>7796</v>
      </c>
      <c r="BC61" s="24">
        <f>+BB62</f>
        <v>6882</v>
      </c>
      <c r="BD61" s="25">
        <f>+AZ61</f>
        <v>13822</v>
      </c>
      <c r="BE61" s="24">
        <f t="shared" ref="BE61:BG61" si="101">+BD62</f>
        <v>11663</v>
      </c>
      <c r="BF61" s="24">
        <f t="shared" ca="1" si="101"/>
        <v>9580.991111964413</v>
      </c>
      <c r="BG61" s="24">
        <f t="shared" ca="1" si="101"/>
        <v>6404.2054580574504</v>
      </c>
      <c r="BH61" s="24">
        <f ca="1">+BG62</f>
        <v>6154.9935800733401</v>
      </c>
      <c r="BI61" s="25">
        <f>+BE61</f>
        <v>11663</v>
      </c>
    </row>
    <row r="62" spans="1:65">
      <c r="A62" s="16" t="s">
        <v>224</v>
      </c>
      <c r="B62" s="24">
        <f t="shared" ref="B62:S62" si="102">+SUM(B59,B61)</f>
        <v>8655</v>
      </c>
      <c r="C62" s="24">
        <f t="shared" si="102"/>
        <v>9157</v>
      </c>
      <c r="D62" s="24">
        <f t="shared" si="102"/>
        <v>9383</v>
      </c>
      <c r="E62" s="24">
        <f t="shared" si="102"/>
        <v>11302</v>
      </c>
      <c r="F62" s="25">
        <f t="shared" si="102"/>
        <v>11302</v>
      </c>
      <c r="G62" s="24">
        <f t="shared" si="102"/>
        <v>7886</v>
      </c>
      <c r="H62" s="24">
        <f t="shared" si="102"/>
        <v>8605</v>
      </c>
      <c r="I62" s="24">
        <f t="shared" si="102"/>
        <v>8986</v>
      </c>
      <c r="J62" s="24">
        <f t="shared" si="102"/>
        <v>8801</v>
      </c>
      <c r="K62" s="25">
        <f t="shared" si="102"/>
        <v>8801</v>
      </c>
      <c r="L62" s="24">
        <f t="shared" si="102"/>
        <v>8264</v>
      </c>
      <c r="M62" s="24">
        <f t="shared" si="102"/>
        <v>8811</v>
      </c>
      <c r="N62" s="24">
        <f t="shared" si="102"/>
        <v>8675</v>
      </c>
      <c r="O62" s="24">
        <f t="shared" si="102"/>
        <v>8887</v>
      </c>
      <c r="P62" s="25">
        <f t="shared" si="102"/>
        <v>8887</v>
      </c>
      <c r="Q62" s="24">
        <f t="shared" si="102"/>
        <v>9305</v>
      </c>
      <c r="R62" s="24">
        <f t="shared" si="102"/>
        <v>8195</v>
      </c>
      <c r="S62" s="24">
        <f t="shared" si="102"/>
        <v>8162</v>
      </c>
      <c r="T62" s="24">
        <f t="shared" ref="T62:AA62" si="103">+SUM(T59,T61)</f>
        <v>7813</v>
      </c>
      <c r="U62" s="25">
        <f t="shared" si="103"/>
        <v>7813</v>
      </c>
      <c r="V62" s="24">
        <f t="shared" si="103"/>
        <v>7012</v>
      </c>
      <c r="W62" s="24">
        <f t="shared" si="103"/>
        <v>9252</v>
      </c>
      <c r="X62" s="24">
        <f t="shared" si="103"/>
        <v>9849</v>
      </c>
      <c r="Y62" s="24">
        <f t="shared" si="103"/>
        <v>9571</v>
      </c>
      <c r="Z62" s="25">
        <f t="shared" si="103"/>
        <v>9571</v>
      </c>
      <c r="AA62" s="24">
        <f t="shared" si="103"/>
        <v>15123</v>
      </c>
      <c r="AB62" s="24">
        <f t="shared" ref="AB62:AM62" si="104">+SUM(AB59,AB61)</f>
        <v>20034</v>
      </c>
      <c r="AC62" s="24">
        <f t="shared" si="104"/>
        <v>10647</v>
      </c>
      <c r="AD62" s="24">
        <f t="shared" si="104"/>
        <v>7835</v>
      </c>
      <c r="AE62" s="25">
        <f t="shared" si="104"/>
        <v>7835</v>
      </c>
      <c r="AF62" s="24">
        <f t="shared" si="104"/>
        <v>7146</v>
      </c>
      <c r="AG62" s="24">
        <f t="shared" si="104"/>
        <v>8307</v>
      </c>
      <c r="AH62" s="24">
        <f t="shared" si="104"/>
        <v>9820</v>
      </c>
      <c r="AI62" s="24">
        <f t="shared" si="104"/>
        <v>8104</v>
      </c>
      <c r="AJ62" s="25">
        <f t="shared" si="104"/>
        <v>8104</v>
      </c>
      <c r="AK62" s="24">
        <f t="shared" si="104"/>
        <v>7454</v>
      </c>
      <c r="AL62" s="24">
        <f t="shared" si="104"/>
        <v>10131</v>
      </c>
      <c r="AM62" s="24">
        <f t="shared" si="104"/>
        <v>13530</v>
      </c>
      <c r="AN62" s="24">
        <f>+SUM(AN59,AN61)</f>
        <v>14647</v>
      </c>
      <c r="AO62" s="25">
        <f>+SUM(AO59,AO61)</f>
        <v>14647</v>
      </c>
      <c r="AP62" s="24">
        <f t="shared" ref="AP62:AR62" si="105">+SUM(AP59,AP61)</f>
        <v>10836</v>
      </c>
      <c r="AQ62" s="24">
        <f t="shared" si="105"/>
        <v>7275</v>
      </c>
      <c r="AR62" s="24">
        <f t="shared" si="105"/>
        <v>6832</v>
      </c>
      <c r="AS62" s="24">
        <f>+SUM(AS59,AS61)</f>
        <v>12713</v>
      </c>
      <c r="AT62" s="25">
        <f>+SUM(AT59,AT61)</f>
        <v>12713</v>
      </c>
      <c r="AU62" s="24">
        <f t="shared" ref="AU62:AW62" si="106">+SUM(AU59,AU61)</f>
        <v>6935</v>
      </c>
      <c r="AV62" s="24">
        <f t="shared" si="106"/>
        <v>10915</v>
      </c>
      <c r="AW62" s="24">
        <f t="shared" si="106"/>
        <v>9982</v>
      </c>
      <c r="AX62" s="24">
        <f>+SUM(AX59,AX61)</f>
        <v>13822</v>
      </c>
      <c r="AY62" s="25">
        <f>+SUM(AY59,AY61)</f>
        <v>13822</v>
      </c>
      <c r="AZ62" s="24">
        <f t="shared" ref="AZ62:BB62" si="107">+SUM(AZ59,AZ61)</f>
        <v>10163</v>
      </c>
      <c r="BA62" s="24">
        <f t="shared" si="107"/>
        <v>7796</v>
      </c>
      <c r="BB62" s="24">
        <f t="shared" si="107"/>
        <v>6882</v>
      </c>
      <c r="BC62" s="24">
        <f>+SUM(BC59,BC61)</f>
        <v>11663</v>
      </c>
      <c r="BD62" s="25">
        <f>+SUM(BD59,BD61)</f>
        <v>11663</v>
      </c>
      <c r="BE62" s="24">
        <f t="shared" ref="BE62:BG62" ca="1" si="108">+SUM(BE59,BE61)</f>
        <v>9580.991111964413</v>
      </c>
      <c r="BF62" s="24">
        <f t="shared" ca="1" si="108"/>
        <v>6404.2054580574504</v>
      </c>
      <c r="BG62" s="24">
        <f t="shared" ca="1" si="108"/>
        <v>6154.9935800733401</v>
      </c>
      <c r="BH62" s="24">
        <f ca="1">+SUM(BH59,BH61)</f>
        <v>9038.4025496080467</v>
      </c>
      <c r="BI62" s="25">
        <f ca="1">+SUM(BI59,BI61)</f>
        <v>9038.4025496080467</v>
      </c>
      <c r="BJ62" s="504"/>
    </row>
    <row r="63" spans="1:65">
      <c r="A63" s="16" t="s">
        <v>236</v>
      </c>
      <c r="B63" s="30">
        <v>0</v>
      </c>
      <c r="C63" s="30">
        <v>0</v>
      </c>
      <c r="D63" s="30">
        <v>0</v>
      </c>
      <c r="E63" s="30">
        <v>0</v>
      </c>
      <c r="F63" s="25">
        <f>+E63</f>
        <v>0</v>
      </c>
      <c r="G63" s="30">
        <v>0</v>
      </c>
      <c r="H63" s="30">
        <v>0</v>
      </c>
      <c r="I63" s="30">
        <v>0</v>
      </c>
      <c r="J63" s="30">
        <v>0</v>
      </c>
      <c r="K63" s="25">
        <f>+J63</f>
        <v>0</v>
      </c>
      <c r="L63" s="30">
        <v>74</v>
      </c>
      <c r="M63" s="30">
        <v>74</v>
      </c>
      <c r="N63" s="30">
        <v>106</v>
      </c>
      <c r="O63" s="30">
        <v>74</v>
      </c>
      <c r="P63" s="25">
        <f>+O63</f>
        <v>74</v>
      </c>
      <c r="Q63" s="30">
        <v>70</v>
      </c>
      <c r="R63" s="30">
        <v>74</v>
      </c>
      <c r="S63" s="30">
        <v>128</v>
      </c>
      <c r="T63" s="30">
        <v>176</v>
      </c>
      <c r="U63" s="25">
        <f>+T63</f>
        <v>176</v>
      </c>
      <c r="V63" s="30">
        <v>176</v>
      </c>
      <c r="W63" s="30">
        <v>85</v>
      </c>
      <c r="X63" s="30">
        <v>86</v>
      </c>
      <c r="Y63" s="30">
        <v>86</v>
      </c>
      <c r="Z63" s="25">
        <f>+Y63</f>
        <v>86</v>
      </c>
      <c r="AA63" s="30">
        <v>84</v>
      </c>
      <c r="AB63" s="30">
        <v>42</v>
      </c>
      <c r="AC63" s="30">
        <v>83</v>
      </c>
      <c r="AD63" s="30">
        <v>83</v>
      </c>
      <c r="AE63" s="25">
        <f>+AD63</f>
        <v>83</v>
      </c>
      <c r="AF63" s="30">
        <v>87</v>
      </c>
      <c r="AG63" s="30">
        <v>36</v>
      </c>
      <c r="AH63" s="30">
        <v>56</v>
      </c>
      <c r="AI63" s="30">
        <v>52</v>
      </c>
      <c r="AJ63" s="25">
        <f>+AI63</f>
        <v>52</v>
      </c>
      <c r="AK63" s="30">
        <v>45</v>
      </c>
      <c r="AL63" s="30">
        <v>41</v>
      </c>
      <c r="AM63" s="30">
        <v>36</v>
      </c>
      <c r="AN63" s="30">
        <v>33</v>
      </c>
      <c r="AO63" s="25">
        <f>+AN63</f>
        <v>33</v>
      </c>
      <c r="AP63" s="30">
        <v>24</v>
      </c>
      <c r="AQ63" s="30">
        <v>21</v>
      </c>
      <c r="AR63" s="30">
        <v>21</v>
      </c>
      <c r="AS63" s="30">
        <v>22</v>
      </c>
      <c r="AT63" s="25">
        <f>+AS63</f>
        <v>22</v>
      </c>
      <c r="AU63" s="30">
        <v>21</v>
      </c>
      <c r="AV63" s="30">
        <v>21</v>
      </c>
      <c r="AW63" s="30">
        <v>21</v>
      </c>
      <c r="AX63" s="30">
        <v>21</v>
      </c>
      <c r="AY63" s="25">
        <f>+AX63</f>
        <v>21</v>
      </c>
      <c r="AZ63" s="30">
        <v>21</v>
      </c>
      <c r="BA63" s="30">
        <v>709</v>
      </c>
      <c r="BB63" s="30">
        <v>709</v>
      </c>
      <c r="BC63" s="24">
        <f>BD63</f>
        <v>742</v>
      </c>
      <c r="BD63" s="31">
        <v>742</v>
      </c>
      <c r="BE63" s="30">
        <f t="shared" ref="BE63:BG63" si="109">BD63</f>
        <v>742</v>
      </c>
      <c r="BF63" s="30">
        <f t="shared" si="109"/>
        <v>742</v>
      </c>
      <c r="BG63" s="30">
        <f t="shared" si="109"/>
        <v>742</v>
      </c>
      <c r="BH63" s="24">
        <f>BI63</f>
        <v>709</v>
      </c>
      <c r="BI63" s="31">
        <v>709</v>
      </c>
    </row>
    <row r="64" spans="1:65">
      <c r="A64" s="16" t="s">
        <v>230</v>
      </c>
      <c r="B64" s="24">
        <f t="shared" ref="B64:Z64" si="110">+B62-B63</f>
        <v>8655</v>
      </c>
      <c r="C64" s="24">
        <f t="shared" si="110"/>
        <v>9157</v>
      </c>
      <c r="D64" s="24">
        <f t="shared" si="110"/>
        <v>9383</v>
      </c>
      <c r="E64" s="24">
        <f t="shared" si="110"/>
        <v>11302</v>
      </c>
      <c r="F64" s="25">
        <f t="shared" si="110"/>
        <v>11302</v>
      </c>
      <c r="G64" s="24">
        <f t="shared" si="110"/>
        <v>7886</v>
      </c>
      <c r="H64" s="24">
        <f t="shared" si="110"/>
        <v>8605</v>
      </c>
      <c r="I64" s="24">
        <f t="shared" si="110"/>
        <v>8986</v>
      </c>
      <c r="J64" s="24">
        <f t="shared" si="110"/>
        <v>8801</v>
      </c>
      <c r="K64" s="25">
        <f t="shared" si="110"/>
        <v>8801</v>
      </c>
      <c r="L64" s="24">
        <f t="shared" si="110"/>
        <v>8190</v>
      </c>
      <c r="M64" s="24">
        <f t="shared" si="110"/>
        <v>8737</v>
      </c>
      <c r="N64" s="24">
        <f t="shared" si="110"/>
        <v>8569</v>
      </c>
      <c r="O64" s="24">
        <f t="shared" si="110"/>
        <v>8813</v>
      </c>
      <c r="P64" s="25">
        <f t="shared" si="110"/>
        <v>8813</v>
      </c>
      <c r="Q64" s="24">
        <f t="shared" si="110"/>
        <v>9235</v>
      </c>
      <c r="R64" s="24">
        <f t="shared" si="110"/>
        <v>8121</v>
      </c>
      <c r="S64" s="24">
        <f t="shared" si="110"/>
        <v>8034</v>
      </c>
      <c r="T64" s="24">
        <f t="shared" si="110"/>
        <v>7637</v>
      </c>
      <c r="U64" s="25">
        <f t="shared" si="110"/>
        <v>7637</v>
      </c>
      <c r="V64" s="24">
        <f t="shared" si="110"/>
        <v>6836</v>
      </c>
      <c r="W64" s="24">
        <f t="shared" si="110"/>
        <v>9167</v>
      </c>
      <c r="X64" s="24">
        <f t="shared" si="110"/>
        <v>9763</v>
      </c>
      <c r="Y64" s="24">
        <f t="shared" si="110"/>
        <v>9485</v>
      </c>
      <c r="Z64" s="25">
        <f t="shared" si="110"/>
        <v>9485</v>
      </c>
      <c r="AA64" s="24">
        <f t="shared" ref="AA64:AM64" si="111">+AA62-AA63</f>
        <v>15039</v>
      </c>
      <c r="AB64" s="24">
        <f t="shared" si="111"/>
        <v>19992</v>
      </c>
      <c r="AC64" s="24">
        <f t="shared" si="111"/>
        <v>10564</v>
      </c>
      <c r="AD64" s="24">
        <f t="shared" si="111"/>
        <v>7752</v>
      </c>
      <c r="AE64" s="25">
        <f t="shared" si="111"/>
        <v>7752</v>
      </c>
      <c r="AF64" s="24">
        <f t="shared" si="111"/>
        <v>7059</v>
      </c>
      <c r="AG64" s="24">
        <f t="shared" si="111"/>
        <v>8271</v>
      </c>
      <c r="AH64" s="24">
        <f t="shared" si="111"/>
        <v>9764</v>
      </c>
      <c r="AI64" s="24">
        <f t="shared" si="111"/>
        <v>8052</v>
      </c>
      <c r="AJ64" s="25">
        <f t="shared" si="111"/>
        <v>8052</v>
      </c>
      <c r="AK64" s="24">
        <f t="shared" si="111"/>
        <v>7409</v>
      </c>
      <c r="AL64" s="24">
        <f t="shared" si="111"/>
        <v>10090</v>
      </c>
      <c r="AM64" s="24">
        <f t="shared" si="111"/>
        <v>13494</v>
      </c>
      <c r="AN64" s="24">
        <f t="shared" ref="AN64:AR64" si="112">+AN62-AN63</f>
        <v>14614</v>
      </c>
      <c r="AO64" s="25">
        <f t="shared" si="112"/>
        <v>14614</v>
      </c>
      <c r="AP64" s="24">
        <f t="shared" si="112"/>
        <v>10812</v>
      </c>
      <c r="AQ64" s="24">
        <f t="shared" si="112"/>
        <v>7254</v>
      </c>
      <c r="AR64" s="24">
        <f t="shared" si="112"/>
        <v>6811</v>
      </c>
      <c r="AS64" s="24">
        <f t="shared" ref="AS64:AW64" si="113">+AS62-AS63</f>
        <v>12691</v>
      </c>
      <c r="AT64" s="25">
        <f t="shared" si="113"/>
        <v>12691</v>
      </c>
      <c r="AU64" s="24">
        <f t="shared" si="113"/>
        <v>6914</v>
      </c>
      <c r="AV64" s="24">
        <f t="shared" si="113"/>
        <v>10894</v>
      </c>
      <c r="AW64" s="24">
        <f t="shared" si="113"/>
        <v>9961</v>
      </c>
      <c r="AX64" s="24">
        <f t="shared" ref="AX64:BB64" si="114">+AX62-AX63</f>
        <v>13801</v>
      </c>
      <c r="AY64" s="25">
        <f t="shared" si="114"/>
        <v>13801</v>
      </c>
      <c r="AZ64" s="24">
        <f t="shared" si="114"/>
        <v>10142</v>
      </c>
      <c r="BA64" s="24">
        <f t="shared" si="114"/>
        <v>7087</v>
      </c>
      <c r="BB64" s="24">
        <f t="shared" si="114"/>
        <v>6173</v>
      </c>
      <c r="BC64" s="24">
        <f t="shared" ref="BC64:BG64" si="115">+BC62-BC63</f>
        <v>10921</v>
      </c>
      <c r="BD64" s="25">
        <f t="shared" si="115"/>
        <v>10921</v>
      </c>
      <c r="BE64" s="24">
        <f t="shared" ca="1" si="115"/>
        <v>8838.991111964413</v>
      </c>
      <c r="BF64" s="24">
        <f t="shared" ca="1" si="115"/>
        <v>5662.2054580574504</v>
      </c>
      <c r="BG64" s="24">
        <f t="shared" ca="1" si="115"/>
        <v>5412.9935800733401</v>
      </c>
      <c r="BH64" s="24">
        <f t="shared" ref="BH64:BI64" ca="1" si="116">+BH62-BH63</f>
        <v>8329.4025496080467</v>
      </c>
      <c r="BI64" s="25">
        <f t="shared" ca="1" si="116"/>
        <v>8329.4025496080467</v>
      </c>
      <c r="BJ64" s="504"/>
    </row>
    <row r="65" spans="1:64">
      <c r="A65" t="s">
        <v>37</v>
      </c>
      <c r="B65" s="26" t="b">
        <f>+B64=Balance_Sheet_Qtr!B5</f>
        <v>1</v>
      </c>
      <c r="C65" s="26" t="b">
        <f>+C64=Balance_Sheet_Qtr!C5</f>
        <v>1</v>
      </c>
      <c r="D65" s="26" t="b">
        <f>+D64=Balance_Sheet_Qtr!D5</f>
        <v>1</v>
      </c>
      <c r="E65" s="26" t="b">
        <f>+E64=Balance_Sheet_Qtr!E5</f>
        <v>1</v>
      </c>
      <c r="F65" s="27" t="b">
        <f>+F64=Balance_Sheet_Qtr!F5</f>
        <v>1</v>
      </c>
      <c r="G65" s="26" t="b">
        <f>+G64=Balance_Sheet_Qtr!G5</f>
        <v>1</v>
      </c>
      <c r="H65" s="26" t="b">
        <f>+H64=Balance_Sheet_Qtr!H5</f>
        <v>1</v>
      </c>
      <c r="I65" s="26" t="b">
        <f>+I64=Balance_Sheet_Qtr!I5</f>
        <v>1</v>
      </c>
      <c r="J65" s="26" t="b">
        <f>+J64=Balance_Sheet_Qtr!J5</f>
        <v>1</v>
      </c>
      <c r="K65" s="27" t="b">
        <f>+K64=Balance_Sheet_Qtr!K5</f>
        <v>1</v>
      </c>
      <c r="L65" s="26" t="b">
        <f>+L64=Balance_Sheet_Qtr!L5</f>
        <v>1</v>
      </c>
      <c r="M65" s="26" t="b">
        <f>+M64=Balance_Sheet_Qtr!M5</f>
        <v>1</v>
      </c>
      <c r="N65" s="26" t="b">
        <f>+N64=Balance_Sheet_Qtr!N5</f>
        <v>1</v>
      </c>
      <c r="O65" s="26" t="b">
        <f>+O64=Balance_Sheet_Qtr!O5</f>
        <v>1</v>
      </c>
      <c r="P65" s="27" t="b">
        <f>+P64=Balance_Sheet_Qtr!P5</f>
        <v>1</v>
      </c>
      <c r="Q65" s="26" t="b">
        <f>+Q64=Balance_Sheet_Qtr!Q5</f>
        <v>1</v>
      </c>
      <c r="R65" s="26" t="b">
        <f>+R64=Balance_Sheet_Qtr!R5</f>
        <v>1</v>
      </c>
      <c r="S65" s="26" t="b">
        <f>+S64=Balance_Sheet_Qtr!S5</f>
        <v>1</v>
      </c>
      <c r="T65" s="26" t="b">
        <f>+T64=Balance_Sheet_Qtr!T5</f>
        <v>1</v>
      </c>
      <c r="U65" s="27" t="b">
        <f>+U64=Balance_Sheet_Qtr!U5</f>
        <v>1</v>
      </c>
      <c r="V65" s="26" t="b">
        <f>+V64=Balance_Sheet_Qtr!V5</f>
        <v>1</v>
      </c>
      <c r="W65" s="26" t="b">
        <f>+W64=Balance_Sheet_Qtr!W5</f>
        <v>1</v>
      </c>
      <c r="X65" s="26" t="b">
        <f>+X64=Balance_Sheet_Qtr!X5</f>
        <v>1</v>
      </c>
      <c r="Y65" s="26" t="b">
        <f>+Y64=Balance_Sheet_Qtr!Y5</f>
        <v>1</v>
      </c>
      <c r="Z65" s="27" t="b">
        <f>+Z64=Balance_Sheet_Qtr!Z5</f>
        <v>1</v>
      </c>
      <c r="AA65" s="26" t="b">
        <f>+AA64=Balance_Sheet_Qtr!AA5</f>
        <v>1</v>
      </c>
      <c r="AB65" s="26" t="b">
        <f>+AB64=Balance_Sheet_Qtr!AB5</f>
        <v>1</v>
      </c>
      <c r="AC65" s="26" t="b">
        <f>+AC64=Balance_Sheet_Qtr!AC5</f>
        <v>1</v>
      </c>
      <c r="AD65" s="26" t="b">
        <f>+AD64=Balance_Sheet_Qtr!AD5</f>
        <v>1</v>
      </c>
      <c r="AE65" s="27" t="b">
        <f>+AE64=Balance_Sheet_Qtr!AE5</f>
        <v>1</v>
      </c>
      <c r="AF65" s="26" t="b">
        <f>+AF64=Balance_Sheet_Qtr!AF5</f>
        <v>1</v>
      </c>
      <c r="AG65" s="26" t="b">
        <f>+AG64=Balance_Sheet_Qtr!AG5</f>
        <v>1</v>
      </c>
      <c r="AH65" s="26" t="b">
        <f>+AH64=Balance_Sheet_Qtr!AH5</f>
        <v>1</v>
      </c>
      <c r="AI65" s="26" t="b">
        <f>+AI64=Balance_Sheet_Qtr!AI5</f>
        <v>1</v>
      </c>
      <c r="AJ65" s="27" t="b">
        <f>+AJ64=Balance_Sheet_Qtr!AJ5</f>
        <v>1</v>
      </c>
      <c r="AK65" s="26" t="b">
        <f>+AK64=Balance_Sheet_Qtr!AK5</f>
        <v>1</v>
      </c>
      <c r="AL65" s="26" t="b">
        <f>+AL64=Balance_Sheet_Qtr!AL5</f>
        <v>1</v>
      </c>
      <c r="AM65" s="26" t="b">
        <f>+AM64=Balance_Sheet_Qtr!AM5</f>
        <v>1</v>
      </c>
      <c r="AN65" s="26" t="b">
        <f>+AN64=Balance_Sheet_Qtr!AN5</f>
        <v>1</v>
      </c>
      <c r="AO65" s="27" t="b">
        <f>+AO64=Balance_Sheet_Qtr!AO5</f>
        <v>1</v>
      </c>
      <c r="AP65" s="26" t="b">
        <f>+AP64=Balance_Sheet_Qtr!AP5</f>
        <v>1</v>
      </c>
      <c r="AQ65" s="26" t="b">
        <f>+AQ64=Balance_Sheet_Qtr!AQ5</f>
        <v>1</v>
      </c>
      <c r="AR65" s="26" t="b">
        <f>+AR64=Balance_Sheet_Qtr!AR5</f>
        <v>1</v>
      </c>
      <c r="AS65" s="26" t="b">
        <f>+AS64=Balance_Sheet_Qtr!AS5</f>
        <v>1</v>
      </c>
      <c r="AT65" s="27" t="b">
        <f>+AT64=Balance_Sheet_Qtr!AT5</f>
        <v>1</v>
      </c>
      <c r="AU65" s="26" t="b">
        <f>+AU64=Balance_Sheet_Qtr!AU5</f>
        <v>1</v>
      </c>
      <c r="AV65" s="26" t="b">
        <f>+AV64=Balance_Sheet_Qtr!AV5</f>
        <v>1</v>
      </c>
      <c r="AW65" s="26" t="b">
        <f>+AW64=Balance_Sheet_Qtr!AW5</f>
        <v>1</v>
      </c>
      <c r="AX65" s="26" t="b">
        <f>+AX64=Balance_Sheet_Qtr!AX5</f>
        <v>1</v>
      </c>
      <c r="AY65" s="27" t="b">
        <f>+AY64=Balance_Sheet_Qtr!AY5</f>
        <v>1</v>
      </c>
      <c r="AZ65" s="26" t="b">
        <f>+AZ64=Balance_Sheet_Qtr!AZ5</f>
        <v>1</v>
      </c>
      <c r="BA65" s="26" t="b">
        <f>+BA64=Balance_Sheet_Qtr!BA5</f>
        <v>1</v>
      </c>
      <c r="BB65" s="26" t="b">
        <f>+BB64=Balance_Sheet_Qtr!BB5</f>
        <v>1</v>
      </c>
      <c r="BC65" s="26" t="b">
        <f>+BC64=Balance_Sheet_Qtr!BC5</f>
        <v>1</v>
      </c>
      <c r="BD65" s="27" t="b">
        <f>+BD64=Balance_Sheet_Qtr!BD5</f>
        <v>1</v>
      </c>
      <c r="BE65" s="26" t="b">
        <f ca="1">+BE64=Balance_Sheet_Qtr!BE5</f>
        <v>1</v>
      </c>
      <c r="BF65" s="26" t="b">
        <f ca="1">+BF64=Balance_Sheet_Qtr!BF5</f>
        <v>1</v>
      </c>
      <c r="BG65" s="26" t="b">
        <f ca="1">+BG64=Balance_Sheet_Qtr!BG5</f>
        <v>1</v>
      </c>
      <c r="BH65" s="26" t="b">
        <f ca="1">+BH64=Balance_Sheet_Qtr!BH5</f>
        <v>1</v>
      </c>
      <c r="BI65" s="27" t="b">
        <f ca="1">+BI64=Balance_Sheet_Qtr!BI5</f>
        <v>1</v>
      </c>
    </row>
    <row r="66" spans="1:64">
      <c r="F66" s="27"/>
      <c r="K66" s="27"/>
      <c r="P66" s="27"/>
      <c r="U66" s="27"/>
      <c r="Z66" s="27"/>
      <c r="AE66" s="27"/>
      <c r="AJ66" s="27"/>
      <c r="AO66" s="27"/>
      <c r="AT66" s="27"/>
      <c r="AY66" s="27"/>
      <c r="BD66" s="27"/>
      <c r="BE66" s="22"/>
      <c r="BF66" s="22"/>
      <c r="BG66" s="22"/>
      <c r="BI66" s="27"/>
    </row>
    <row r="67" spans="1:64">
      <c r="A67" s="130" t="s">
        <v>17</v>
      </c>
      <c r="B67" s="131"/>
      <c r="C67" s="131"/>
      <c r="D67" s="131"/>
      <c r="E67" s="131"/>
      <c r="F67" s="132"/>
      <c r="G67" s="131"/>
      <c r="H67" s="131"/>
      <c r="I67" s="131"/>
      <c r="J67" s="131"/>
      <c r="K67" s="132"/>
      <c r="L67" s="131"/>
      <c r="M67" s="131"/>
      <c r="N67" s="131"/>
      <c r="O67" s="131"/>
      <c r="P67" s="132"/>
      <c r="Q67" s="131"/>
      <c r="R67" s="131"/>
      <c r="S67" s="131"/>
      <c r="T67" s="131"/>
      <c r="U67" s="132"/>
      <c r="V67" s="131"/>
      <c r="W67" s="131"/>
      <c r="X67" s="131"/>
      <c r="Y67" s="131"/>
      <c r="Z67" s="132"/>
      <c r="AA67" s="131"/>
      <c r="AB67" s="131"/>
      <c r="AC67" s="131"/>
      <c r="AD67" s="131"/>
      <c r="AE67" s="132"/>
      <c r="AF67" s="131"/>
      <c r="AG67" s="131"/>
      <c r="AH67" s="131"/>
      <c r="AI67" s="131"/>
      <c r="AJ67" s="132"/>
      <c r="AK67" s="131"/>
      <c r="AL67" s="131"/>
      <c r="AM67" s="131"/>
      <c r="AN67" s="131"/>
      <c r="AO67" s="132"/>
      <c r="AP67" s="131"/>
      <c r="AQ67" s="131"/>
      <c r="AR67" s="131"/>
      <c r="AS67" s="131"/>
      <c r="AT67" s="132"/>
      <c r="AU67" s="131"/>
      <c r="AV67" s="131"/>
      <c r="AW67" s="131"/>
      <c r="AX67" s="131"/>
      <c r="AY67" s="132"/>
      <c r="AZ67" s="131"/>
      <c r="BA67" s="131"/>
      <c r="BB67" s="131"/>
      <c r="BC67" s="131"/>
      <c r="BD67" s="132"/>
      <c r="BE67" s="131"/>
      <c r="BF67" s="131"/>
      <c r="BG67" s="131"/>
      <c r="BH67" s="131"/>
      <c r="BI67" s="132"/>
    </row>
    <row r="68" spans="1:64">
      <c r="A68" s="14" t="s">
        <v>209</v>
      </c>
      <c r="B68" s="22">
        <f>F68/4</f>
        <v>339.25</v>
      </c>
      <c r="C68" s="22">
        <f>(F68-B68)/3</f>
        <v>339.25</v>
      </c>
      <c r="D68" s="22">
        <f>(F68-C68-B68)/2</f>
        <v>339.25</v>
      </c>
      <c r="E68" s="22">
        <f>F68-SUM(B68:D68)</f>
        <v>339.25</v>
      </c>
      <c r="F68" s="43">
        <v>1357</v>
      </c>
      <c r="G68" s="22">
        <f>K68/4</f>
        <v>354.5</v>
      </c>
      <c r="H68" s="22">
        <f>(K68-G68)/3</f>
        <v>354.5</v>
      </c>
      <c r="I68" s="22">
        <f>(K68-H68-G68)/2</f>
        <v>354.5</v>
      </c>
      <c r="J68" s="22">
        <f>K68-SUM(G68:I68)</f>
        <v>354.5</v>
      </c>
      <c r="K68" s="43">
        <v>1418</v>
      </c>
      <c r="L68" s="22">
        <f>P68/4</f>
        <v>387</v>
      </c>
      <c r="M68" s="22">
        <f>(P68-L68)/3</f>
        <v>387</v>
      </c>
      <c r="N68" s="22">
        <f>(P68-M68-L68)/2</f>
        <v>387</v>
      </c>
      <c r="O68" s="22">
        <f>P68-SUM(L68:N68)</f>
        <v>387</v>
      </c>
      <c r="P68" s="43">
        <v>1548</v>
      </c>
      <c r="Q68" s="22">
        <f>U68/4</f>
        <v>389</v>
      </c>
      <c r="R68" s="22">
        <f>(U68-Q68)/3</f>
        <v>389</v>
      </c>
      <c r="S68" s="22">
        <f>(U68-R68-Q68)/2</f>
        <v>389</v>
      </c>
      <c r="T68" s="22">
        <f>U68-SUM(Q68:S68)</f>
        <v>389</v>
      </c>
      <c r="U68" s="43">
        <v>1556</v>
      </c>
      <c r="V68" s="22">
        <f>Z68/4</f>
        <v>391.75</v>
      </c>
      <c r="W68" s="22">
        <f>(Z68-V68)/3</f>
        <v>391.75</v>
      </c>
      <c r="X68" s="22">
        <f>(Z68-W68-V68)/2</f>
        <v>391.75</v>
      </c>
      <c r="Y68" s="22">
        <f>Z68-SUM(V68:X68)</f>
        <v>391.75</v>
      </c>
      <c r="Z68" s="43">
        <v>1567</v>
      </c>
      <c r="AA68" s="22">
        <f>Balance_Sheet_Qtr!Z19*AA69/4</f>
        <v>387.56200000000001</v>
      </c>
      <c r="AB68" s="22">
        <f>Balance_Sheet_Qtr!AA19*AB69/4</f>
        <v>384.55500000000001</v>
      </c>
      <c r="AC68" s="22">
        <f>Balance_Sheet_Qtr!AB19*AC69/4</f>
        <v>377.642</v>
      </c>
      <c r="AD68" s="22">
        <f>Balance_Sheet_Qtr!AC19*AD69/4</f>
        <v>371.03899999999999</v>
      </c>
      <c r="AE68" s="23">
        <f>SUM(AA68:AD68)</f>
        <v>1520.798</v>
      </c>
      <c r="AF68" s="22">
        <f>Balance_Sheet_Qtr!AE19*AF69/4</f>
        <v>366.42</v>
      </c>
      <c r="AG68" s="22">
        <f>Balance_Sheet_Qtr!AF19*AG69/4</f>
        <v>360.93299999999999</v>
      </c>
      <c r="AH68" s="22">
        <f>Balance_Sheet_Qtr!AG19*AH69/4</f>
        <v>351.57099999999997</v>
      </c>
      <c r="AI68" s="22">
        <f>Balance_Sheet_Qtr!AH19*AI69/4</f>
        <v>344.50299999999999</v>
      </c>
      <c r="AJ68" s="23">
        <f>SUM(AF68:AI68)</f>
        <v>1423.4269999999999</v>
      </c>
      <c r="AK68" s="22">
        <f>Balance_Sheet_Qtr!AJ19*AK69/4</f>
        <v>338.45799999999997</v>
      </c>
      <c r="AL68" s="22">
        <f>Balance_Sheet_Qtr!AK19*AL69/4</f>
        <v>333.40499999999997</v>
      </c>
      <c r="AM68" s="22">
        <f>Balance_Sheet_Qtr!AL19*AM69/4</f>
        <v>329.12700000000001</v>
      </c>
      <c r="AN68" s="22">
        <f>Balance_Sheet_Qtr!AM19*AN69/4</f>
        <v>325.74799999999999</v>
      </c>
      <c r="AO68" s="23">
        <f>SUM(AK68:AN68)</f>
        <v>1326.7380000000001</v>
      </c>
      <c r="AP68" s="22">
        <f>Balance_Sheet_Qtr!AO19*AP69/4</f>
        <v>327.05</v>
      </c>
      <c r="AQ68" s="22">
        <f>Balance_Sheet_Qtr!AP19*AQ69/4</f>
        <v>325.28300000000002</v>
      </c>
      <c r="AR68" s="22">
        <f>Balance_Sheet_Qtr!AQ19*AR69/4</f>
        <v>324.10500000000002</v>
      </c>
      <c r="AS68" s="22">
        <f>Balance_Sheet_Qtr!AR19*AS69/4</f>
        <v>325.00400000000002</v>
      </c>
      <c r="AT68" s="23">
        <f>SUM(AP68:AS68)</f>
        <v>1301.442</v>
      </c>
      <c r="AU68" s="37">
        <f>AU5</f>
        <v>442</v>
      </c>
      <c r="AV68" s="37">
        <f>AV5</f>
        <v>441</v>
      </c>
      <c r="AW68" s="37">
        <f t="shared" ref="AW68:AX68" si="117">AW5</f>
        <v>444</v>
      </c>
      <c r="AX68" s="37">
        <f t="shared" si="117"/>
        <v>509</v>
      </c>
      <c r="AY68" s="23">
        <f>SUM(AU68:AX68)</f>
        <v>1836</v>
      </c>
      <c r="AZ68" s="37">
        <f>AZ5</f>
        <v>466</v>
      </c>
      <c r="BA68" s="37">
        <f>BA5</f>
        <v>460</v>
      </c>
      <c r="BB68" s="37">
        <f t="shared" ref="BB68:BC68" si="118">BB5</f>
        <v>491</v>
      </c>
      <c r="BC68" s="37">
        <f t="shared" si="118"/>
        <v>536</v>
      </c>
      <c r="BD68" s="516">
        <f>Balance_Sheet_Qtr!AY19*BD69</f>
        <v>1860.1560000000002</v>
      </c>
      <c r="BE68" s="22">
        <f>Balance_Sheet_Qtr!BD19*BE69/4</f>
        <v>518.43375000000003</v>
      </c>
      <c r="BF68" s="22">
        <f>Balance_Sheet_Qtr!BE19*BF69/4</f>
        <v>534.94893205170911</v>
      </c>
      <c r="BG68" s="22">
        <f>Balance_Sheet_Qtr!BF19*BG69/4</f>
        <v>551.20617695917304</v>
      </c>
      <c r="BH68" s="22">
        <f>BI68-SUM(BE68:BG68)</f>
        <v>469.14614098911784</v>
      </c>
      <c r="BI68" s="516">
        <f>Balance_Sheet_Qtr!BD19*BI69</f>
        <v>2073.7350000000001</v>
      </c>
      <c r="BK68" s="444"/>
    </row>
    <row r="69" spans="1:64">
      <c r="A69" s="1" t="s">
        <v>24</v>
      </c>
      <c r="B69" s="33">
        <f>+B68/Balance_Sheet_Annual!P19*4</f>
        <v>0.12328518215680931</v>
      </c>
      <c r="C69" s="33">
        <f>+C68/Balance_Sheet_Qtr!B19*4</f>
        <v>0.12146437522377372</v>
      </c>
      <c r="D69" s="33">
        <f>+D68/Balance_Sheet_Qtr!C19*4</f>
        <v>0.11968601164226494</v>
      </c>
      <c r="E69" s="33">
        <f>+E68/Balance_Sheet_Qtr!D19*4</f>
        <v>0.11684174272429826</v>
      </c>
      <c r="F69" s="133">
        <f>+F68/Balance_Sheet_Annual!P19</f>
        <v>0.12328518215680931</v>
      </c>
      <c r="G69" s="33">
        <f>+G68/Balance_Sheet_Qtr!F19*4</f>
        <v>0.11742298774428618</v>
      </c>
      <c r="H69" s="33">
        <f>+H68/Balance_Sheet_Qtr!G19*4</f>
        <v>0.11557584155187872</v>
      </c>
      <c r="I69" s="33">
        <f>+I68/Balance_Sheet_Qtr!H19*4</f>
        <v>0.11314130694965292</v>
      </c>
      <c r="J69" s="33">
        <f>+J68/Balance_Sheet_Qtr!I19*4</f>
        <v>0.11153936914968929</v>
      </c>
      <c r="K69" s="133">
        <f>+K68/Balance_Sheet_Qtr!F19</f>
        <v>0.11742298774428618</v>
      </c>
      <c r="L69" s="33">
        <f>+L68/Balance_Sheet_Qtr!K19*4</f>
        <v>0.12087139845397049</v>
      </c>
      <c r="M69" s="33">
        <f>+M68/Balance_Sheet_Qtr!L19*4</f>
        <v>0.12054197165550537</v>
      </c>
      <c r="N69" s="33">
        <f>+N68/Balance_Sheet_Qtr!M19*4</f>
        <v>0.12074882995319813</v>
      </c>
      <c r="O69" s="33">
        <f>+O68/Balance_Sheet_Qtr!N19*4</f>
        <v>0.12177470106985526</v>
      </c>
      <c r="P69" s="133">
        <f>+P68/Balance_Sheet_Qtr!K19</f>
        <v>0.12087139845397049</v>
      </c>
      <c r="Q69" s="33">
        <f>+Q68/Balance_Sheet_Qtr!P19*4</f>
        <v>0.12279040404040405</v>
      </c>
      <c r="R69" s="33">
        <f>+R68/Balance_Sheet_Qtr!Q19*4</f>
        <v>0.12321824516946468</v>
      </c>
      <c r="S69" s="33">
        <f>+S68/Balance_Sheet_Qtr!R19*4</f>
        <v>0.12344307814359382</v>
      </c>
      <c r="T69" s="33">
        <f>+T68/Balance_Sheet_Qtr!S19*4</f>
        <v>0.12377694694137301</v>
      </c>
      <c r="U69" s="133">
        <f>+U68/Balance_Sheet_Qtr!P19</f>
        <v>0.12279040404040405</v>
      </c>
      <c r="V69" s="33">
        <f>+V68/Balance_Sheet_Qtr!U19*4</f>
        <v>0.12392249901146699</v>
      </c>
      <c r="W69" s="33">
        <f>+W68/Balance_Sheet_Qtr!V19*4</f>
        <v>0.12442432904557726</v>
      </c>
      <c r="X69" s="33">
        <f>+X68/Balance_Sheet_Qtr!W19*4</f>
        <v>0.12435520990397587</v>
      </c>
      <c r="Y69" s="33">
        <f>+Y68/Balance_Sheet_Qtr!X19*4</f>
        <v>0.12508980601899897</v>
      </c>
      <c r="Z69" s="133">
        <f>+Z68/Balance_Sheet_Qtr!U19</f>
        <v>0.12392249901146699</v>
      </c>
      <c r="AA69" s="252">
        <v>0.124</v>
      </c>
      <c r="AB69" s="252">
        <v>0.124</v>
      </c>
      <c r="AC69" s="252">
        <v>0.124</v>
      </c>
      <c r="AD69" s="252">
        <v>0.124</v>
      </c>
      <c r="AE69" s="133">
        <f>+AE68/Balance_Sheet_Qtr!Z19</f>
        <v>0.12164437689969605</v>
      </c>
      <c r="AF69" s="252">
        <v>0.124</v>
      </c>
      <c r="AG69" s="252">
        <v>0.124</v>
      </c>
      <c r="AH69" s="252">
        <v>0.124</v>
      </c>
      <c r="AI69" s="252">
        <v>0.124</v>
      </c>
      <c r="AJ69" s="133">
        <f>+AJ68/Balance_Sheet_Qtr!AE19</f>
        <v>0.12042529610829103</v>
      </c>
      <c r="AK69" s="252">
        <v>0.124</v>
      </c>
      <c r="AL69" s="252">
        <v>0.124</v>
      </c>
      <c r="AM69" s="252">
        <v>0.124</v>
      </c>
      <c r="AN69" s="252">
        <v>0.124</v>
      </c>
      <c r="AO69" s="133">
        <f>+AO68/Balance_Sheet_Qtr!AJ19</f>
        <v>0.1215184099651951</v>
      </c>
      <c r="AP69" s="252">
        <v>0.124</v>
      </c>
      <c r="AQ69" s="252">
        <v>0.124</v>
      </c>
      <c r="AR69" s="252">
        <v>0.124</v>
      </c>
      <c r="AS69" s="252">
        <v>0.124</v>
      </c>
      <c r="AT69" s="133">
        <f>+AT68/Balance_Sheet_Qtr!AO19</f>
        <v>0.12335943127962086</v>
      </c>
      <c r="AU69" s="545">
        <f>AU68/Balance_Sheet_Qtr!AT19*4</f>
        <v>0.16583810149141731</v>
      </c>
      <c r="AV69" s="545">
        <f>AV68/Balance_Sheet_Qtr!AU19*4</f>
        <v>0.16492146596858639</v>
      </c>
      <c r="AW69" s="545">
        <f>AW68/Balance_Sheet_Qtr!AV19*4</f>
        <v>0.16180758017492711</v>
      </c>
      <c r="AX69" s="545">
        <f>AX68/Balance_Sheet_Qtr!AW19*4</f>
        <v>0.18120327518689924</v>
      </c>
      <c r="AY69" s="133">
        <f>+AY68/Balance_Sheet_Qtr!AT19</f>
        <v>0.17221649001031797</v>
      </c>
      <c r="AZ69" s="545">
        <f>AZ68/Balance_Sheet_Qtr!AY19*4</f>
        <v>0.16333683841570276</v>
      </c>
      <c r="BA69" s="545">
        <f>BA68/Balance_Sheet_Qtr!AZ19*4</f>
        <v>0.16057247578322717</v>
      </c>
      <c r="BB69" s="545">
        <f>BB68/Balance_Sheet_Qtr!BA19*4</f>
        <v>0.16846800480356836</v>
      </c>
      <c r="BC69" s="545">
        <f>BC68/Balance_Sheet_Qtr!BB19*4</f>
        <v>0.17751283325053818</v>
      </c>
      <c r="BD69" s="212">
        <v>0.16300000000000001</v>
      </c>
      <c r="BE69" s="193">
        <f>$BI69</f>
        <v>0.13500000000000001</v>
      </c>
      <c r="BF69" s="193">
        <f t="shared" ref="BF69:BG69" si="119">$BI69</f>
        <v>0.13500000000000001</v>
      </c>
      <c r="BG69" s="193">
        <f t="shared" si="119"/>
        <v>0.13500000000000001</v>
      </c>
      <c r="BH69" s="479">
        <f>+BH68/Balance_Sheet_Qtr!BG19*4</f>
        <v>0.11169417493729117</v>
      </c>
      <c r="BI69" s="212">
        <v>0.13500000000000001</v>
      </c>
      <c r="BK69" s="444"/>
    </row>
    <row r="70" spans="1:64">
      <c r="A70" s="14" t="s">
        <v>78</v>
      </c>
      <c r="B70" s="22">
        <f>F70/4</f>
        <v>56</v>
      </c>
      <c r="C70" s="22">
        <f>(F70-B70)/3</f>
        <v>56</v>
      </c>
      <c r="D70" s="22">
        <f>(F70-C70-B70)/2</f>
        <v>56</v>
      </c>
      <c r="E70" s="22">
        <f>F70-SUM(B70:D70)</f>
        <v>56</v>
      </c>
      <c r="F70" s="43">
        <v>224</v>
      </c>
      <c r="G70" s="22">
        <f>K70/4</f>
        <v>55</v>
      </c>
      <c r="H70" s="22">
        <f>(K70-G70)/3</f>
        <v>55</v>
      </c>
      <c r="I70" s="22">
        <f>(K70-H70-G70)/2</f>
        <v>55</v>
      </c>
      <c r="J70" s="22">
        <f>K70-SUM(G70:I70)</f>
        <v>55</v>
      </c>
      <c r="K70" s="43">
        <v>220</v>
      </c>
      <c r="L70" s="22">
        <f>P70/4</f>
        <v>60</v>
      </c>
      <c r="M70" s="22">
        <f>(P70-L70)/3</f>
        <v>60</v>
      </c>
      <c r="N70" s="22">
        <f>(P70-M70-L70)/2</f>
        <v>60</v>
      </c>
      <c r="O70" s="22">
        <f>P70-SUM(L70:N70)</f>
        <v>60</v>
      </c>
      <c r="P70" s="43">
        <v>240</v>
      </c>
      <c r="Q70" s="22">
        <f>U70/4</f>
        <v>68</v>
      </c>
      <c r="R70" s="22">
        <f>(U70-Q70)/3</f>
        <v>68</v>
      </c>
      <c r="S70" s="22">
        <f>(U70-R70-Q70)/2</f>
        <v>68</v>
      </c>
      <c r="T70" s="22">
        <f>U70-SUM(Q70:S70)</f>
        <v>68</v>
      </c>
      <c r="U70" s="43">
        <v>272</v>
      </c>
      <c r="V70" s="22">
        <f>Z70/4</f>
        <v>82.75</v>
      </c>
      <c r="W70" s="22">
        <f>(Z70-V70)/3</f>
        <v>82.75</v>
      </c>
      <c r="X70" s="22">
        <f>(Z70-W70-V70)/2</f>
        <v>82.75</v>
      </c>
      <c r="Y70" s="22">
        <f>Z70-SUM(V70:X70)</f>
        <v>82.75</v>
      </c>
      <c r="Z70" s="43">
        <v>331</v>
      </c>
      <c r="AA70" s="22">
        <f>AE70/4</f>
        <v>80</v>
      </c>
      <c r="AB70" s="22">
        <f>(AE70-AA70)/3</f>
        <v>80</v>
      </c>
      <c r="AC70" s="22">
        <f>(AE70-AB70-AA70)/2</f>
        <v>80</v>
      </c>
      <c r="AD70" s="22">
        <f>AE70-SUM(AA70:AC70)</f>
        <v>80</v>
      </c>
      <c r="AE70" s="43">
        <v>320</v>
      </c>
      <c r="AF70" s="22">
        <f>AJ70/4</f>
        <v>80</v>
      </c>
      <c r="AG70" s="22">
        <f>(AJ70-AF70)/3</f>
        <v>80</v>
      </c>
      <c r="AH70" s="22">
        <f>(AJ70-AG70-AF70)/2</f>
        <v>80</v>
      </c>
      <c r="AI70" s="22">
        <f>AJ70-SUM(AF70:AH70)</f>
        <v>80</v>
      </c>
      <c r="AJ70" s="43">
        <v>320</v>
      </c>
      <c r="AK70" s="22">
        <f>AO70/4</f>
        <v>80</v>
      </c>
      <c r="AL70" s="22">
        <f>(AO70-AK70)/3</f>
        <v>80</v>
      </c>
      <c r="AM70" s="22">
        <f>(AO70-AL70-AK70)/2</f>
        <v>80</v>
      </c>
      <c r="AN70" s="22">
        <f>AO70-SUM(AK70:AM70)</f>
        <v>80</v>
      </c>
      <c r="AO70" s="43">
        <v>320</v>
      </c>
      <c r="AP70" s="22">
        <f>AT70/4</f>
        <v>0</v>
      </c>
      <c r="AQ70" s="22">
        <f>(AT70-AP70)/3</f>
        <v>0</v>
      </c>
      <c r="AR70" s="22">
        <f>(AT70-AQ70-AP70)/2</f>
        <v>0</v>
      </c>
      <c r="AS70" s="22">
        <f>AT70-SUM(AP70:AR70)</f>
        <v>0</v>
      </c>
      <c r="AT70" s="43"/>
      <c r="AU70" s="22"/>
      <c r="AV70" s="22"/>
      <c r="AW70" s="22">
        <f>(AY70-AV70-AU70)/2</f>
        <v>0</v>
      </c>
      <c r="AX70" s="22">
        <f>AY70-SUM(AU70:AW70)</f>
        <v>0</v>
      </c>
      <c r="AY70" s="43"/>
      <c r="AZ70" s="22"/>
      <c r="BA70" s="22"/>
      <c r="BB70" s="22">
        <f>(BD70-BA70-AZ70)/2</f>
        <v>0</v>
      </c>
      <c r="BC70" s="22"/>
      <c r="BD70" s="43"/>
      <c r="BE70" s="41"/>
      <c r="BF70" s="41"/>
      <c r="BG70" s="41"/>
      <c r="BH70" s="22"/>
      <c r="BI70" s="43"/>
    </row>
    <row r="71" spans="1:64">
      <c r="A71" s="14" t="s">
        <v>338</v>
      </c>
      <c r="B71" s="22">
        <f t="shared" ref="B71:Z71" si="120">B5-B68-B70</f>
        <v>63.75</v>
      </c>
      <c r="C71" s="22">
        <f t="shared" si="120"/>
        <v>57.75</v>
      </c>
      <c r="D71" s="22">
        <f t="shared" si="120"/>
        <v>41.75</v>
      </c>
      <c r="E71" s="22">
        <f t="shared" si="120"/>
        <v>88.75</v>
      </c>
      <c r="F71" s="23">
        <f t="shared" si="120"/>
        <v>252</v>
      </c>
      <c r="G71" s="22">
        <f t="shared" si="120"/>
        <v>33.5</v>
      </c>
      <c r="H71" s="22">
        <f t="shared" si="120"/>
        <v>37.5</v>
      </c>
      <c r="I71" s="22">
        <f t="shared" si="120"/>
        <v>64.5</v>
      </c>
      <c r="J71" s="22">
        <f t="shared" si="120"/>
        <v>136.5</v>
      </c>
      <c r="K71" s="23">
        <f t="shared" si="120"/>
        <v>272</v>
      </c>
      <c r="L71" s="22">
        <f t="shared" si="120"/>
        <v>21</v>
      </c>
      <c r="M71" s="22">
        <f t="shared" si="120"/>
        <v>41</v>
      </c>
      <c r="N71" s="22">
        <f t="shared" si="120"/>
        <v>67</v>
      </c>
      <c r="O71" s="22">
        <f t="shared" si="120"/>
        <v>130</v>
      </c>
      <c r="P71" s="23">
        <f t="shared" si="120"/>
        <v>259</v>
      </c>
      <c r="Q71" s="22">
        <f t="shared" si="120"/>
        <v>44</v>
      </c>
      <c r="R71" s="22">
        <f t="shared" si="120"/>
        <v>50</v>
      </c>
      <c r="S71" s="22">
        <f t="shared" si="120"/>
        <v>66</v>
      </c>
      <c r="T71" s="22">
        <f t="shared" si="120"/>
        <v>126</v>
      </c>
      <c r="U71" s="23">
        <f t="shared" si="120"/>
        <v>286</v>
      </c>
      <c r="V71" s="22">
        <f t="shared" si="120"/>
        <v>46.5</v>
      </c>
      <c r="W71" s="22">
        <f t="shared" si="120"/>
        <v>71.5</v>
      </c>
      <c r="X71" s="22">
        <f t="shared" si="120"/>
        <v>101.5</v>
      </c>
      <c r="Y71" s="22">
        <f t="shared" si="120"/>
        <v>153.5</v>
      </c>
      <c r="Z71" s="23">
        <f t="shared" si="120"/>
        <v>373</v>
      </c>
      <c r="AA71" s="22">
        <f>AA5-AA68-AA70</f>
        <v>88.437999999999988</v>
      </c>
      <c r="AB71" s="22">
        <f>AB5-AB68-AB70</f>
        <v>82.444999999999993</v>
      </c>
      <c r="AC71" s="22">
        <f>(AE71-AA71-AB71)/2</f>
        <v>101.05850000000001</v>
      </c>
      <c r="AD71" s="22">
        <f>AE71-SUM(AA71:AC71)</f>
        <v>101.05849999999998</v>
      </c>
      <c r="AE71" s="23">
        <f>Z71</f>
        <v>373</v>
      </c>
      <c r="AF71" s="22">
        <f>AF5-AF68-AF70</f>
        <v>89.579999999999984</v>
      </c>
      <c r="AG71" s="22">
        <f>AG5-AG68-AG70</f>
        <v>110.06700000000001</v>
      </c>
      <c r="AH71" s="22">
        <f>(AJ71-AF71-AG71)/2</f>
        <v>86.676500000000004</v>
      </c>
      <c r="AI71" s="22">
        <f>AJ71-SUM(AF71:AH71)</f>
        <v>86.676500000000033</v>
      </c>
      <c r="AJ71" s="23">
        <f>AE71</f>
        <v>373</v>
      </c>
      <c r="AK71" s="22">
        <f>AK5-AK68-AK70</f>
        <v>67.54200000000003</v>
      </c>
      <c r="AL71" s="22">
        <f>AL5-AL68-AL70</f>
        <v>84.595000000000027</v>
      </c>
      <c r="AM71" s="22">
        <f>(AO71-AK71-AL71)/2</f>
        <v>110.43149999999997</v>
      </c>
      <c r="AN71" s="22">
        <f>AO71-SUM(AK71:AM71)</f>
        <v>110.43149999999997</v>
      </c>
      <c r="AO71" s="23">
        <f>AJ71</f>
        <v>373</v>
      </c>
      <c r="AP71" s="22">
        <f>AP5-AP68-AP70</f>
        <v>129.94999999999999</v>
      </c>
      <c r="AQ71" s="22">
        <f>AQ5-AQ68-AQ70</f>
        <v>130.71699999999998</v>
      </c>
      <c r="AR71" s="22">
        <f>(AT71-AP71-AQ71)/2</f>
        <v>56.166500000000013</v>
      </c>
      <c r="AS71" s="22">
        <f>AT71-SUM(AP71:AR71)</f>
        <v>56.166500000000042</v>
      </c>
      <c r="AT71" s="23">
        <f>AO71</f>
        <v>373</v>
      </c>
      <c r="AU71" s="22"/>
      <c r="AV71" s="22"/>
      <c r="AW71" s="22">
        <f>(AY71-AU71-AV71)/2</f>
        <v>186.5</v>
      </c>
      <c r="AX71" s="22">
        <f>AY71-SUM(AU71:AW71)</f>
        <v>186.5</v>
      </c>
      <c r="AY71" s="23">
        <f>AT71</f>
        <v>373</v>
      </c>
      <c r="AZ71" s="22"/>
      <c r="BA71" s="22"/>
      <c r="BB71" s="22">
        <f>(BD71-AZ71-BA71)/2</f>
        <v>0</v>
      </c>
      <c r="BC71" s="22"/>
      <c r="BD71" s="43"/>
      <c r="BE71" s="41"/>
      <c r="BF71" s="41"/>
      <c r="BG71" s="41"/>
      <c r="BH71" s="22"/>
      <c r="BI71" s="43"/>
    </row>
    <row r="72" spans="1:64">
      <c r="A72" s="14"/>
      <c r="B72" s="22"/>
      <c r="C72" s="22"/>
      <c r="D72" s="22"/>
      <c r="E72" s="22"/>
      <c r="F72" s="244"/>
      <c r="G72" s="245"/>
      <c r="H72" s="245"/>
      <c r="I72" s="245"/>
      <c r="J72" s="245"/>
      <c r="K72" s="244"/>
      <c r="L72" s="245"/>
      <c r="M72" s="245"/>
      <c r="N72" s="245"/>
      <c r="O72" s="245"/>
      <c r="P72" s="244"/>
      <c r="Q72" s="245"/>
      <c r="R72" s="245"/>
      <c r="S72" s="245"/>
      <c r="T72" s="245"/>
      <c r="U72" s="244"/>
      <c r="V72" s="22"/>
      <c r="W72" s="22"/>
      <c r="X72" s="22"/>
      <c r="Y72" s="22"/>
      <c r="Z72" s="244"/>
      <c r="AA72" s="22"/>
      <c r="AB72" s="22"/>
      <c r="AC72" s="22"/>
      <c r="AD72" s="22"/>
      <c r="AE72" s="23"/>
      <c r="AF72" s="22"/>
      <c r="AG72" s="22"/>
      <c r="AH72" s="22"/>
      <c r="AI72" s="22"/>
      <c r="AJ72" s="23"/>
      <c r="AK72" s="22"/>
      <c r="AL72" s="22"/>
      <c r="AM72" s="22"/>
      <c r="AN72" s="22"/>
      <c r="AO72" s="23"/>
      <c r="AP72" s="22"/>
      <c r="AQ72" s="22"/>
      <c r="AR72" s="22"/>
      <c r="AS72" s="22"/>
      <c r="AT72" s="23"/>
      <c r="AU72" s="22"/>
      <c r="AV72" s="22"/>
      <c r="AW72" s="22"/>
      <c r="AX72" s="22"/>
      <c r="AY72" s="23"/>
      <c r="AZ72" s="22"/>
      <c r="BA72" s="22"/>
      <c r="BB72" s="22"/>
      <c r="BC72" s="22"/>
      <c r="BD72" s="23"/>
      <c r="BE72" s="22"/>
      <c r="BF72" s="22"/>
      <c r="BG72" s="22"/>
      <c r="BH72" s="22"/>
      <c r="BI72" s="23"/>
    </row>
    <row r="73" spans="1:64">
      <c r="A73" s="14" t="s">
        <v>22</v>
      </c>
      <c r="B73" s="22"/>
      <c r="C73" s="22"/>
      <c r="D73" s="22"/>
      <c r="E73" s="22"/>
      <c r="F73" s="23"/>
      <c r="G73" s="22"/>
      <c r="H73" s="22"/>
      <c r="I73" s="22"/>
      <c r="J73" s="22"/>
      <c r="K73" s="23"/>
      <c r="L73" s="22"/>
      <c r="M73" s="22"/>
      <c r="N73" s="22"/>
      <c r="O73" s="22"/>
      <c r="P73" s="23"/>
      <c r="Q73" s="22"/>
      <c r="R73" s="22"/>
      <c r="S73" s="22"/>
      <c r="T73" s="22"/>
      <c r="U73" s="23"/>
      <c r="V73" s="22"/>
      <c r="W73" s="22"/>
      <c r="X73" s="22"/>
      <c r="Y73" s="22"/>
      <c r="Z73" s="23"/>
      <c r="AA73" s="22"/>
      <c r="AB73" s="22"/>
      <c r="AC73" s="22"/>
      <c r="AD73" s="22"/>
      <c r="AE73" s="23"/>
      <c r="AF73" s="22"/>
      <c r="AG73" s="22"/>
      <c r="AH73" s="22"/>
      <c r="AI73" s="22"/>
      <c r="AJ73" s="23"/>
      <c r="AK73" s="22"/>
      <c r="AL73" s="22"/>
      <c r="AM73" s="22"/>
      <c r="AN73" s="22"/>
      <c r="AO73" s="23"/>
      <c r="AP73" s="22"/>
      <c r="AQ73" s="22"/>
      <c r="AR73" s="22"/>
      <c r="AS73" s="22"/>
      <c r="AT73" s="23"/>
      <c r="AU73" s="22"/>
      <c r="AV73" s="22"/>
      <c r="AW73" s="22"/>
      <c r="AX73" s="22"/>
      <c r="AY73" s="23"/>
      <c r="AZ73" s="22"/>
      <c r="BA73" s="22"/>
      <c r="BB73" s="22"/>
      <c r="BC73" s="22"/>
      <c r="BD73" s="23"/>
      <c r="BE73" s="22"/>
      <c r="BF73" s="22"/>
      <c r="BG73" s="22"/>
      <c r="BH73" s="22"/>
      <c r="BI73" s="23"/>
      <c r="BK73" s="444"/>
    </row>
    <row r="74" spans="1:64">
      <c r="A74" s="1" t="s">
        <v>23</v>
      </c>
      <c r="B74" s="35">
        <f>+-B33/Income_Statement_Qtr!B10</f>
        <v>2.5915391214050294E-2</v>
      </c>
      <c r="C74" s="35">
        <f>+-C33/Income_Statement_Qtr!C10</f>
        <v>2.8195412133805973E-2</v>
      </c>
      <c r="D74" s="35">
        <f>+-D33/Income_Statement_Qtr!D10</f>
        <v>2.1702967232774963E-2</v>
      </c>
      <c r="E74" s="35">
        <f>+-E33/Income_Statement_Qtr!E10</f>
        <v>2.6428541127561194E-2</v>
      </c>
      <c r="F74" s="36">
        <f>+-F33/Income_Statement_Qtr!F10</f>
        <v>2.5490563289427139E-2</v>
      </c>
      <c r="G74" s="35">
        <f>+-G33/Income_Statement_Qtr!G10</f>
        <v>3.3050547896783314E-2</v>
      </c>
      <c r="H74" s="35">
        <f>+-H33/Income_Statement_Qtr!H10</f>
        <v>2.710563522520703E-2</v>
      </c>
      <c r="I74" s="35">
        <f>+-I33/Income_Statement_Qtr!I10</f>
        <v>2.4897480960749854E-2</v>
      </c>
      <c r="J74" s="35">
        <f>+-J33/Income_Statement_Qtr!J10</f>
        <v>2.5723610753242292E-2</v>
      </c>
      <c r="K74" s="36">
        <f>+-K33/Income_Statement_Qtr!K10</f>
        <v>2.7630034577195969E-2</v>
      </c>
      <c r="L74" s="35">
        <f>+-L33/Income_Statement_Qtr!L10</f>
        <v>2.1219434451983061E-2</v>
      </c>
      <c r="M74" s="35">
        <f>+-M33/Income_Statement_Qtr!M10</f>
        <v>1.9044726909895449E-2</v>
      </c>
      <c r="N74" s="35">
        <f>+-N33/Income_Statement_Qtr!N10</f>
        <v>1.6471948148453947E-2</v>
      </c>
      <c r="O74" s="35">
        <f>+-O33/Income_Statement_Qtr!O10</f>
        <v>1.7561566410981024E-2</v>
      </c>
      <c r="P74" s="36">
        <f>+-P33/Income_Statement_Qtr!P10</f>
        <v>1.8499016009786713E-2</v>
      </c>
      <c r="Q74" s="35">
        <f>+-Q33/Income_Statement_Qtr!Q10</f>
        <v>1.6850568813617312E-2</v>
      </c>
      <c r="R74" s="35">
        <f>+-R33/Income_Statement_Qtr!R10</f>
        <v>1.5500041223513892E-2</v>
      </c>
      <c r="S74" s="35">
        <f>+-S33/Income_Statement_Qtr!S10</f>
        <v>1.8173864630557545E-2</v>
      </c>
      <c r="T74" s="35">
        <f>+-T33/Income_Statement_Qtr!T10</f>
        <v>1.7465862178469356E-2</v>
      </c>
      <c r="U74" s="36">
        <f>+-U33/Income_Statement_Qtr!U10</f>
        <v>1.7028093387522619E-2</v>
      </c>
      <c r="V74" s="35">
        <f>+-V33/Income_Statement_Qtr!V10</f>
        <v>2.1861500196360781E-2</v>
      </c>
      <c r="W74" s="35">
        <f>+-W33/Income_Statement_Qtr!W10</f>
        <v>2.6728461684972383E-2</v>
      </c>
      <c r="X74" s="35">
        <f>+-X33/Income_Statement_Qtr!X10</f>
        <v>2.3273273273273273E-2</v>
      </c>
      <c r="Y74" s="35">
        <f>+-Y33/Income_Statement_Qtr!Y10</f>
        <v>2.4956730500809557E-2</v>
      </c>
      <c r="Z74" s="36">
        <f>+-Z33/Income_Statement_Qtr!Z10</f>
        <v>2.3955380817408795E-2</v>
      </c>
      <c r="AA74" s="35">
        <f>+-AA33/Income_Statement_Qtr!AA10</f>
        <v>2.5313461083510763E-2</v>
      </c>
      <c r="AB74" s="35">
        <f>+-AB33/Income_Statement_Qtr!AB10</f>
        <v>2.9474040823240451E-2</v>
      </c>
      <c r="AC74" s="35">
        <f>+-AC33/Income_Statement_Qtr!AC10</f>
        <v>1.8530306245137563E-2</v>
      </c>
      <c r="AD74" s="35">
        <f>+-AD33/Income_Statement_Qtr!AD10</f>
        <v>1.7315734448510194E-2</v>
      </c>
      <c r="AE74" s="133">
        <f>+-AE33/Income_Statement_Qtr!AE10</f>
        <v>2.2404484335774959E-2</v>
      </c>
      <c r="AF74" s="35">
        <f>+-AF33/Income_Statement_Qtr!AF10</f>
        <v>1.9123348886114215E-2</v>
      </c>
      <c r="AG74" s="35">
        <f>+-AG33/Income_Statement_Qtr!AG10</f>
        <v>1.3060360042357924E-2</v>
      </c>
      <c r="AH74" s="35">
        <f>+-AH33/Income_Statement_Qtr!AH10</f>
        <v>1.6036130383558056E-2</v>
      </c>
      <c r="AI74" s="35">
        <f>+-AI33/Income_Statement_Qtr!AI10</f>
        <v>1.5007097951733928E-2</v>
      </c>
      <c r="AJ74" s="133">
        <f>+-AJ33/Income_Statement_Qtr!AJ10</f>
        <v>1.5733872780400091E-2</v>
      </c>
      <c r="AK74" s="35">
        <f>+-AK33/Income_Statement_Qtr!AK10</f>
        <v>2.4944607247516262E-2</v>
      </c>
      <c r="AL74" s="35">
        <f>+-AL33/Income_Statement_Qtr!AL10</f>
        <v>1.5766440860859661E-2</v>
      </c>
      <c r="AM74" s="35">
        <f>+-AM33/Income_Statement_Qtr!AM10</f>
        <v>1.7798947104537478E-2</v>
      </c>
      <c r="AN74" s="35">
        <f>+-AN33/Income_Statement_Qtr!AN10</f>
        <v>1.6316316316316318E-2</v>
      </c>
      <c r="AO74" s="133">
        <f>+-AO33/Income_Statement_Qtr!AO10</f>
        <v>1.8346144607254384E-2</v>
      </c>
      <c r="AP74" s="35">
        <f>+-AP33/Income_Statement_Qtr!AP10</f>
        <v>2.6114614139835946E-2</v>
      </c>
      <c r="AQ74" s="35">
        <f>+-AQ33/Income_Statement_Qtr!AQ10</f>
        <v>1.498658295782492E-2</v>
      </c>
      <c r="AR74" s="35">
        <f>+-AR33/Income_Statement_Qtr!AR10</f>
        <v>1.8338488731771983E-2</v>
      </c>
      <c r="AS74" s="35">
        <f>+-AS33/Income_Statement_Qtr!AS10</f>
        <v>1.9574893269143429E-2</v>
      </c>
      <c r="AT74" s="133">
        <f>+-AT33/Income_Statement_Qtr!AT10</f>
        <v>1.9628763143687174E-2</v>
      </c>
      <c r="AU74" s="35">
        <f>+-AU33/Income_Statement_Qtr!AU10</f>
        <v>3.4220532319391636E-2</v>
      </c>
      <c r="AV74" s="35">
        <f>+-AV33/Income_Statement_Qtr!AV10</f>
        <v>2.3953515949247006E-2</v>
      </c>
      <c r="AW74" s="35">
        <f>+-AW33/Income_Statement_Qtr!AW10</f>
        <v>3.4248878923766816E-2</v>
      </c>
      <c r="AX74" s="35">
        <f>+-AX33/Income_Statement_Qtr!AX10</f>
        <v>4.25141057603989E-2</v>
      </c>
      <c r="AY74" s="133">
        <f>+-AY33/Income_Statement_Qtr!AY10</f>
        <v>3.3525264218169794E-2</v>
      </c>
      <c r="AZ74" s="35">
        <f>+-AZ33/Income_Statement_Qtr!AZ10</f>
        <v>3.457119409109561E-2</v>
      </c>
      <c r="BA74" s="35">
        <f>+-BA33/Income_Statement_Qtr!BA10</f>
        <v>1.8770055826629741E-2</v>
      </c>
      <c r="BB74" s="35">
        <f>+-BB33/Income_Statement_Qtr!BB10</f>
        <v>3.8031800601633005E-2</v>
      </c>
      <c r="BC74" s="471">
        <f>+-BC33/Income_Statement_Qtr!BC10</f>
        <v>3.991982629029564E-2</v>
      </c>
      <c r="BD74" s="240">
        <v>3.4099999999999998E-2</v>
      </c>
      <c r="BE74" s="193">
        <f>$BI74</f>
        <v>4.07E-2</v>
      </c>
      <c r="BF74" s="193">
        <f t="shared" ref="BF74:BG74" si="121">$BI74</f>
        <v>4.07E-2</v>
      </c>
      <c r="BG74" s="193">
        <f t="shared" si="121"/>
        <v>4.07E-2</v>
      </c>
      <c r="BH74" s="471">
        <f>+-BH33/Income_Statement_Qtr!BH10</f>
        <v>4.0700000000000014E-2</v>
      </c>
      <c r="BI74" s="240">
        <v>4.07E-2</v>
      </c>
    </row>
    <row r="75" spans="1:64">
      <c r="A75" s="1" t="s">
        <v>24</v>
      </c>
      <c r="B75" s="33">
        <f>+-B33/Balance_Sheet_Annual!P19*4</f>
        <v>0.20859453075315709</v>
      </c>
      <c r="C75" s="33">
        <f>+-C33/Balance_Sheet_Qtr!B19*4</f>
        <v>0.24776226279985678</v>
      </c>
      <c r="D75" s="33">
        <f>+-D33/Balance_Sheet_Qtr!C19*4</f>
        <v>0.19791850414535192</v>
      </c>
      <c r="E75" s="33">
        <f>+-E33/Balance_Sheet_Qtr!D19*4</f>
        <v>0.21456862407439298</v>
      </c>
      <c r="F75" s="133">
        <f>+-F33/Balance_Sheet_Annual!P19</f>
        <v>0.22258562732806397</v>
      </c>
      <c r="G75" s="33">
        <f>+-G33/Balance_Sheet_Qtr!F19*4</f>
        <v>0.24776416031798609</v>
      </c>
      <c r="H75" s="33">
        <f>+-H33/Balance_Sheet_Qtr!G19*4</f>
        <v>0.21876273534925422</v>
      </c>
      <c r="I75" s="33">
        <f>+-I33/Balance_Sheet_Qtr!H19*4</f>
        <v>0.18989866751775314</v>
      </c>
      <c r="J75" s="33">
        <f>+-J33/Balance_Sheet_Qtr!I19*4</f>
        <v>0.1884684968142846</v>
      </c>
      <c r="K75" s="133">
        <f>+-K33/Balance_Sheet_Qtr!F19</f>
        <v>0.21637959589267969</v>
      </c>
      <c r="L75" s="33">
        <f>+-L33/Balance_Sheet_Qtr!K19*4</f>
        <v>0.14554540485671899</v>
      </c>
      <c r="M75" s="33">
        <f>+-M33/Balance_Sheet_Qtr!L19*4</f>
        <v>0.13673882572807974</v>
      </c>
      <c r="N75" s="33">
        <f>+-N33/Balance_Sheet_Qtr!M19*4</f>
        <v>0.12449297971918877</v>
      </c>
      <c r="O75" s="33">
        <f>+-O33/Balance_Sheet_Qtr!N19*4</f>
        <v>0.13687853996224039</v>
      </c>
      <c r="P75" s="133">
        <f>+-P33/Balance_Sheet_Qtr!K19</f>
        <v>0.1357851175138596</v>
      </c>
      <c r="Q75" s="33">
        <f>+-Q33/Balance_Sheet_Qtr!P19*4</f>
        <v>0.12436868686868686</v>
      </c>
      <c r="R75" s="33">
        <f>+-R33/Balance_Sheet_Qtr!Q19*4</f>
        <v>0.11910041178333862</v>
      </c>
      <c r="S75" s="33">
        <f>+-S33/Balance_Sheet_Qtr!R19*4</f>
        <v>0.14502181673938913</v>
      </c>
      <c r="T75" s="33">
        <f>+-T33/Balance_Sheet_Qtr!S19*4</f>
        <v>0.15750536950123301</v>
      </c>
      <c r="U75" s="133">
        <f>+-U33/Balance_Sheet_Qtr!P19</f>
        <v>0.13589015151515152</v>
      </c>
      <c r="V75" s="33">
        <f>+-V33/Balance_Sheet_Qtr!U19*4</f>
        <v>0.15848161328588375</v>
      </c>
      <c r="W75" s="33">
        <f>+-W33/Balance_Sheet_Qtr!V19*4</f>
        <v>0.13371446720660632</v>
      </c>
      <c r="X75" s="33">
        <f>+-X33/Balance_Sheet_Qtr!W19*4</f>
        <v>0.14760733275136895</v>
      </c>
      <c r="Y75" s="33">
        <f>+-Y33/Balance_Sheet_Qtr!X19*4</f>
        <v>0.14273169952901732</v>
      </c>
      <c r="Z75" s="133">
        <f>+-Z33/Balance_Sheet_Qtr!U19</f>
        <v>0.14503756425464612</v>
      </c>
      <c r="AA75" s="33">
        <f>+-AA33/Balance_Sheet_Qtr!Z19*4</f>
        <v>0.1369380899056151</v>
      </c>
      <c r="AB75" s="33">
        <f>+-AB33/Balance_Sheet_Qtr!AA19*4</f>
        <v>0.11221281741233374</v>
      </c>
      <c r="AC75" s="33">
        <f>+-AC33/Balance_Sheet_Qtr!AB19*4</f>
        <v>8.6028566737809883E-2</v>
      </c>
      <c r="AD75" s="33">
        <f>+-AD33/Balance_Sheet_Qtr!AC19*4</f>
        <v>8.8562118806917875E-2</v>
      </c>
      <c r="AE75" s="133">
        <f>+-AE33/Balance_Sheet_Qtr!Z19</f>
        <v>0.1042233242681171</v>
      </c>
      <c r="AF75" s="33">
        <f>+-AF33/Balance_Sheet_Qtr!AE19*4</f>
        <v>9.847715736040609E-2</v>
      </c>
      <c r="AG75" s="33">
        <f>+-AG33/Balance_Sheet_Qtr!AF19*4</f>
        <v>7.6269002834321045E-2</v>
      </c>
      <c r="AH75" s="33">
        <f>+-AH33/Balance_Sheet_Qtr!AG19*4</f>
        <v>8.6412132968873998E-2</v>
      </c>
      <c r="AI75" s="33">
        <f>+-AI33/Balance_Sheet_Qtr!AH19*4</f>
        <v>7.9906415909295425E-2</v>
      </c>
      <c r="AJ75" s="133">
        <f>+-AJ33/Balance_Sheet_Qtr!AE19</f>
        <v>8.2910321489001695E-2</v>
      </c>
      <c r="AK75" s="33">
        <f>+-AK33/Balance_Sheet_Qtr!AJ19*4</f>
        <v>0.12786224583257005</v>
      </c>
      <c r="AL75" s="33">
        <f>+-AL33/Balance_Sheet_Qtr!AK19*4</f>
        <v>9.781496978149698E-2</v>
      </c>
      <c r="AM75" s="33">
        <f>+-AM33/Balance_Sheet_Qtr!AL19*4</f>
        <v>0.10699821041725535</v>
      </c>
      <c r="AN75" s="33">
        <f>+-AN33/Balance_Sheet_Qtr!AM19*4</f>
        <v>0.12409592691282832</v>
      </c>
      <c r="AO75" s="133">
        <f>+-AO33/Balance_Sheet_Qtr!AJ19</f>
        <v>0.11192526103681993</v>
      </c>
      <c r="AP75" s="33">
        <f>+-AP33/Balance_Sheet_Qtr!AO19*4</f>
        <v>0.17744075829383887</v>
      </c>
      <c r="AQ75" s="33">
        <f>+-AQ33/Balance_Sheet_Qtr!AP19*4</f>
        <v>0.1128371295149147</v>
      </c>
      <c r="AR75" s="33">
        <f>+-AR33/Balance_Sheet_Qtr!AQ19*4</f>
        <v>0.12702056432329029</v>
      </c>
      <c r="AS75" s="33">
        <f>+-AS33/Balance_Sheet_Qtr!AR19*4</f>
        <v>0.16444105303319342</v>
      </c>
      <c r="AT75" s="133">
        <f>+-AT33/Balance_Sheet_Qtr!AO19</f>
        <v>0.144739336492891</v>
      </c>
      <c r="AU75" s="33">
        <f>+-AU33/Balance_Sheet_Qtr!AT19*4</f>
        <v>0.21273801707156928</v>
      </c>
      <c r="AV75" s="33">
        <f>+-AV33/Balance_Sheet_Qtr!AU19*4</f>
        <v>0.15108451757666416</v>
      </c>
      <c r="AW75" s="33">
        <f>+-AW33/Balance_Sheet_Qtr!AV19*4</f>
        <v>0.22266763848396501</v>
      </c>
      <c r="AX75" s="33">
        <f>+-AX33/Balance_Sheet_Qtr!AW19*4</f>
        <v>0.23068707725169099</v>
      </c>
      <c r="AY75" s="133">
        <f>+-AY33/Balance_Sheet_Qtr!AT19</f>
        <v>0.20917362348747773</v>
      </c>
      <c r="AZ75" s="33">
        <f>+-AZ33/Balance_Sheet_Qtr!AY19*4</f>
        <v>0.23624255169996494</v>
      </c>
      <c r="BA75" s="33">
        <f>+-BA33/Balance_Sheet_Qtr!AZ19*4</f>
        <v>0.14905314599877825</v>
      </c>
      <c r="BB75" s="33">
        <f>+-BB33/Balance_Sheet_Qtr!BA19*4</f>
        <v>0.30365414307771488</v>
      </c>
      <c r="BC75" s="33">
        <f>+-BC33/Balance_Sheet_Qtr!BB19*4</f>
        <v>0.31660871005133301</v>
      </c>
      <c r="BD75" s="133">
        <f>+-BD33/Balance_Sheet_Qtr!AY19</f>
        <v>0.25779880827199442</v>
      </c>
      <c r="BE75" s="33">
        <f>+-BE33/Balance_Sheet_Qtr!BD19*4</f>
        <v>0.26242366446404441</v>
      </c>
      <c r="BF75" s="33">
        <f>+-BF33/Balance_Sheet_Qtr!BE19*4</f>
        <v>0.25656109814155076</v>
      </c>
      <c r="BG75" s="33">
        <f>+-BG33/Balance_Sheet_Qtr!BF19*4</f>
        <v>0.24988126351682416</v>
      </c>
      <c r="BH75" s="33">
        <f>+-BH33/Balance_Sheet_Qtr!BG19*4</f>
        <v>0.24134489155507122</v>
      </c>
      <c r="BI75" s="133">
        <f>+-BI33/Balance_Sheet_Qtr!BD19</f>
        <v>0.26420152397839897</v>
      </c>
    </row>
    <row r="76" spans="1:64">
      <c r="F76" s="27"/>
      <c r="K76" s="27"/>
      <c r="P76" s="27"/>
      <c r="U76" s="27"/>
      <c r="Z76" s="27"/>
      <c r="AE76" s="27"/>
      <c r="AJ76" s="27"/>
      <c r="AO76" s="27"/>
      <c r="AT76" s="27"/>
      <c r="AY76" s="27"/>
      <c r="BD76" s="27"/>
      <c r="BI76" s="27"/>
    </row>
    <row r="77" spans="1:64">
      <c r="A77" s="5" t="s">
        <v>25</v>
      </c>
      <c r="B77" s="77">
        <f t="shared" ref="B77:AG77" si="122">+B29+B33</f>
        <v>-486</v>
      </c>
      <c r="C77" s="77">
        <f t="shared" si="122"/>
        <v>2605</v>
      </c>
      <c r="D77" s="77">
        <f t="shared" si="122"/>
        <v>2298</v>
      </c>
      <c r="E77" s="77">
        <f t="shared" si="122"/>
        <v>2496</v>
      </c>
      <c r="F77" s="78">
        <f t="shared" si="122"/>
        <v>6913</v>
      </c>
      <c r="G77" s="77">
        <f t="shared" si="122"/>
        <v>527</v>
      </c>
      <c r="H77" s="77">
        <f t="shared" si="122"/>
        <v>2519</v>
      </c>
      <c r="I77" s="77">
        <f t="shared" si="122"/>
        <v>2607</v>
      </c>
      <c r="J77" s="77">
        <f t="shared" si="122"/>
        <v>2233</v>
      </c>
      <c r="K77" s="78">
        <f t="shared" si="122"/>
        <v>7886</v>
      </c>
      <c r="L77" s="77">
        <f t="shared" si="122"/>
        <v>1632</v>
      </c>
      <c r="M77" s="77">
        <f t="shared" si="122"/>
        <v>4510</v>
      </c>
      <c r="N77" s="77">
        <f t="shared" si="122"/>
        <v>2997</v>
      </c>
      <c r="O77" s="77">
        <f t="shared" si="122"/>
        <v>2468</v>
      </c>
      <c r="P77" s="78">
        <f t="shared" si="122"/>
        <v>11607</v>
      </c>
      <c r="Q77" s="77">
        <f t="shared" si="122"/>
        <v>2742</v>
      </c>
      <c r="R77" s="77">
        <f t="shared" si="122"/>
        <v>4304</v>
      </c>
      <c r="S77" s="77">
        <f t="shared" si="122"/>
        <v>4102</v>
      </c>
      <c r="T77" s="77">
        <f t="shared" si="122"/>
        <v>2452</v>
      </c>
      <c r="U77" s="78">
        <f t="shared" si="122"/>
        <v>13600</v>
      </c>
      <c r="V77" s="77">
        <f t="shared" si="122"/>
        <v>2287</v>
      </c>
      <c r="W77" s="77">
        <f t="shared" si="122"/>
        <v>-1011</v>
      </c>
      <c r="X77" s="77">
        <f t="shared" si="122"/>
        <v>-2889</v>
      </c>
      <c r="Y77" s="77">
        <f t="shared" si="122"/>
        <v>-2667</v>
      </c>
      <c r="Z77" s="78">
        <f t="shared" si="122"/>
        <v>-4280</v>
      </c>
      <c r="AA77" s="77">
        <f>+AA29+AA33</f>
        <v>-4730</v>
      </c>
      <c r="AB77" s="77">
        <f>+AB29+AB33</f>
        <v>-5628</v>
      </c>
      <c r="AC77" s="77">
        <f>+AC29+AC33</f>
        <v>-5081</v>
      </c>
      <c r="AD77" s="77">
        <f t="shared" si="122"/>
        <v>-4274</v>
      </c>
      <c r="AE77" s="78">
        <f t="shared" si="122"/>
        <v>-19713</v>
      </c>
      <c r="AF77" s="77">
        <f>+AF29+AF33</f>
        <v>-3678</v>
      </c>
      <c r="AG77" s="77">
        <f t="shared" si="122"/>
        <v>-705</v>
      </c>
      <c r="AH77" s="77">
        <f t="shared" ref="AH77:AM77" si="123">+AH29+AH33</f>
        <v>-507</v>
      </c>
      <c r="AI77" s="77">
        <f t="shared" si="123"/>
        <v>494</v>
      </c>
      <c r="AJ77" s="78">
        <f t="shared" si="123"/>
        <v>-4396</v>
      </c>
      <c r="AK77" s="77">
        <f t="shared" si="123"/>
        <v>-3565</v>
      </c>
      <c r="AL77" s="77">
        <f t="shared" si="123"/>
        <v>-182</v>
      </c>
      <c r="AM77" s="77">
        <f t="shared" si="123"/>
        <v>2906</v>
      </c>
      <c r="AN77" s="77">
        <f t="shared" ref="AN77:AR77" si="124">+AN29+AN33</f>
        <v>3131</v>
      </c>
      <c r="AO77" s="78">
        <f t="shared" si="124"/>
        <v>2290</v>
      </c>
      <c r="AP77" s="77">
        <f t="shared" si="124"/>
        <v>-786</v>
      </c>
      <c r="AQ77" s="77">
        <f t="shared" si="124"/>
        <v>2579</v>
      </c>
      <c r="AR77" s="77">
        <f t="shared" si="124"/>
        <v>-310</v>
      </c>
      <c r="AS77" s="77">
        <f t="shared" ref="AS77:AW77" si="125">+AS29+AS33</f>
        <v>2950</v>
      </c>
      <c r="AT77" s="78">
        <f t="shared" si="125"/>
        <v>4433</v>
      </c>
      <c r="AU77" s="77">
        <f t="shared" si="125"/>
        <v>-3929</v>
      </c>
      <c r="AV77" s="77">
        <f t="shared" si="125"/>
        <v>-4327</v>
      </c>
      <c r="AW77" s="77">
        <f t="shared" si="125"/>
        <v>-1956</v>
      </c>
      <c r="AX77" s="77">
        <f t="shared" ref="AX77:BB77" si="126">+AX29+AX33</f>
        <v>-4098</v>
      </c>
      <c r="AY77" s="78">
        <f t="shared" si="126"/>
        <v>-14310</v>
      </c>
      <c r="AZ77" s="77">
        <f t="shared" si="126"/>
        <v>-2290</v>
      </c>
      <c r="BA77" s="77">
        <f t="shared" si="126"/>
        <v>-200</v>
      </c>
      <c r="BB77" s="77">
        <f t="shared" si="126"/>
        <v>238</v>
      </c>
      <c r="BC77" s="77">
        <f t="shared" ref="BC77:BG77" si="127">+BC29+BC33</f>
        <v>375</v>
      </c>
      <c r="BD77" s="78">
        <f t="shared" si="127"/>
        <v>-1877</v>
      </c>
      <c r="BE77" s="77">
        <f t="shared" ca="1" si="127"/>
        <v>-1445.5088880355866</v>
      </c>
      <c r="BF77" s="77">
        <f t="shared" ca="1" si="127"/>
        <v>-490.28565390696235</v>
      </c>
      <c r="BG77" s="77">
        <f t="shared" ca="1" si="127"/>
        <v>1137.2881220158902</v>
      </c>
      <c r="BH77" s="77">
        <f t="shared" ref="BH77:BI77" ca="1" si="128">+BH29+BH33</f>
        <v>2969.908969534707</v>
      </c>
      <c r="BI77" s="78">
        <f t="shared" ca="1" si="128"/>
        <v>2171.4025496080476</v>
      </c>
      <c r="BJ77" s="26" t="s">
        <v>679</v>
      </c>
      <c r="BK77" t="s">
        <v>680</v>
      </c>
      <c r="BL77" s="297"/>
    </row>
    <row r="78" spans="1:64">
      <c r="A78" s="1" t="s">
        <v>26</v>
      </c>
      <c r="B78" s="35">
        <f t="shared" ref="B78:AG78" si="129">+B77/B4</f>
        <v>-0.36377245508982037</v>
      </c>
      <c r="C78" s="35">
        <f t="shared" si="129"/>
        <v>2.3468468468468466</v>
      </c>
      <c r="D78" s="35">
        <f t="shared" si="129"/>
        <v>1.3485915492957747</v>
      </c>
      <c r="E78" s="35">
        <f t="shared" si="129"/>
        <v>2.4327485380116958</v>
      </c>
      <c r="F78" s="36">
        <f t="shared" si="129"/>
        <v>1.3355873261205564</v>
      </c>
      <c r="G78" s="35">
        <f t="shared" si="129"/>
        <v>0.43232157506152585</v>
      </c>
      <c r="H78" s="35">
        <f t="shared" si="129"/>
        <v>-10.764957264957266</v>
      </c>
      <c r="I78" s="35">
        <f t="shared" si="129"/>
        <v>1.1439227731461168</v>
      </c>
      <c r="J78" s="35">
        <f t="shared" si="129"/>
        <v>1.3690987124463518</v>
      </c>
      <c r="K78" s="36">
        <f t="shared" si="129"/>
        <v>1.6110316649642493</v>
      </c>
      <c r="L78" s="35">
        <f t="shared" si="129"/>
        <v>1.0335655478150729</v>
      </c>
      <c r="M78" s="35">
        <f t="shared" si="129"/>
        <v>2.5786163522012577</v>
      </c>
      <c r="N78" s="35">
        <f t="shared" si="129"/>
        <v>1.6558011049723758</v>
      </c>
      <c r="O78" s="35">
        <f t="shared" si="129"/>
        <v>0.74337349397590358</v>
      </c>
      <c r="P78" s="36">
        <f t="shared" si="129"/>
        <v>1.372310238827146</v>
      </c>
      <c r="Q78" s="35">
        <f t="shared" si="129"/>
        <v>1.1069842551473557</v>
      </c>
      <c r="R78" s="35">
        <f t="shared" si="129"/>
        <v>1.9599271402550091</v>
      </c>
      <c r="S78" s="35">
        <f t="shared" si="129"/>
        <v>1.7359289039356749</v>
      </c>
      <c r="T78" s="35">
        <f t="shared" si="129"/>
        <v>0.71612149532710279</v>
      </c>
      <c r="U78" s="36">
        <f t="shared" si="129"/>
        <v>1.3001912045889101</v>
      </c>
      <c r="V78" s="35">
        <f t="shared" si="129"/>
        <v>1.0642159143787808</v>
      </c>
      <c r="W78" s="35">
        <f t="shared" si="129"/>
        <v>0.34364377974167232</v>
      </c>
      <c r="X78" s="35">
        <f t="shared" si="129"/>
        <v>-2.475578406169666</v>
      </c>
      <c r="Y78" s="35">
        <f t="shared" si="129"/>
        <v>2.6405940594059407</v>
      </c>
      <c r="Z78" s="36">
        <f t="shared" si="129"/>
        <v>6.7295597484276728</v>
      </c>
      <c r="AA78" s="35">
        <f>+AA77/AA4</f>
        <v>7.3790951638065518</v>
      </c>
      <c r="AB78" s="35">
        <f>+AB77/AB4</f>
        <v>2.3498956158663882</v>
      </c>
      <c r="AC78" s="35">
        <f>+AC77/AC4</f>
        <v>10.90343347639485</v>
      </c>
      <c r="AD78" s="35">
        <f t="shared" si="129"/>
        <v>0.50645811115061024</v>
      </c>
      <c r="AE78" s="133">
        <f t="shared" si="129"/>
        <v>1.6508667615777572</v>
      </c>
      <c r="AF78" s="35">
        <f>+AF77/AF4</f>
        <v>6.5561497326203204</v>
      </c>
      <c r="AG78" s="35">
        <f t="shared" si="129"/>
        <v>-1.2433862433862435</v>
      </c>
      <c r="AH78" s="35">
        <f t="shared" ref="AH78:AM78" si="130">+AH77/AH4</f>
        <v>3.8409090909090908</v>
      </c>
      <c r="AI78" s="35">
        <f t="shared" si="130"/>
        <v>-0.1186359269932757</v>
      </c>
      <c r="AJ78" s="133">
        <f t="shared" si="130"/>
        <v>1.0247086247086248</v>
      </c>
      <c r="AK78" s="35">
        <f t="shared" si="130"/>
        <v>2.8703703703703702</v>
      </c>
      <c r="AL78" s="35">
        <f t="shared" si="130"/>
        <v>-1.1375</v>
      </c>
      <c r="AM78" s="35">
        <f t="shared" si="130"/>
        <v>-0.87847642079806532</v>
      </c>
      <c r="AN78" s="35">
        <f t="shared" ref="AN78:AR78" si="131">+AN77/AN4</f>
        <v>-4.7224736048265461</v>
      </c>
      <c r="AO78" s="133">
        <f t="shared" si="131"/>
        <v>-0.45319612111616864</v>
      </c>
      <c r="AP78" s="35">
        <f t="shared" si="131"/>
        <v>1.8494117647058823</v>
      </c>
      <c r="AQ78" s="35">
        <f t="shared" si="131"/>
        <v>-17.308724832214764</v>
      </c>
      <c r="AR78" s="35">
        <f t="shared" si="131"/>
        <v>0.18925518925518925</v>
      </c>
      <c r="AS78" s="35">
        <f t="shared" ref="AS78:AW78" si="132">+AS77/AS4</f>
        <v>-98.333333333333329</v>
      </c>
      <c r="AT78" s="133">
        <f t="shared" si="132"/>
        <v>-1.9772524531668154</v>
      </c>
      <c r="AU78" s="35">
        <f t="shared" si="132"/>
        <v>11.067605633802817</v>
      </c>
      <c r="AV78" s="35">
        <f t="shared" si="132"/>
        <v>3.0069492703266159</v>
      </c>
      <c r="AW78" s="35">
        <f t="shared" si="132"/>
        <v>0.31681243926141883</v>
      </c>
      <c r="AX78" s="35">
        <f t="shared" ref="AX78:BB78" si="133">+AX77/AX4</f>
        <v>1.0613830613830615</v>
      </c>
      <c r="AY78" s="133">
        <f t="shared" si="133"/>
        <v>1.2097387775805224</v>
      </c>
      <c r="AZ78" s="35">
        <f t="shared" si="133"/>
        <v>73.870967741935488</v>
      </c>
      <c r="BA78" s="35">
        <f t="shared" si="133"/>
        <v>0.32679738562091504</v>
      </c>
      <c r="BB78" s="35">
        <f t="shared" si="133"/>
        <v>-4.4577636261472188E-2</v>
      </c>
      <c r="BC78" s="33">
        <f t="shared" ref="BC78:BG78" si="134">+BC77/BC4</f>
        <v>4.5620437956204379E-2</v>
      </c>
      <c r="BD78" s="36">
        <f t="shared" si="134"/>
        <v>-0.83869526362823954</v>
      </c>
      <c r="BE78" s="33">
        <f t="shared" ca="1" si="134"/>
        <v>9.7035891944859731</v>
      </c>
      <c r="BF78" s="33">
        <f t="shared" ca="1" si="134"/>
        <v>-3.7806039495788659</v>
      </c>
      <c r="BG78" s="33">
        <f t="shared" ca="1" si="134"/>
        <v>3.4740142790747233</v>
      </c>
      <c r="BH78" s="33">
        <f t="shared" ref="BH78:BI78" ca="1" si="135">+BH77/BH4</f>
        <v>5.7896024144544302</v>
      </c>
      <c r="BI78" s="36">
        <f t="shared" ca="1" si="135"/>
        <v>2.6446301423800334</v>
      </c>
    </row>
    <row r="79" spans="1:64">
      <c r="A79" s="14" t="s">
        <v>27</v>
      </c>
      <c r="B79" s="79">
        <f>+B77/Income_Statement_Qtr!B79</f>
        <v>-0.68153134202776611</v>
      </c>
      <c r="C79" s="79">
        <f>+C77/Income_Statement_Qtr!C79</f>
        <v>3.7331613642877617</v>
      </c>
      <c r="D79" s="79">
        <f>+D77/Income_Statement_Qtr!D79</f>
        <v>3.3410875254434429</v>
      </c>
      <c r="E79" s="79">
        <f>+E77/Income_Statement_Qtr!E79</f>
        <v>3.6734502923976606</v>
      </c>
      <c r="F79" s="80">
        <f>+F77/Income_Statement_Qtr!F79</f>
        <v>9.9467625899280581</v>
      </c>
      <c r="G79" s="79">
        <f>+G77/Income_Statement_Qtr!G79</f>
        <v>0.792719614921781</v>
      </c>
      <c r="H79" s="79">
        <f>+H77/Income_Statement_Qtr!H79</f>
        <v>3.9650558791122306</v>
      </c>
      <c r="I79" s="79">
        <f>+I77/Income_Statement_Qtr!I79</f>
        <v>4.1263057929724596</v>
      </c>
      <c r="J79" s="79">
        <f>+J77/Income_Statement_Qtr!J79</f>
        <v>3.5459656652360509</v>
      </c>
      <c r="K79" s="80">
        <f>+K77/Income_Statement_Qtr!K79</f>
        <v>12.268201617921594</v>
      </c>
      <c r="L79" s="79">
        <f>+L77/Income_Statement_Qtr!L79</f>
        <v>2.6305609284332689</v>
      </c>
      <c r="M79" s="79">
        <f>+M77/Income_Statement_Qtr!M79</f>
        <v>7.4067991460009859</v>
      </c>
      <c r="N79" s="79">
        <f>+N77/Income_Statement_Qtr!N79</f>
        <v>4.948811096433289</v>
      </c>
      <c r="O79" s="79">
        <f>+O77/Income_Statement_Qtr!O79</f>
        <v>4.0811204819277105</v>
      </c>
      <c r="P79" s="80">
        <f>+P77/Income_Statement_Qtr!P79</f>
        <v>19.027868852459015</v>
      </c>
      <c r="Q79" s="79">
        <f>+Q77/Income_Statement_Qtr!Q79</f>
        <v>4.5968147527242245</v>
      </c>
      <c r="R79" s="79">
        <f>+R77/Income_Statement_Qtr!R79</f>
        <v>7.3197278911564627</v>
      </c>
      <c r="S79" s="79">
        <f>+S77/Income_Statement_Qtr!S79</f>
        <v>7.0699758703895199</v>
      </c>
      <c r="T79" s="79">
        <f>+T77/Income_Statement_Qtr!T79</f>
        <v>4.2466004672897197</v>
      </c>
      <c r="U79" s="80">
        <f>+U77/Income_Statement_Qtr!U79</f>
        <v>23.228010247651579</v>
      </c>
      <c r="V79" s="79">
        <f>+V77/Income_Statement_Qtr!V79</f>
        <v>3.9996502273522214</v>
      </c>
      <c r="W79" s="79">
        <f>+W77/Income_Statement_Qtr!W79</f>
        <v>-1.7903311492828049</v>
      </c>
      <c r="X79" s="79">
        <f>+X77/Income_Statement_Qtr!X79</f>
        <v>-5.0809004572634535</v>
      </c>
      <c r="Y79" s="79">
        <f>+Y77/Income_Statement_Qtr!Y79</f>
        <v>-4.7266633663366333</v>
      </c>
      <c r="Z79" s="80">
        <f>+Z77/Income_Statement_Qtr!Z79</f>
        <v>-7.5698620445702165</v>
      </c>
      <c r="AA79" s="79">
        <f>+AA77/Income_Statement_Qtr!AA79</f>
        <v>-8.3657587548638137</v>
      </c>
      <c r="AB79" s="79">
        <f>+AB77/Income_Statement_Qtr!AB79</f>
        <v>-9.9452200035341942</v>
      </c>
      <c r="AC79" s="79">
        <f>+AC77/Income_Statement_Qtr!AC79</f>
        <v>-8.9675255912460283</v>
      </c>
      <c r="AD79" s="79">
        <f>+AD77/Income_Statement_Qtr!AD79</f>
        <v>-7.4356297842727912</v>
      </c>
      <c r="AE79" s="445">
        <f>+AE77/Income_Statement_Qtr!AE79</f>
        <v>-34.695296343556123</v>
      </c>
      <c r="AF79" s="79">
        <f>+AF77/Income_Statement_Qtr!AF79</f>
        <v>-6.2828834984625903</v>
      </c>
      <c r="AG79" s="79">
        <f>+AG77/Income_Statement_Qtr!AG79</f>
        <v>-1.1953204476093593</v>
      </c>
      <c r="AH79" s="79">
        <f>+AH77/Income_Statement_Qtr!AH79</f>
        <v>-0.86136595310907238</v>
      </c>
      <c r="AI79" s="79">
        <f>+AI77/Income_Statement_Qtr!AI79</f>
        <v>0.83686261223106906</v>
      </c>
      <c r="AJ79" s="445">
        <f>+AJ77/Income_Statement_Qtr!AJ79</f>
        <v>-7.469521260779068</v>
      </c>
      <c r="AK79" s="79">
        <f>+AK77/Income_Statement_Qtr!AK79</f>
        <v>-6.0250126753422339</v>
      </c>
      <c r="AL79" s="79">
        <f>+AL77/Income_Statement_Qtr!AL79</f>
        <v>-0.3051438535309503</v>
      </c>
      <c r="AM79" s="79">
        <f>+AM77/Income_Statement_Qtr!AM79</f>
        <v>4.8733858795908107</v>
      </c>
      <c r="AN79" s="79">
        <f>+AN77/Income_Statement_Qtr!AN79</f>
        <v>5.2279178493905496</v>
      </c>
      <c r="AO79" s="445">
        <f>+AO77/Income_Statement_Qtr!AO79</f>
        <v>3.8433458927387614</v>
      </c>
      <c r="AP79" s="79">
        <f>+AP77/Income_Statement_Qtr!AP79</f>
        <v>-1.3045643153526971</v>
      </c>
      <c r="AQ79" s="79">
        <f>+AQ77/Income_Statement_Qtr!AQ79</f>
        <v>4.259289843104872</v>
      </c>
      <c r="AR79" s="79">
        <f>+AR77/Income_Statement_Qtr!AR79</f>
        <v>-0.51054018445322791</v>
      </c>
      <c r="AS79" s="79">
        <f>+AS77/Income_Statement_Qtr!AS79</f>
        <v>4.8400328137817885</v>
      </c>
      <c r="AT79" s="445">
        <f>+AT77/Income_Statement_Qtr!AT79</f>
        <v>7.3130696581020338</v>
      </c>
      <c r="AU79" s="79">
        <f>+AU77/Income_Statement_Qtr!AU79</f>
        <v>-6.4073711676451399</v>
      </c>
      <c r="AV79" s="79">
        <f>+AV77/Income_Statement_Qtr!AV79</f>
        <v>-7.0175154070710342</v>
      </c>
      <c r="AW79" s="79">
        <f>+AW77/Income_Statement_Qtr!AW79</f>
        <v>-3.1609566903684554</v>
      </c>
      <c r="AX79" s="79">
        <f>+AX77/Income_Statement_Qtr!AX79</f>
        <v>-5.7067260827182844</v>
      </c>
      <c r="AY79" s="445">
        <f>+AY77/Income_Statement_Qtr!AY79</f>
        <v>-22.110630407911</v>
      </c>
      <c r="AZ79" s="79">
        <f>+AZ77/Income_Statement_Qtr!AZ79</f>
        <v>-3.0395540217679851</v>
      </c>
      <c r="BA79" s="79">
        <f>+BA77/Income_Statement_Qtr!BA79</f>
        <v>-0.26434047052603754</v>
      </c>
      <c r="BB79" s="79">
        <f>+BB77/Income_Statement_Qtr!BB79</f>
        <v>0.31319910514541388</v>
      </c>
      <c r="BC79" s="472">
        <f>+BC77/Income_Statement_Qtr!BC79</f>
        <v>0.4665339636725554</v>
      </c>
      <c r="BD79" s="80">
        <f>+BD77/Income_Statement_Qtr!BD79</f>
        <v>-2.462285189557917</v>
      </c>
      <c r="BE79" s="472">
        <f ca="1">+BE77/Income_Statement_Qtr!BE79</f>
        <v>-1.798343976157734</v>
      </c>
      <c r="BF79" s="472">
        <f ca="1">+BF77/Income_Statement_Qtr!BF79</f>
        <v>-0.60995975853068218</v>
      </c>
      <c r="BG79" s="472">
        <f ca="1">+BG77/Income_Statement_Qtr!BG79</f>
        <v>1.4148894277381068</v>
      </c>
      <c r="BH79" s="472">
        <f ca="1">+BH77/Income_Statement_Qtr!BH79</f>
        <v>3.6948357421432036</v>
      </c>
      <c r="BI79" s="80">
        <f ca="1">+BI77/Income_Statement_Qtr!BI79</f>
        <v>2.7014214351928936</v>
      </c>
    </row>
    <row r="80" spans="1:64">
      <c r="F80" s="27"/>
      <c r="K80" s="27"/>
      <c r="P80" s="27"/>
      <c r="U80" s="27"/>
      <c r="Z80" s="27"/>
      <c r="AE80" s="27"/>
      <c r="AJ80" s="27"/>
      <c r="AO80" s="27"/>
      <c r="AT80" s="27"/>
      <c r="AY80" s="27"/>
      <c r="BD80" s="27"/>
      <c r="BI80" s="27"/>
      <c r="BK80" s="297"/>
    </row>
    <row r="81" spans="1:61">
      <c r="A81" s="5" t="s">
        <v>79</v>
      </c>
      <c r="B81" s="77">
        <f t="shared" ref="B81:AG81" si="136">-B52-B51</f>
        <v>3139</v>
      </c>
      <c r="C81" s="77">
        <f t="shared" si="136"/>
        <v>2626</v>
      </c>
      <c r="D81" s="77">
        <f t="shared" si="136"/>
        <v>2118</v>
      </c>
      <c r="E81" s="77">
        <f t="shared" si="136"/>
        <v>1358</v>
      </c>
      <c r="F81" s="78">
        <f t="shared" si="136"/>
        <v>9241</v>
      </c>
      <c r="G81" s="77">
        <f t="shared" si="136"/>
        <v>4218</v>
      </c>
      <c r="H81" s="77">
        <f t="shared" si="136"/>
        <v>2691</v>
      </c>
      <c r="I81" s="77">
        <f t="shared" si="136"/>
        <v>1676</v>
      </c>
      <c r="J81" s="77">
        <f t="shared" si="136"/>
        <v>1172</v>
      </c>
      <c r="K81" s="78">
        <f t="shared" si="136"/>
        <v>9757</v>
      </c>
      <c r="L81" s="77">
        <f t="shared" si="136"/>
        <v>3368</v>
      </c>
      <c r="M81" s="77">
        <f t="shared" si="136"/>
        <v>3352</v>
      </c>
      <c r="N81" s="77">
        <f t="shared" si="136"/>
        <v>3355</v>
      </c>
      <c r="O81" s="77">
        <f t="shared" si="136"/>
        <v>2578</v>
      </c>
      <c r="P81" s="78">
        <f t="shared" si="136"/>
        <v>12653</v>
      </c>
      <c r="Q81" s="77">
        <f t="shared" si="136"/>
        <v>4006</v>
      </c>
      <c r="R81" s="77">
        <f t="shared" si="136"/>
        <v>3956</v>
      </c>
      <c r="S81" s="77">
        <f t="shared" si="136"/>
        <v>3429</v>
      </c>
      <c r="T81" s="77">
        <f t="shared" si="136"/>
        <v>1555</v>
      </c>
      <c r="U81" s="78">
        <f t="shared" si="136"/>
        <v>12946</v>
      </c>
      <c r="V81" s="77">
        <f t="shared" si="136"/>
        <v>3502</v>
      </c>
      <c r="W81" s="77">
        <f t="shared" si="136"/>
        <v>1466</v>
      </c>
      <c r="X81" s="77">
        <f t="shared" si="136"/>
        <v>1156</v>
      </c>
      <c r="Y81" s="77">
        <f t="shared" si="136"/>
        <v>1157</v>
      </c>
      <c r="Z81" s="78">
        <f t="shared" si="136"/>
        <v>7281</v>
      </c>
      <c r="AA81" s="77">
        <f>-AA52-AA51</f>
        <v>1158</v>
      </c>
      <c r="AB81" s="77">
        <f>-AB52-AB51</f>
        <v>0</v>
      </c>
      <c r="AC81" s="77">
        <f>-AC52-AC51</f>
        <v>0</v>
      </c>
      <c r="AD81" s="77">
        <f t="shared" si="136"/>
        <v>0</v>
      </c>
      <c r="AE81" s="78">
        <f t="shared" si="136"/>
        <v>1158</v>
      </c>
      <c r="AF81" s="77">
        <f>-AF52-AF51</f>
        <v>0</v>
      </c>
      <c r="AG81" s="77">
        <f t="shared" si="136"/>
        <v>0</v>
      </c>
      <c r="AH81" s="77">
        <f t="shared" ref="AH81:AM81" si="137">-AH52-AH51</f>
        <v>0</v>
      </c>
      <c r="AI81" s="77">
        <f t="shared" si="137"/>
        <v>0</v>
      </c>
      <c r="AJ81" s="78">
        <f t="shared" si="137"/>
        <v>0</v>
      </c>
      <c r="AK81" s="77">
        <f t="shared" si="137"/>
        <v>0</v>
      </c>
      <c r="AL81" s="77">
        <f t="shared" si="137"/>
        <v>0</v>
      </c>
      <c r="AM81" s="77">
        <f t="shared" si="137"/>
        <v>0</v>
      </c>
      <c r="AN81" s="77">
        <f t="shared" ref="AN81:AR81" si="138">-AN52-AN51</f>
        <v>0</v>
      </c>
      <c r="AO81" s="78">
        <f t="shared" si="138"/>
        <v>0</v>
      </c>
      <c r="AP81" s="77">
        <f t="shared" si="138"/>
        <v>0</v>
      </c>
      <c r="AQ81" s="77">
        <f t="shared" si="138"/>
        <v>0</v>
      </c>
      <c r="AR81" s="77">
        <f t="shared" si="138"/>
        <v>0</v>
      </c>
      <c r="AS81" s="77">
        <f t="shared" ref="AS81:AW81" si="139">-AS52-AS51</f>
        <v>0</v>
      </c>
      <c r="AT81" s="78">
        <f t="shared" si="139"/>
        <v>0</v>
      </c>
      <c r="AU81" s="77">
        <f t="shared" si="139"/>
        <v>0</v>
      </c>
      <c r="AV81" s="77">
        <f t="shared" si="139"/>
        <v>0</v>
      </c>
      <c r="AW81" s="77">
        <f t="shared" si="139"/>
        <v>0</v>
      </c>
      <c r="AX81" s="77">
        <v>0</v>
      </c>
      <c r="AY81" s="78">
        <v>0</v>
      </c>
      <c r="AZ81" s="77">
        <f t="shared" ref="AZ81:BB81" si="140">-AZ52-AZ51</f>
        <v>72</v>
      </c>
      <c r="BA81" s="77">
        <f t="shared" si="140"/>
        <v>86</v>
      </c>
      <c r="BB81" s="77">
        <f t="shared" si="140"/>
        <v>86</v>
      </c>
      <c r="BC81" s="77">
        <f t="shared" ref="BC81:BD81" si="141">-BC52-BC51</f>
        <v>87</v>
      </c>
      <c r="BD81" s="78">
        <f t="shared" si="141"/>
        <v>331</v>
      </c>
      <c r="BE81" s="77">
        <f>-BE52-BE51</f>
        <v>86.5</v>
      </c>
      <c r="BF81" s="77">
        <f>-BF52-BF51</f>
        <v>86.5</v>
      </c>
      <c r="BG81" s="77">
        <f>-BG52-BG51</f>
        <v>86.5</v>
      </c>
      <c r="BH81" s="77">
        <f t="shared" ref="BH81:BI81" si="142">-BH52-BH51</f>
        <v>86.5</v>
      </c>
      <c r="BI81" s="78">
        <f t="shared" si="142"/>
        <v>346</v>
      </c>
    </row>
    <row r="82" spans="1:61">
      <c r="A82" s="1" t="s">
        <v>80</v>
      </c>
      <c r="B82" s="35">
        <f t="shared" ref="B82:AG82" si="143">B81/B77</f>
        <v>-6.4588477366255148</v>
      </c>
      <c r="C82" s="35">
        <f t="shared" si="143"/>
        <v>1.0080614203454894</v>
      </c>
      <c r="D82" s="35">
        <f t="shared" si="143"/>
        <v>0.92167101827676245</v>
      </c>
      <c r="E82" s="35">
        <f t="shared" si="143"/>
        <v>0.54407051282051277</v>
      </c>
      <c r="F82" s="36">
        <f t="shared" si="143"/>
        <v>1.3367568349486474</v>
      </c>
      <c r="G82" s="35">
        <f t="shared" si="143"/>
        <v>8.0037950664136623</v>
      </c>
      <c r="H82" s="35">
        <f t="shared" si="143"/>
        <v>1.0682810639142517</v>
      </c>
      <c r="I82" s="35">
        <f t="shared" si="143"/>
        <v>0.64288454161871889</v>
      </c>
      <c r="J82" s="35">
        <f t="shared" si="143"/>
        <v>0.52485445588893864</v>
      </c>
      <c r="K82" s="36">
        <f t="shared" si="143"/>
        <v>1.2372558965254883</v>
      </c>
      <c r="L82" s="35">
        <f t="shared" si="143"/>
        <v>2.0637254901960786</v>
      </c>
      <c r="M82" s="35">
        <f t="shared" si="143"/>
        <v>0.74323725055432377</v>
      </c>
      <c r="N82" s="35">
        <f t="shared" si="143"/>
        <v>1.1194527861194528</v>
      </c>
      <c r="O82" s="35">
        <f t="shared" si="143"/>
        <v>1.0445705024311183</v>
      </c>
      <c r="P82" s="36">
        <f t="shared" si="143"/>
        <v>1.090118032221935</v>
      </c>
      <c r="Q82" s="35">
        <f t="shared" si="143"/>
        <v>1.4609773887673232</v>
      </c>
      <c r="R82" s="35">
        <f t="shared" si="143"/>
        <v>0.91914498141263945</v>
      </c>
      <c r="S82" s="35">
        <f t="shared" si="143"/>
        <v>0.83593369088249636</v>
      </c>
      <c r="T82" s="35">
        <f t="shared" si="143"/>
        <v>0.63417618270799347</v>
      </c>
      <c r="U82" s="36">
        <f t="shared" si="143"/>
        <v>0.95191176470588235</v>
      </c>
      <c r="V82" s="35">
        <f t="shared" si="143"/>
        <v>1.5312636641888937</v>
      </c>
      <c r="W82" s="35">
        <f t="shared" si="143"/>
        <v>-1.4500494559841741</v>
      </c>
      <c r="X82" s="35">
        <f t="shared" si="143"/>
        <v>-0.40013845621322258</v>
      </c>
      <c r="Y82" s="35">
        <f t="shared" si="143"/>
        <v>-0.43382077240344957</v>
      </c>
      <c r="Z82" s="36">
        <f t="shared" si="143"/>
        <v>-1.7011682242990653</v>
      </c>
      <c r="AA82" s="35">
        <f>AA81/AA77</f>
        <v>-0.24482029598308669</v>
      </c>
      <c r="AB82" s="35">
        <f>AB81/AB77</f>
        <v>0</v>
      </c>
      <c r="AC82" s="35">
        <f>AC81/AC77</f>
        <v>0</v>
      </c>
      <c r="AD82" s="35">
        <f t="shared" si="143"/>
        <v>0</v>
      </c>
      <c r="AE82" s="133">
        <f t="shared" si="143"/>
        <v>-5.874296149748897E-2</v>
      </c>
      <c r="AF82" s="35">
        <f>AF81/AF77</f>
        <v>0</v>
      </c>
      <c r="AG82" s="35">
        <f t="shared" si="143"/>
        <v>0</v>
      </c>
      <c r="AH82" s="35">
        <f t="shared" ref="AH82:AM82" si="144">AH81/AH77</f>
        <v>0</v>
      </c>
      <c r="AI82" s="35">
        <f t="shared" si="144"/>
        <v>0</v>
      </c>
      <c r="AJ82" s="133">
        <f t="shared" si="144"/>
        <v>0</v>
      </c>
      <c r="AK82" s="35">
        <f t="shared" si="144"/>
        <v>0</v>
      </c>
      <c r="AL82" s="35">
        <f t="shared" si="144"/>
        <v>0</v>
      </c>
      <c r="AM82" s="35">
        <f t="shared" si="144"/>
        <v>0</v>
      </c>
      <c r="AN82" s="35">
        <f t="shared" ref="AN82:AR82" si="145">AN81/AN77</f>
        <v>0</v>
      </c>
      <c r="AO82" s="133">
        <f t="shared" si="145"/>
        <v>0</v>
      </c>
      <c r="AP82" s="35">
        <f t="shared" si="145"/>
        <v>0</v>
      </c>
      <c r="AQ82" s="35">
        <f t="shared" si="145"/>
        <v>0</v>
      </c>
      <c r="AR82" s="35">
        <f t="shared" si="145"/>
        <v>0</v>
      </c>
      <c r="AS82" s="35">
        <f t="shared" ref="AS82:AW82" si="146">AS81/AS77</f>
        <v>0</v>
      </c>
      <c r="AT82" s="133">
        <f t="shared" si="146"/>
        <v>0</v>
      </c>
      <c r="AU82" s="35">
        <f t="shared" si="146"/>
        <v>0</v>
      </c>
      <c r="AV82" s="35">
        <f t="shared" si="146"/>
        <v>0</v>
      </c>
      <c r="AW82" s="35">
        <f t="shared" si="146"/>
        <v>0</v>
      </c>
      <c r="AX82" s="35">
        <f t="shared" ref="AX82:BB82" si="147">AX81/AX77</f>
        <v>0</v>
      </c>
      <c r="AY82" s="133">
        <f t="shared" si="147"/>
        <v>0</v>
      </c>
      <c r="AZ82" s="35">
        <f t="shared" si="147"/>
        <v>-3.1441048034934499E-2</v>
      </c>
      <c r="BA82" s="35">
        <f t="shared" si="147"/>
        <v>-0.43</v>
      </c>
      <c r="BB82" s="35">
        <f t="shared" si="147"/>
        <v>0.36134453781512604</v>
      </c>
      <c r="BC82" s="35">
        <f t="shared" ref="BC82:BG82" si="148">BC81/BC77</f>
        <v>0.23200000000000001</v>
      </c>
      <c r="BD82" s="36">
        <f t="shared" si="148"/>
        <v>-0.17634523175279701</v>
      </c>
      <c r="BE82" s="35">
        <f t="shared" ca="1" si="148"/>
        <v>-5.9840517561639842E-2</v>
      </c>
      <c r="BF82" s="35">
        <f t="shared" ca="1" si="148"/>
        <v>-0.17642776065484148</v>
      </c>
      <c r="BG82" s="35">
        <f t="shared" ca="1" si="148"/>
        <v>7.6058123113670772E-2</v>
      </c>
      <c r="BH82" s="35">
        <f t="shared" ref="BH82:BI82" ca="1" si="149">BH81/BH77</f>
        <v>2.9125471819950049E-2</v>
      </c>
      <c r="BI82" s="36">
        <f t="shared" ca="1" si="149"/>
        <v>0.15934401479930807</v>
      </c>
    </row>
    <row r="83" spans="1:61">
      <c r="A83" s="12"/>
      <c r="B83" s="79"/>
      <c r="C83" s="79"/>
      <c r="D83" s="79"/>
      <c r="E83" s="79"/>
      <c r="F83" s="80"/>
      <c r="G83" s="79"/>
      <c r="H83" s="79"/>
      <c r="I83" s="79"/>
      <c r="J83" s="79"/>
      <c r="K83" s="80"/>
      <c r="L83" s="79"/>
      <c r="M83" s="79"/>
      <c r="N83" s="79"/>
      <c r="O83" s="79"/>
      <c r="P83" s="80"/>
      <c r="Q83" s="79"/>
      <c r="R83" s="79"/>
      <c r="S83" s="79"/>
      <c r="T83" s="79"/>
      <c r="U83" s="80"/>
      <c r="V83" s="79"/>
      <c r="W83" s="79"/>
      <c r="X83" s="79"/>
      <c r="Y83" s="79"/>
      <c r="Z83" s="80"/>
      <c r="AA83" s="79"/>
      <c r="AB83" s="79"/>
      <c r="AC83" s="79"/>
      <c r="AD83" s="79"/>
      <c r="AE83" s="445"/>
      <c r="AF83" s="79"/>
      <c r="AG83" s="79"/>
      <c r="AH83" s="79"/>
      <c r="AI83" s="79"/>
      <c r="AJ83" s="445"/>
      <c r="AK83" s="79"/>
      <c r="AL83" s="79"/>
      <c r="AM83" s="79"/>
      <c r="AN83" s="79"/>
      <c r="AO83" s="445"/>
      <c r="AP83" s="79"/>
      <c r="AQ83" s="79"/>
      <c r="AR83" s="79"/>
      <c r="AS83" s="79"/>
      <c r="AT83" s="445"/>
      <c r="AU83" s="79"/>
      <c r="AV83" s="79"/>
      <c r="AW83" s="79"/>
      <c r="AX83" s="79"/>
      <c r="AY83" s="445"/>
      <c r="AZ83" s="79"/>
      <c r="BA83" s="79"/>
      <c r="BB83" s="79"/>
      <c r="BC83" s="79"/>
      <c r="BD83" s="80"/>
      <c r="BE83" s="79"/>
      <c r="BF83" s="79"/>
      <c r="BG83" s="79"/>
      <c r="BH83" s="79"/>
      <c r="BI83" s="80"/>
    </row>
    <row r="84" spans="1:61">
      <c r="A84" s="5" t="s">
        <v>205</v>
      </c>
      <c r="B84" s="225">
        <v>0.91</v>
      </c>
      <c r="C84" s="225">
        <v>0.91</v>
      </c>
      <c r="D84" s="225">
        <v>0.91</v>
      </c>
      <c r="E84" s="225">
        <v>1.0900000000000001</v>
      </c>
      <c r="F84" s="80">
        <f>SUM(B84:E84)</f>
        <v>3.8200000000000003</v>
      </c>
      <c r="G84" s="225">
        <v>1.0900000000000001</v>
      </c>
      <c r="H84" s="225">
        <v>1.0900000000000001</v>
      </c>
      <c r="I84" s="225">
        <v>1.0900000000000001</v>
      </c>
      <c r="J84" s="225">
        <v>1.42</v>
      </c>
      <c r="K84" s="80">
        <f>SUM(G84:J84)</f>
        <v>4.6900000000000004</v>
      </c>
      <c r="L84" s="225">
        <v>1.42</v>
      </c>
      <c r="M84" s="225">
        <v>1.42</v>
      </c>
      <c r="N84" s="225">
        <v>1.42</v>
      </c>
      <c r="O84" s="225">
        <v>1.71</v>
      </c>
      <c r="P84" s="80">
        <f>SUM(L84:O84)</f>
        <v>5.97</v>
      </c>
      <c r="Q84" s="225">
        <v>1.71</v>
      </c>
      <c r="R84" s="225">
        <v>1.71</v>
      </c>
      <c r="S84" s="225">
        <v>1.71</v>
      </c>
      <c r="T84" s="225">
        <v>2.0550000000000002</v>
      </c>
      <c r="U84" s="80">
        <f>SUM(Q84:T84)</f>
        <v>7.1850000000000005</v>
      </c>
      <c r="V84" s="225">
        <v>2.0550000000000002</v>
      </c>
      <c r="W84" s="225">
        <v>2.0550000000000002</v>
      </c>
      <c r="X84" s="225">
        <v>2.0550000000000002</v>
      </c>
      <c r="Y84" s="225">
        <v>2.0550000000000002</v>
      </c>
      <c r="Z84" s="80">
        <f>SUM(V84:Y84)</f>
        <v>8.2200000000000006</v>
      </c>
      <c r="AA84" s="225">
        <v>0</v>
      </c>
      <c r="AB84" s="225">
        <v>0</v>
      </c>
      <c r="AC84" s="225">
        <v>0</v>
      </c>
      <c r="AD84" s="225">
        <v>0</v>
      </c>
      <c r="AE84" s="445">
        <f>SUM(AA84:AD84)</f>
        <v>0</v>
      </c>
      <c r="AF84" s="427">
        <v>0</v>
      </c>
      <c r="AG84" s="225">
        <v>0</v>
      </c>
      <c r="AH84" s="427">
        <v>0</v>
      </c>
      <c r="AI84" s="225">
        <v>0</v>
      </c>
      <c r="AJ84" s="445">
        <f>SUM(AF84:AI84)</f>
        <v>0</v>
      </c>
      <c r="AK84" s="427">
        <v>0</v>
      </c>
      <c r="AL84" s="225">
        <v>0</v>
      </c>
      <c r="AM84" s="427">
        <v>0</v>
      </c>
      <c r="AN84" s="225">
        <v>0</v>
      </c>
      <c r="AO84" s="445">
        <f>SUM(AK84:AN84)</f>
        <v>0</v>
      </c>
      <c r="AP84" s="427">
        <v>0</v>
      </c>
      <c r="AQ84" s="225">
        <v>0</v>
      </c>
      <c r="AR84" s="427">
        <v>0</v>
      </c>
      <c r="AS84" s="225">
        <v>0</v>
      </c>
      <c r="AT84" s="445">
        <f>SUM(AP84:AS84)</f>
        <v>0</v>
      </c>
      <c r="AU84" s="427">
        <v>0</v>
      </c>
      <c r="AV84" s="225">
        <v>0</v>
      </c>
      <c r="AW84" s="427">
        <v>0</v>
      </c>
      <c r="AX84" s="225">
        <v>0</v>
      </c>
      <c r="AY84" s="445">
        <f>SUM(AU84:AX84)</f>
        <v>0</v>
      </c>
      <c r="AZ84" s="427">
        <v>0</v>
      </c>
      <c r="BA84" s="225">
        <v>0</v>
      </c>
      <c r="BB84" s="225">
        <v>0</v>
      </c>
      <c r="BC84" s="472">
        <f>BD84-SUM(AZ84:BB84)</f>
        <v>0</v>
      </c>
      <c r="BD84" s="248">
        <v>0</v>
      </c>
      <c r="BE84" s="41">
        <f>$BI84/4</f>
        <v>0</v>
      </c>
      <c r="BF84" s="41">
        <f>$BI84/4</f>
        <v>0</v>
      </c>
      <c r="BG84" s="41">
        <f>$BI84/4</f>
        <v>0</v>
      </c>
      <c r="BH84" s="472">
        <f>BI84-SUM(BE84:BG84)</f>
        <v>0</v>
      </c>
      <c r="BI84" s="248">
        <v>0</v>
      </c>
    </row>
    <row r="85" spans="1:61">
      <c r="A85" s="1" t="s">
        <v>4</v>
      </c>
      <c r="B85" s="35"/>
      <c r="C85" s="35"/>
      <c r="D85" s="35"/>
      <c r="E85" s="35"/>
      <c r="F85" s="36">
        <f>F84/Cash_Flow_Annual!P84-1</f>
        <v>0.23225806451612918</v>
      </c>
      <c r="G85" s="35">
        <f t="shared" ref="G85:AB85" si="150">G84/B84-1</f>
        <v>0.19780219780219777</v>
      </c>
      <c r="H85" s="35">
        <f t="shared" si="150"/>
        <v>0.19780219780219777</v>
      </c>
      <c r="I85" s="35">
        <f t="shared" si="150"/>
        <v>0.19780219780219777</v>
      </c>
      <c r="J85" s="35">
        <f t="shared" si="150"/>
        <v>0.30275229357798139</v>
      </c>
      <c r="K85" s="36">
        <f t="shared" si="150"/>
        <v>0.22774869109947637</v>
      </c>
      <c r="L85" s="35">
        <f t="shared" si="150"/>
        <v>0.30275229357798139</v>
      </c>
      <c r="M85" s="35">
        <f t="shared" si="150"/>
        <v>0.30275229357798139</v>
      </c>
      <c r="N85" s="35">
        <f t="shared" si="150"/>
        <v>0.30275229357798139</v>
      </c>
      <c r="O85" s="35">
        <f t="shared" si="150"/>
        <v>0.20422535211267601</v>
      </c>
      <c r="P85" s="36">
        <f t="shared" si="150"/>
        <v>0.27292110874200404</v>
      </c>
      <c r="Q85" s="35">
        <f t="shared" si="150"/>
        <v>0.20422535211267601</v>
      </c>
      <c r="R85" s="35">
        <f t="shared" si="150"/>
        <v>0.20422535211267601</v>
      </c>
      <c r="S85" s="35">
        <f t="shared" si="150"/>
        <v>0.20422535211267601</v>
      </c>
      <c r="T85" s="35">
        <f t="shared" si="150"/>
        <v>0.20175438596491246</v>
      </c>
      <c r="U85" s="36">
        <f t="shared" si="150"/>
        <v>0.20351758793969865</v>
      </c>
      <c r="V85" s="35">
        <f t="shared" si="150"/>
        <v>0.20175438596491246</v>
      </c>
      <c r="W85" s="35">
        <f t="shared" si="150"/>
        <v>0.20175438596491246</v>
      </c>
      <c r="X85" s="35">
        <f t="shared" si="150"/>
        <v>0.20175438596491246</v>
      </c>
      <c r="Y85" s="35">
        <f t="shared" si="150"/>
        <v>0</v>
      </c>
      <c r="Z85" s="36">
        <f t="shared" si="150"/>
        <v>0.14405010438413357</v>
      </c>
      <c r="AA85" s="35">
        <f t="shared" si="150"/>
        <v>-1</v>
      </c>
      <c r="AB85" s="35">
        <f t="shared" si="150"/>
        <v>-1</v>
      </c>
      <c r="AC85" s="35">
        <f t="shared" ref="AC85:AH85" si="151">IFERROR(AC84/X84-1,"NM")</f>
        <v>-1</v>
      </c>
      <c r="AD85" s="35">
        <f t="shared" si="151"/>
        <v>-1</v>
      </c>
      <c r="AE85" s="133">
        <f t="shared" si="151"/>
        <v>-1</v>
      </c>
      <c r="AF85" s="35" t="str">
        <f t="shared" si="151"/>
        <v>NM</v>
      </c>
      <c r="AG85" s="35" t="str">
        <f t="shared" si="151"/>
        <v>NM</v>
      </c>
      <c r="AH85" s="35" t="str">
        <f t="shared" si="151"/>
        <v>NM</v>
      </c>
      <c r="AI85" s="35" t="str">
        <f t="shared" ref="AI85:AR85" si="152">IFERROR(AI84/AD84-1,"NM")</f>
        <v>NM</v>
      </c>
      <c r="AJ85" s="133" t="str">
        <f t="shared" si="152"/>
        <v>NM</v>
      </c>
      <c r="AK85" s="35" t="str">
        <f t="shared" si="152"/>
        <v>NM</v>
      </c>
      <c r="AL85" s="35" t="str">
        <f t="shared" si="152"/>
        <v>NM</v>
      </c>
      <c r="AM85" s="35" t="str">
        <f t="shared" si="152"/>
        <v>NM</v>
      </c>
      <c r="AN85" s="35" t="str">
        <f t="shared" ref="AN85" si="153">IFERROR(AN84/AI84-1,"NM")</f>
        <v>NM</v>
      </c>
      <c r="AO85" s="133" t="str">
        <f t="shared" ref="AO85" si="154">IFERROR(AO84/AJ84-1,"NM")</f>
        <v>NM</v>
      </c>
      <c r="AP85" s="35" t="str">
        <f t="shared" si="152"/>
        <v>NM</v>
      </c>
      <c r="AQ85" s="35" t="str">
        <f t="shared" si="152"/>
        <v>NM</v>
      </c>
      <c r="AR85" s="35" t="str">
        <f t="shared" si="152"/>
        <v>NM</v>
      </c>
      <c r="AS85" s="35" t="str">
        <f t="shared" ref="AS85" si="155">IFERROR(AS84/AN84-1,"NM")</f>
        <v>NM</v>
      </c>
      <c r="AT85" s="133" t="str">
        <f t="shared" ref="AT85:AV85" si="156">IFERROR(AT84/AO84-1,"NM")</f>
        <v>NM</v>
      </c>
      <c r="AU85" s="35" t="str">
        <f t="shared" si="156"/>
        <v>NM</v>
      </c>
      <c r="AV85" s="35" t="str">
        <f t="shared" si="156"/>
        <v>NM</v>
      </c>
      <c r="AW85" s="35" t="str">
        <f t="shared" ref="AW85" si="157">IFERROR(AW84/AR84-1,"NM")</f>
        <v>NM</v>
      </c>
      <c r="AX85" s="35" t="str">
        <f t="shared" ref="AX85" si="158">IFERROR(AX84/AS84-1,"NM")</f>
        <v>NM</v>
      </c>
      <c r="AY85" s="133" t="str">
        <f t="shared" ref="AY85:BA85" si="159">IFERROR(AY84/AT84-1,"NM")</f>
        <v>NM</v>
      </c>
      <c r="AZ85" s="35" t="str">
        <f t="shared" si="159"/>
        <v>NM</v>
      </c>
      <c r="BA85" s="35" t="str">
        <f t="shared" si="159"/>
        <v>NM</v>
      </c>
      <c r="BB85" s="35" t="str">
        <f>IFERROR(BB84/AW83-1,"NM")</f>
        <v>NM</v>
      </c>
      <c r="BC85" s="35" t="str">
        <f t="shared" ref="BC85" si="160">IFERROR(BC84/AX84-1,"NM")</f>
        <v>NM</v>
      </c>
      <c r="BD85" s="36" t="str">
        <f>IFERROR(BD84/AY84-1,"NM")</f>
        <v>NM</v>
      </c>
      <c r="BE85" s="35" t="str">
        <f>IFERROR(BE84/AZ83-1,"NM")</f>
        <v>NM</v>
      </c>
      <c r="BF85" s="35" t="str">
        <f>IFERROR(BF84/BA83-1,"NM")</f>
        <v>NM</v>
      </c>
      <c r="BG85" s="35" t="str">
        <f>IFERROR(BG84/BB83-1,"NM")</f>
        <v>NM</v>
      </c>
      <c r="BH85" s="35" t="str">
        <f t="shared" ref="BH85" si="161">IFERROR(BH84/BC84-1,"NM")</f>
        <v>NM</v>
      </c>
      <c r="BI85" s="36" t="str">
        <f>IFERROR(BI84/BD84-1,"NM")</f>
        <v>NM</v>
      </c>
    </row>
    <row r="86" spans="1:61">
      <c r="A86" s="1"/>
      <c r="B86" s="41"/>
      <c r="C86" s="41"/>
      <c r="D86" s="41"/>
      <c r="E86" s="22"/>
      <c r="F86" s="43"/>
      <c r="G86" s="41"/>
      <c r="H86" s="41"/>
      <c r="I86" s="41"/>
      <c r="J86" s="22"/>
      <c r="K86" s="43"/>
      <c r="L86" s="41"/>
      <c r="M86" s="41"/>
      <c r="N86" s="41"/>
      <c r="O86" s="22"/>
      <c r="P86" s="43"/>
      <c r="Q86" s="41"/>
      <c r="R86" s="41"/>
      <c r="S86" s="41"/>
      <c r="T86" s="22"/>
      <c r="U86" s="43"/>
      <c r="V86" s="41"/>
      <c r="W86" s="41"/>
      <c r="X86" s="41"/>
      <c r="Y86" s="22"/>
      <c r="Z86" s="43"/>
      <c r="AA86" s="41"/>
      <c r="AB86" s="41"/>
      <c r="AC86" s="22"/>
      <c r="AD86" s="22"/>
      <c r="AE86" s="23"/>
      <c r="AF86" s="41"/>
      <c r="AG86" s="22"/>
      <c r="AH86" s="22"/>
      <c r="AI86" s="22"/>
      <c r="AJ86" s="23"/>
      <c r="AK86" s="41"/>
      <c r="AL86" s="22"/>
      <c r="AM86" s="22"/>
      <c r="AN86" s="22"/>
      <c r="AO86" s="23"/>
      <c r="AP86" s="41"/>
      <c r="AQ86" s="22"/>
      <c r="AR86" s="22"/>
      <c r="AS86" s="22"/>
      <c r="AT86" s="23"/>
      <c r="AU86" s="41"/>
      <c r="AV86" s="22"/>
      <c r="AW86" s="22"/>
      <c r="AX86" s="22"/>
      <c r="AY86" s="23"/>
      <c r="AZ86" s="22"/>
      <c r="BA86" s="22"/>
      <c r="BB86" s="22"/>
      <c r="BC86" s="22"/>
      <c r="BD86" s="23"/>
      <c r="BE86" s="22"/>
      <c r="BF86" s="22"/>
      <c r="BG86" s="22"/>
      <c r="BH86" s="22"/>
      <c r="BI86" s="23"/>
    </row>
    <row r="87" spans="1:61">
      <c r="A87" s="5" t="s">
        <v>238</v>
      </c>
      <c r="B87" s="41"/>
      <c r="C87" s="41"/>
      <c r="D87" s="41"/>
      <c r="E87" s="22"/>
      <c r="F87" s="43"/>
      <c r="G87" s="41"/>
      <c r="H87" s="41"/>
      <c r="I87" s="41"/>
      <c r="J87" s="22"/>
      <c r="K87" s="43"/>
      <c r="L87" s="41"/>
      <c r="M87" s="41"/>
      <c r="N87" s="41"/>
      <c r="O87" s="22"/>
      <c r="P87" s="43"/>
      <c r="Q87" s="41"/>
      <c r="R87" s="41"/>
      <c r="S87" s="41"/>
      <c r="T87" s="22"/>
      <c r="U87" s="43"/>
      <c r="V87" s="41"/>
      <c r="W87" s="41"/>
      <c r="X87" s="41"/>
      <c r="Y87" s="22"/>
      <c r="Z87" s="43"/>
      <c r="AA87" s="41"/>
      <c r="AB87" s="41"/>
      <c r="AC87" s="22"/>
      <c r="AD87" s="22"/>
      <c r="AE87" s="23"/>
      <c r="AF87" s="41"/>
      <c r="AG87" s="22"/>
      <c r="AH87" s="22"/>
      <c r="AI87" s="22"/>
      <c r="AJ87" s="23"/>
      <c r="AK87" s="41"/>
      <c r="AL87" s="22"/>
      <c r="AM87" s="22"/>
      <c r="AN87" s="22"/>
      <c r="AO87" s="23"/>
      <c r="AP87" s="41"/>
      <c r="AQ87" s="22"/>
      <c r="AR87" s="22"/>
      <c r="AS87" s="22"/>
      <c r="AT87" s="23"/>
      <c r="AU87" s="41"/>
      <c r="AV87" s="22"/>
      <c r="AW87" s="22"/>
      <c r="AX87" s="22"/>
      <c r="AY87" s="23"/>
      <c r="AZ87" s="22"/>
      <c r="BA87" s="22"/>
      <c r="BB87" s="22"/>
      <c r="BC87" s="22"/>
      <c r="BD87" s="23"/>
      <c r="BE87" s="22"/>
      <c r="BF87" s="22"/>
      <c r="BG87" s="22"/>
      <c r="BH87" s="22"/>
      <c r="BI87" s="23"/>
    </row>
    <row r="88" spans="1:61">
      <c r="A88" s="1" t="s">
        <v>238</v>
      </c>
      <c r="B88" s="22">
        <f>F88/4</f>
        <v>14.75</v>
      </c>
      <c r="C88" s="22">
        <f>(F88-B88)/3</f>
        <v>14.75</v>
      </c>
      <c r="D88" s="22">
        <f>(F88-C88-B88)/2</f>
        <v>14.75</v>
      </c>
      <c r="E88" s="22">
        <f>F88-SUM(B88:D88)</f>
        <v>14.75</v>
      </c>
      <c r="F88" s="43">
        <v>59</v>
      </c>
      <c r="G88" s="22">
        <f>K88/4</f>
        <v>28.25</v>
      </c>
      <c r="H88" s="22">
        <f>(K88-G88)/3</f>
        <v>28.25</v>
      </c>
      <c r="I88" s="22">
        <f>(K88-H88-G88)/2</f>
        <v>28.25</v>
      </c>
      <c r="J88" s="22">
        <f>K88-SUM(G88:I88)</f>
        <v>28.25</v>
      </c>
      <c r="K88" s="43">
        <v>113</v>
      </c>
      <c r="L88" s="22">
        <f>P88/4</f>
        <v>1006.25</v>
      </c>
      <c r="M88" s="22">
        <f>(P88-L88)/3</f>
        <v>1006.25</v>
      </c>
      <c r="N88" s="22">
        <f>(P88-M88-L88)/2</f>
        <v>1006.25</v>
      </c>
      <c r="O88" s="22">
        <f>P88-SUM(L88:N88)</f>
        <v>1006.25</v>
      </c>
      <c r="P88" s="43">
        <v>4025</v>
      </c>
      <c r="Q88" s="22">
        <f>U88/4</f>
        <v>4</v>
      </c>
      <c r="R88" s="22">
        <f>(U88-Q88)/3</f>
        <v>4</v>
      </c>
      <c r="S88" s="22">
        <f>(U88-R88-Q88)/2</f>
        <v>4</v>
      </c>
      <c r="T88" s="22">
        <f>U88-SUM(Q88:S88)</f>
        <v>4</v>
      </c>
      <c r="U88" s="43">
        <v>16</v>
      </c>
      <c r="V88" s="22">
        <f>Z88/4</f>
        <v>4</v>
      </c>
      <c r="W88" s="22">
        <f>(Z88-V88)/3</f>
        <v>4</v>
      </c>
      <c r="X88" s="22">
        <f>(Z88-W88-V88)/2</f>
        <v>4</v>
      </c>
      <c r="Y88" s="22">
        <f>Z88-SUM(V88:X88)</f>
        <v>4</v>
      </c>
      <c r="Z88" s="43">
        <v>16</v>
      </c>
      <c r="AA88" s="22">
        <f>-AA25</f>
        <v>179</v>
      </c>
      <c r="AB88" s="22">
        <f>-AB25</f>
        <v>178</v>
      </c>
      <c r="AC88" s="22">
        <f>(AE88-AB88-AA88)/2</f>
        <v>171.5</v>
      </c>
      <c r="AD88" s="22">
        <f>AE88-SUM(AA88:AC88)</f>
        <v>171.5</v>
      </c>
      <c r="AE88" s="43">
        <v>700</v>
      </c>
      <c r="AF88" s="22">
        <f>-AF25</f>
        <v>265</v>
      </c>
      <c r="AG88" s="22">
        <f>(AJ88-AF88)/3</f>
        <v>145</v>
      </c>
      <c r="AH88" s="22">
        <f>(AJ88-AG88-AF88)/2</f>
        <v>145</v>
      </c>
      <c r="AI88" s="22">
        <f>AJ88-SUM(AF88:AH88)</f>
        <v>145</v>
      </c>
      <c r="AJ88" s="43">
        <v>700</v>
      </c>
      <c r="AK88" s="22">
        <f>-AK25</f>
        <v>371</v>
      </c>
      <c r="AL88" s="22">
        <f t="shared" ref="AL88:AO88" si="162">-AL25</f>
        <v>324</v>
      </c>
      <c r="AM88" s="22">
        <f t="shared" si="162"/>
        <v>358</v>
      </c>
      <c r="AN88" s="22">
        <f t="shared" si="162"/>
        <v>325</v>
      </c>
      <c r="AO88" s="23">
        <f t="shared" si="162"/>
        <v>1378</v>
      </c>
      <c r="AP88" s="22">
        <f>-AP25</f>
        <v>244</v>
      </c>
      <c r="AQ88" s="22">
        <f t="shared" ref="AQ88:AS88" si="163">-AQ25</f>
        <v>276</v>
      </c>
      <c r="AR88" s="22">
        <f t="shared" si="163"/>
        <v>265</v>
      </c>
      <c r="AS88" s="22">
        <f t="shared" si="163"/>
        <v>264</v>
      </c>
      <c r="AT88" s="23">
        <f>-AT25</f>
        <v>1049</v>
      </c>
      <c r="AU88" s="22">
        <f>-AU25</f>
        <v>261</v>
      </c>
      <c r="AV88" s="22">
        <f t="shared" ref="AV88:AX88" si="164">-AV25</f>
        <v>230</v>
      </c>
      <c r="AW88" s="22">
        <f t="shared" si="164"/>
        <v>245</v>
      </c>
      <c r="AX88" s="22">
        <f t="shared" si="164"/>
        <v>223</v>
      </c>
      <c r="AY88" s="23">
        <f>-AY25</f>
        <v>959</v>
      </c>
      <c r="AZ88" s="22">
        <f>-AZ25</f>
        <v>150</v>
      </c>
      <c r="BA88" s="22">
        <f t="shared" ref="BA88:BB88" si="165">-BA25</f>
        <v>142</v>
      </c>
      <c r="BB88" s="22">
        <f t="shared" si="165"/>
        <v>144</v>
      </c>
      <c r="BC88" s="22">
        <f>BD88-SUM(AZ88:BB88)</f>
        <v>214</v>
      </c>
      <c r="BD88" s="43">
        <v>650</v>
      </c>
      <c r="BE88" s="41">
        <f t="shared" ref="BE88:BG89" si="166">$BI88/4</f>
        <v>125</v>
      </c>
      <c r="BF88" s="41">
        <f t="shared" si="166"/>
        <v>125</v>
      </c>
      <c r="BG88" s="41">
        <f t="shared" si="166"/>
        <v>125</v>
      </c>
      <c r="BH88" s="22">
        <f>BI88-SUM(BE88:BG88)</f>
        <v>125</v>
      </c>
      <c r="BI88" s="43">
        <v>500</v>
      </c>
    </row>
    <row r="89" spans="1:61">
      <c r="A89" s="1" t="s">
        <v>340</v>
      </c>
      <c r="B89" s="22">
        <f>F89/4</f>
        <v>1.25</v>
      </c>
      <c r="C89" s="22">
        <f>(F89-B89)/3</f>
        <v>1.25</v>
      </c>
      <c r="D89" s="22">
        <f>(F89-C89-B89)/2</f>
        <v>1.25</v>
      </c>
      <c r="E89" s="22">
        <f>F89-SUM(B89:D89)</f>
        <v>1.25</v>
      </c>
      <c r="F89" s="43">
        <v>5</v>
      </c>
      <c r="G89" s="22">
        <f>K89/4</f>
        <v>1.5</v>
      </c>
      <c r="H89" s="22">
        <f>(K89-G89)/3</f>
        <v>1.5</v>
      </c>
      <c r="I89" s="22">
        <f>(K89-H89-G89)/2</f>
        <v>1.5</v>
      </c>
      <c r="J89" s="22">
        <f>K89-SUM(G89:I89)</f>
        <v>1.5</v>
      </c>
      <c r="K89" s="43">
        <v>6</v>
      </c>
      <c r="L89" s="22">
        <f>P89/4</f>
        <v>1.5</v>
      </c>
      <c r="M89" s="22">
        <f>(P89-L89)/3</f>
        <v>1.5</v>
      </c>
      <c r="N89" s="22">
        <f>(P89-M89-L89)/2</f>
        <v>1.5</v>
      </c>
      <c r="O89" s="22">
        <f>P89-SUM(L89:N89)</f>
        <v>1.5</v>
      </c>
      <c r="P89" s="43">
        <v>6</v>
      </c>
      <c r="Q89" s="22">
        <f>U89/4</f>
        <v>0.5</v>
      </c>
      <c r="R89" s="22">
        <f>(U89-Q89)/3</f>
        <v>0.5</v>
      </c>
      <c r="S89" s="22">
        <f>(U89-R89-Q89)/2</f>
        <v>0.5</v>
      </c>
      <c r="T89" s="22">
        <f>U89-SUM(Q89:S89)</f>
        <v>0.5</v>
      </c>
      <c r="U89" s="43">
        <v>2</v>
      </c>
      <c r="V89" s="22">
        <f>Z89/4</f>
        <v>0.25</v>
      </c>
      <c r="W89" s="22">
        <f>(Z89-V89)/3</f>
        <v>0.25</v>
      </c>
      <c r="X89" s="22">
        <f>(Z89-W89-V89)/2</f>
        <v>0.25</v>
      </c>
      <c r="Y89" s="22">
        <f>Z89-SUM(V89:X89)</f>
        <v>0.25</v>
      </c>
      <c r="Z89" s="43">
        <v>1</v>
      </c>
      <c r="AA89" s="22">
        <f>AE89/4</f>
        <v>5</v>
      </c>
      <c r="AB89" s="22">
        <f>(AE89-AA89)/3</f>
        <v>5</v>
      </c>
      <c r="AC89" s="22">
        <f>(AE89-AB89-AA89)/2</f>
        <v>5</v>
      </c>
      <c r="AD89" s="22">
        <f>AE89-SUM(AA89:AC89)</f>
        <v>5</v>
      </c>
      <c r="AE89" s="43">
        <v>20</v>
      </c>
      <c r="AF89" s="22">
        <f>AJ89/4</f>
        <v>5</v>
      </c>
      <c r="AG89" s="22">
        <f>(AJ89-AF89)/3</f>
        <v>5</v>
      </c>
      <c r="AH89" s="22">
        <f>(AJ89-AG89-AF89)/2</f>
        <v>5</v>
      </c>
      <c r="AI89" s="22">
        <f>AJ89-SUM(AF89:AH89)</f>
        <v>5</v>
      </c>
      <c r="AJ89" s="43">
        <v>20</v>
      </c>
      <c r="AK89" s="22">
        <f>AO89/4</f>
        <v>5</v>
      </c>
      <c r="AL89" s="22">
        <f>(AO89-AK89)/3</f>
        <v>5</v>
      </c>
      <c r="AM89" s="22">
        <f>(AO89-AL89-AK89)/2</f>
        <v>5</v>
      </c>
      <c r="AN89" s="22">
        <f>AO89-SUM(AK89:AM89)</f>
        <v>5</v>
      </c>
      <c r="AO89" s="43">
        <v>20</v>
      </c>
      <c r="AP89" s="22">
        <f>AT89/4</f>
        <v>5</v>
      </c>
      <c r="AQ89" s="22">
        <f>(AT89-AP89)/3</f>
        <v>5</v>
      </c>
      <c r="AR89" s="22">
        <f>(AT89-AQ89-AP89)/2</f>
        <v>5</v>
      </c>
      <c r="AS89" s="22">
        <f>AT89-SUM(AP89:AR89)</f>
        <v>5</v>
      </c>
      <c r="AT89" s="422">
        <v>20</v>
      </c>
      <c r="AU89" s="22">
        <f>AY89/4</f>
        <v>5</v>
      </c>
      <c r="AV89" s="22">
        <f>(AY89-AU89)/3</f>
        <v>5</v>
      </c>
      <c r="AW89" s="22">
        <f>(AY89-AV89-AU89)/2</f>
        <v>5</v>
      </c>
      <c r="AX89" s="22">
        <f>AY89-SUM(AU89:AW89)</f>
        <v>5</v>
      </c>
      <c r="AY89" s="422">
        <v>20</v>
      </c>
      <c r="AZ89" s="22">
        <f>BD89/4</f>
        <v>5</v>
      </c>
      <c r="BA89" s="22">
        <f>(BD89-AZ89)/3</f>
        <v>5</v>
      </c>
      <c r="BB89" s="22">
        <f>(BJ89-BA89)/3</f>
        <v>-1.6666666666666667</v>
      </c>
      <c r="BC89" s="22">
        <f t="shared" ref="BC89" si="167">$AY89/4</f>
        <v>5</v>
      </c>
      <c r="BD89" s="43">
        <v>20</v>
      </c>
      <c r="BE89" s="41">
        <f t="shared" si="166"/>
        <v>5</v>
      </c>
      <c r="BF89" s="41">
        <f t="shared" si="166"/>
        <v>5</v>
      </c>
      <c r="BG89" s="41">
        <f t="shared" si="166"/>
        <v>5</v>
      </c>
      <c r="BH89" s="22">
        <f t="shared" ref="BH89" si="168">$AY89/4</f>
        <v>5</v>
      </c>
      <c r="BI89" s="43">
        <v>20</v>
      </c>
    </row>
    <row r="90" spans="1:61">
      <c r="AZ90" s="22"/>
      <c r="BA90" s="22"/>
      <c r="BB90" s="22"/>
      <c r="BE90" s="22"/>
      <c r="BF90" s="22"/>
      <c r="BG90" s="22"/>
    </row>
    <row r="111" customFormat="1"/>
  </sheetData>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1"/>
  <dimension ref="A1:AI204"/>
  <sheetViews>
    <sheetView showGridLines="0" zoomScale="80" zoomScaleNormal="80" workbookViewId="0">
      <pane xSplit="1" ySplit="2" topLeftCell="W168" activePane="bottomRight" state="frozen"/>
      <selection activeCell="AD59" sqref="AD59"/>
      <selection pane="topRight" activeCell="AD59" sqref="AD59"/>
      <selection pane="bottomLeft" activeCell="AD59" sqref="AD59"/>
      <selection pane="bottomRight" activeCell="AE202" sqref="AE202"/>
    </sheetView>
  </sheetViews>
  <sheetFormatPr defaultRowHeight="14.5" outlineLevelCol="1"/>
  <cols>
    <col min="1" max="1" width="48" customWidth="1"/>
    <col min="2" max="18" width="12.1796875" style="26" hidden="1" customWidth="1" outlineLevel="1"/>
    <col min="19" max="19" width="12.1796875" style="26" customWidth="1" collapsed="1"/>
    <col min="20" max="27" width="12.1796875" style="26" customWidth="1"/>
    <col min="28" max="32" width="13.1796875" customWidth="1"/>
  </cols>
  <sheetData>
    <row r="1" spans="1:32">
      <c r="A1" s="15" t="s">
        <v>197</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row>
    <row r="2" spans="1:32">
      <c r="B2" s="103" t="str">
        <f>Income_Statement_Annual!B2</f>
        <v>CY2000A</v>
      </c>
      <c r="C2" s="103" t="str">
        <f>Income_Statement_Annual!C2</f>
        <v>CY2001A</v>
      </c>
      <c r="D2" s="103" t="str">
        <f>Income_Statement_Annual!D2</f>
        <v>CY2002A</v>
      </c>
      <c r="E2" s="103" t="str">
        <f>Income_Statement_Annual!E2</f>
        <v>CY2003A</v>
      </c>
      <c r="F2" s="103" t="str">
        <f>Income_Statement_Annual!F2</f>
        <v>CY2004A</v>
      </c>
      <c r="G2" s="103" t="str">
        <f>Income_Statement_Annual!G2</f>
        <v>CY2005A</v>
      </c>
      <c r="H2" s="103" t="str">
        <f>Income_Statement_Annual!H2</f>
        <v>CY2006A</v>
      </c>
      <c r="I2" s="103" t="str">
        <f>Income_Statement_Annual!I2</f>
        <v>CY2007A</v>
      </c>
      <c r="J2" s="103" t="str">
        <f>Income_Statement_Annual!J2</f>
        <v>CY2008A</v>
      </c>
      <c r="K2" s="103" t="str">
        <f>Income_Statement_Annual!K2</f>
        <v>CY2009A</v>
      </c>
      <c r="L2" s="103" t="str">
        <f>Income_Statement_Annual!L2</f>
        <v>CY2010A</v>
      </c>
      <c r="M2" s="103" t="str">
        <f>Income_Statement_Annual!M2</f>
        <v>CY2011A</v>
      </c>
      <c r="N2" s="103" t="str">
        <f>Income_Statement_Annual!N2</f>
        <v>CY2012A</v>
      </c>
      <c r="O2" s="103" t="str">
        <f>Income_Statement_Annual!O2</f>
        <v>CY2013A</v>
      </c>
      <c r="P2" s="103" t="str">
        <f>Income_Statement_Annual!P2</f>
        <v>CY2014A</v>
      </c>
      <c r="Q2" s="101" t="str">
        <f>Income_Statement_Annual!Q2</f>
        <v>CY2015A</v>
      </c>
      <c r="R2" s="101" t="str">
        <f>Income_Statement_Annual!R2</f>
        <v>CY2016A</v>
      </c>
      <c r="S2" s="101" t="str">
        <f>Income_Statement_Annual!S2</f>
        <v>CY2017A</v>
      </c>
      <c r="T2" s="101" t="str">
        <f>Income_Statement_Annual!T2</f>
        <v>CY2018A</v>
      </c>
      <c r="U2" s="103" t="str">
        <f>Income_Statement_Annual!U2</f>
        <v>CY2019A</v>
      </c>
      <c r="V2" s="101" t="str">
        <f>Income_Statement_Annual!V2</f>
        <v>CY2020A</v>
      </c>
      <c r="W2" s="101" t="str">
        <f>Income_Statement_Annual!W2</f>
        <v>CY2021A</v>
      </c>
      <c r="X2" s="101" t="str">
        <f>Income_Statement_Annual!X2</f>
        <v>CY2022A</v>
      </c>
      <c r="Y2" s="101" t="str">
        <f>Income_Statement_Annual!Y2</f>
        <v>CY2023A</v>
      </c>
      <c r="Z2" s="103" t="str">
        <f>Income_Statement_Annual!Z2</f>
        <v>CY2024A</v>
      </c>
      <c r="AA2" s="101" t="str">
        <f>Income_Statement_Annual!AA2</f>
        <v>CY2025A</v>
      </c>
      <c r="AB2" s="101" t="str">
        <f>Income_Statement_Annual!AB2</f>
        <v>CY2026E</v>
      </c>
      <c r="AC2" s="101" t="str">
        <f>Income_Statement_Annual!AC2</f>
        <v>CY2027E</v>
      </c>
      <c r="AD2" s="101" t="str">
        <f>Income_Statement_Annual!AD2</f>
        <v>CY2028E</v>
      </c>
      <c r="AE2" s="101" t="str">
        <f>Income_Statement_Annual!AE2</f>
        <v>CY2029E</v>
      </c>
      <c r="AF2" s="101" t="str">
        <f>Income_Statement_Annual!AF2</f>
        <v>CY2030E</v>
      </c>
    </row>
    <row r="3" spans="1:32">
      <c r="A3" s="9" t="s">
        <v>198</v>
      </c>
      <c r="B3" s="121"/>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row>
    <row r="4" spans="1:32" s="26" customFormat="1">
      <c r="A4" s="3" t="str">
        <f>'Debt_Qtr '!A4</f>
        <v>0.95% due May 2018</v>
      </c>
      <c r="B4" s="43"/>
      <c r="C4" s="43"/>
      <c r="D4" s="43"/>
      <c r="E4" s="43"/>
      <c r="F4" s="43"/>
      <c r="G4" s="43"/>
      <c r="H4" s="43"/>
      <c r="I4" s="43"/>
      <c r="J4" s="43"/>
      <c r="K4" s="43"/>
      <c r="L4" s="43"/>
      <c r="M4" s="43"/>
      <c r="N4" s="43"/>
      <c r="O4" s="43"/>
      <c r="P4" s="43"/>
      <c r="Q4" s="43"/>
      <c r="R4" s="43"/>
      <c r="S4" s="38">
        <f>'Debt_Qtr '!P4</f>
        <v>350</v>
      </c>
      <c r="T4" s="38">
        <f>'Debt_Qtr '!U4</f>
        <v>0</v>
      </c>
      <c r="U4" s="38">
        <f>'Debt_Qtr '!Z4</f>
        <v>0</v>
      </c>
      <c r="V4" s="38">
        <f>'Debt_Qtr '!AE4</f>
        <v>0</v>
      </c>
      <c r="W4" s="38">
        <f>'Debt_Qtr '!AJ4</f>
        <v>0</v>
      </c>
      <c r="X4" s="38">
        <f>'Debt_Qtr '!AO4</f>
        <v>0</v>
      </c>
      <c r="Y4" s="38">
        <f>'Debt_Qtr '!AT4</f>
        <v>0</v>
      </c>
      <c r="Z4" s="38">
        <f>'Debt_Qtr '!AY4</f>
        <v>0</v>
      </c>
      <c r="AA4" s="38">
        <f>'Debt_Qtr '!BD4</f>
        <v>0</v>
      </c>
      <c r="AB4" s="38">
        <f>'Debt_Qtr '!BI4</f>
        <v>0</v>
      </c>
      <c r="AC4" s="43">
        <f>AB4</f>
        <v>0</v>
      </c>
      <c r="AD4" s="43">
        <f>AC4</f>
        <v>0</v>
      </c>
      <c r="AE4" s="43">
        <f>AD4</f>
        <v>0</v>
      </c>
      <c r="AF4" s="43">
        <f>AE4</f>
        <v>0</v>
      </c>
    </row>
    <row r="5" spans="1:32" s="26" customFormat="1">
      <c r="A5" s="3" t="s">
        <v>585</v>
      </c>
      <c r="B5" s="43"/>
      <c r="C5" s="43"/>
      <c r="D5" s="43"/>
      <c r="E5" s="43"/>
      <c r="F5" s="43"/>
      <c r="G5" s="43"/>
      <c r="H5" s="43"/>
      <c r="I5" s="43"/>
      <c r="J5" s="43"/>
      <c r="K5" s="43"/>
      <c r="L5" s="43"/>
      <c r="M5" s="43"/>
      <c r="N5" s="43"/>
      <c r="O5" s="43"/>
      <c r="P5" s="43"/>
      <c r="Q5" s="43"/>
      <c r="R5" s="43"/>
      <c r="S5" s="38"/>
      <c r="T5" s="38"/>
      <c r="U5" s="38"/>
      <c r="V5" s="38"/>
      <c r="W5" s="38">
        <v>3000</v>
      </c>
      <c r="X5" s="38">
        <f>'Debt_Qtr '!AO5</f>
        <v>3000</v>
      </c>
      <c r="Y5" s="38">
        <f>'Debt_Qtr '!AT5</f>
        <v>0</v>
      </c>
      <c r="Z5" s="38">
        <f>'Debt_Qtr '!AY5</f>
        <v>0</v>
      </c>
      <c r="AA5" s="38">
        <f>'Debt_Qtr '!BD5</f>
        <v>0</v>
      </c>
      <c r="AB5" s="38">
        <f>'Debt_Qtr '!BI5</f>
        <v>0</v>
      </c>
      <c r="AC5" s="43"/>
      <c r="AD5" s="43"/>
      <c r="AE5" s="43"/>
      <c r="AF5" s="43"/>
    </row>
    <row r="6" spans="1:32" s="26" customFormat="1">
      <c r="A6" s="3" t="str">
        <f>'Debt_Qtr '!A6</f>
        <v>1.65% due Oct 2020</v>
      </c>
      <c r="B6" s="43"/>
      <c r="C6" s="43"/>
      <c r="D6" s="43"/>
      <c r="E6" s="43"/>
      <c r="F6" s="43"/>
      <c r="G6" s="43"/>
      <c r="H6" s="43"/>
      <c r="I6" s="43"/>
      <c r="J6" s="43"/>
      <c r="K6" s="43"/>
      <c r="L6" s="43"/>
      <c r="M6" s="43"/>
      <c r="N6" s="43"/>
      <c r="O6" s="43"/>
      <c r="P6" s="43"/>
      <c r="Q6" s="43"/>
      <c r="R6" s="43"/>
      <c r="S6" s="38">
        <f>'Debt_Qtr '!P6</f>
        <v>350</v>
      </c>
      <c r="T6" s="38">
        <f>'Debt_Qtr '!U6</f>
        <v>350</v>
      </c>
      <c r="U6" s="38">
        <f>'Debt_Qtr '!Z6</f>
        <v>350</v>
      </c>
      <c r="V6" s="38">
        <f>'Debt_Qtr '!AE6</f>
        <v>0</v>
      </c>
      <c r="W6" s="38">
        <f>'Debt_Qtr '!AJ6</f>
        <v>0</v>
      </c>
      <c r="X6" s="38">
        <f>'Debt_Qtr '!AO6</f>
        <v>0</v>
      </c>
      <c r="Y6" s="38">
        <f>'Debt_Qtr '!AT6</f>
        <v>0</v>
      </c>
      <c r="Z6" s="38">
        <f>'Debt_Qtr '!AY6</f>
        <v>0</v>
      </c>
      <c r="AA6" s="38">
        <f>'Debt_Qtr '!BD6</f>
        <v>0</v>
      </c>
      <c r="AB6" s="38">
        <f>'Debt_Qtr '!BI6</f>
        <v>0</v>
      </c>
      <c r="AC6" s="43">
        <f>AB6</f>
        <v>0</v>
      </c>
      <c r="AD6" s="43">
        <f>AC6</f>
        <v>0</v>
      </c>
      <c r="AE6" s="43">
        <f>AD6</f>
        <v>0</v>
      </c>
      <c r="AF6" s="43">
        <f>AE6</f>
        <v>0</v>
      </c>
    </row>
    <row r="7" spans="1:32" s="26" customFormat="1">
      <c r="A7" s="428" t="s">
        <v>586</v>
      </c>
      <c r="B7" s="43"/>
      <c r="C7" s="43"/>
      <c r="D7" s="43"/>
      <c r="E7" s="43"/>
      <c r="F7" s="43"/>
      <c r="G7" s="43"/>
      <c r="H7" s="43"/>
      <c r="I7" s="43"/>
      <c r="J7" s="43"/>
      <c r="K7" s="43"/>
      <c r="L7" s="43"/>
      <c r="M7" s="43"/>
      <c r="N7" s="43"/>
      <c r="O7" s="43"/>
      <c r="P7" s="43"/>
      <c r="Q7" s="43"/>
      <c r="R7" s="43"/>
      <c r="S7" s="38"/>
      <c r="T7" s="38"/>
      <c r="U7" s="38"/>
      <c r="V7" s="38"/>
      <c r="W7" s="38">
        <v>1325</v>
      </c>
      <c r="X7" s="38">
        <f>'Debt_Qtr '!AO7</f>
        <v>1325</v>
      </c>
      <c r="Y7" s="38">
        <f>'Debt_Qtr '!AT7</f>
        <v>0</v>
      </c>
      <c r="Z7" s="38">
        <f>'Debt_Qtr '!AY7</f>
        <v>0</v>
      </c>
      <c r="AA7" s="38">
        <f>'Debt_Qtr '!BD7</f>
        <v>0</v>
      </c>
      <c r="AB7" s="38">
        <f>'Debt_Qtr '!BI7</f>
        <v>0</v>
      </c>
      <c r="AC7" s="43">
        <v>0</v>
      </c>
      <c r="AD7" s="43">
        <v>0</v>
      </c>
      <c r="AE7" s="43">
        <v>0</v>
      </c>
      <c r="AF7" s="43">
        <v>0</v>
      </c>
    </row>
    <row r="8" spans="1:32" s="26" customFormat="1">
      <c r="A8" s="3" t="str">
        <f>'Debt_Qtr '!A8</f>
        <v>1.875% due June 2023</v>
      </c>
      <c r="B8" s="43"/>
      <c r="C8" s="43"/>
      <c r="D8" s="43"/>
      <c r="E8" s="43"/>
      <c r="F8" s="43"/>
      <c r="G8" s="43"/>
      <c r="H8" s="43"/>
      <c r="I8" s="43"/>
      <c r="J8" s="43"/>
      <c r="K8" s="43"/>
      <c r="L8" s="43"/>
      <c r="M8" s="43"/>
      <c r="N8" s="43"/>
      <c r="O8" s="43"/>
      <c r="P8" s="43"/>
      <c r="Q8" s="43"/>
      <c r="R8" s="43"/>
      <c r="S8" s="38">
        <f>'Debt_Qtr '!P8</f>
        <v>400</v>
      </c>
      <c r="T8" s="38">
        <f>'Debt_Qtr '!U8</f>
        <v>400</v>
      </c>
      <c r="U8" s="38">
        <f>'Debt_Qtr '!Z8</f>
        <v>400</v>
      </c>
      <c r="V8" s="38">
        <f>'Debt_Qtr '!AE8</f>
        <v>400</v>
      </c>
      <c r="W8" s="38">
        <f>'Debt_Qtr '!AJ8</f>
        <v>400</v>
      </c>
      <c r="X8" s="38">
        <f>'Debt_Qtr '!AO8</f>
        <v>400</v>
      </c>
      <c r="Y8" s="38">
        <f>'Debt_Qtr '!AT8</f>
        <v>0</v>
      </c>
      <c r="Z8" s="38">
        <f>'Debt_Qtr '!AY8</f>
        <v>0</v>
      </c>
      <c r="AA8" s="38">
        <f>'Debt_Qtr '!BD8</f>
        <v>0</v>
      </c>
      <c r="AB8" s="38">
        <f>'Debt_Qtr '!BI8</f>
        <v>0</v>
      </c>
      <c r="AC8" s="43">
        <f t="shared" ref="AC8:AF9" si="0">AB8</f>
        <v>0</v>
      </c>
      <c r="AD8" s="43">
        <f t="shared" si="0"/>
        <v>0</v>
      </c>
      <c r="AE8" s="43">
        <f t="shared" si="0"/>
        <v>0</v>
      </c>
      <c r="AF8" s="43">
        <f t="shared" si="0"/>
        <v>0</v>
      </c>
    </row>
    <row r="9" spans="1:32" s="26" customFormat="1">
      <c r="A9" s="3" t="str">
        <f>'Debt_Qtr '!A9</f>
        <v>2.125% due March 2022</v>
      </c>
      <c r="B9" s="43"/>
      <c r="C9" s="43"/>
      <c r="D9" s="43"/>
      <c r="E9" s="43"/>
      <c r="F9" s="43"/>
      <c r="G9" s="43"/>
      <c r="H9" s="43"/>
      <c r="I9" s="43"/>
      <c r="J9" s="43"/>
      <c r="K9" s="43"/>
      <c r="L9" s="43"/>
      <c r="M9" s="43"/>
      <c r="N9" s="43"/>
      <c r="O9" s="43"/>
      <c r="P9" s="43"/>
      <c r="Q9" s="43"/>
      <c r="R9" s="43"/>
      <c r="S9" s="38">
        <f>'Debt_Qtr '!P9</f>
        <v>300</v>
      </c>
      <c r="T9" s="38">
        <f>'Debt_Qtr '!U9</f>
        <v>300</v>
      </c>
      <c r="U9" s="38">
        <f>'Debt_Qtr '!Z9</f>
        <v>300</v>
      </c>
      <c r="V9" s="38">
        <f>'Debt_Qtr '!AE9</f>
        <v>300</v>
      </c>
      <c r="W9" s="38">
        <f>'Debt_Qtr '!AJ9</f>
        <v>300</v>
      </c>
      <c r="X9" s="38">
        <f>'Debt_Qtr '!AO9</f>
        <v>0</v>
      </c>
      <c r="Y9" s="38">
        <f>'Debt_Qtr '!AT9</f>
        <v>0</v>
      </c>
      <c r="Z9" s="38">
        <f>'Debt_Qtr '!AY9</f>
        <v>0</v>
      </c>
      <c r="AA9" s="38">
        <f>'Debt_Qtr '!BD9</f>
        <v>0</v>
      </c>
      <c r="AB9" s="38">
        <f>'Debt_Qtr '!BI9</f>
        <v>0</v>
      </c>
      <c r="AC9" s="43">
        <f t="shared" si="0"/>
        <v>0</v>
      </c>
      <c r="AD9" s="43">
        <f t="shared" si="0"/>
        <v>0</v>
      </c>
      <c r="AE9" s="43">
        <f t="shared" si="0"/>
        <v>0</v>
      </c>
      <c r="AF9" s="43">
        <f t="shared" si="0"/>
        <v>0</v>
      </c>
    </row>
    <row r="10" spans="1:32" s="26" customFormat="1">
      <c r="A10" s="3" t="s">
        <v>587</v>
      </c>
      <c r="B10" s="43"/>
      <c r="C10" s="43"/>
      <c r="D10" s="43"/>
      <c r="E10" s="43"/>
      <c r="F10" s="43"/>
      <c r="G10" s="43"/>
      <c r="H10" s="43"/>
      <c r="I10" s="43"/>
      <c r="J10" s="43"/>
      <c r="K10" s="43"/>
      <c r="L10" s="43"/>
      <c r="M10" s="43"/>
      <c r="N10" s="43"/>
      <c r="O10" s="43"/>
      <c r="P10" s="43"/>
      <c r="Q10" s="43"/>
      <c r="R10" s="43"/>
      <c r="S10" s="38"/>
      <c r="T10" s="38"/>
      <c r="U10" s="38"/>
      <c r="V10" s="38"/>
      <c r="W10" s="38">
        <v>5500</v>
      </c>
      <c r="X10" s="38">
        <f>'Debt_Qtr '!AO10</f>
        <v>5500</v>
      </c>
      <c r="Y10" s="38">
        <f>'Debt_Qtr '!AT10</f>
        <v>5500</v>
      </c>
      <c r="Z10" s="38">
        <f>'Debt_Qtr '!AY10</f>
        <v>5500</v>
      </c>
      <c r="AA10" s="38">
        <f>'Debt_Qtr '!BD10</f>
        <v>5500</v>
      </c>
      <c r="AB10" s="38">
        <f>'Debt_Qtr '!BI10</f>
        <v>3500</v>
      </c>
      <c r="AC10" s="43">
        <v>0</v>
      </c>
      <c r="AD10" s="43">
        <v>0</v>
      </c>
      <c r="AE10" s="43">
        <v>0</v>
      </c>
      <c r="AF10" s="43">
        <v>0</v>
      </c>
    </row>
    <row r="11" spans="1:32" s="26" customFormat="1">
      <c r="A11" s="3" t="str">
        <f>'Debt_Qtr '!A11</f>
        <v>2.2% due Oct 2022</v>
      </c>
      <c r="B11" s="43"/>
      <c r="C11" s="43"/>
      <c r="D11" s="43"/>
      <c r="E11" s="43"/>
      <c r="F11" s="43"/>
      <c r="G11" s="43"/>
      <c r="H11" s="43"/>
      <c r="I11" s="43"/>
      <c r="J11" s="43"/>
      <c r="K11" s="43"/>
      <c r="L11" s="43"/>
      <c r="M11" s="43"/>
      <c r="N11" s="43"/>
      <c r="O11" s="43"/>
      <c r="P11" s="43"/>
      <c r="Q11" s="43"/>
      <c r="R11" s="43"/>
      <c r="S11" s="38">
        <f>'Debt_Qtr '!P11</f>
        <v>250</v>
      </c>
      <c r="T11" s="38">
        <f>'Debt_Qtr '!U11</f>
        <v>250</v>
      </c>
      <c r="U11" s="38">
        <f>'Debt_Qtr '!Z11</f>
        <v>250</v>
      </c>
      <c r="V11" s="38">
        <f>'Debt_Qtr '!AE11</f>
        <v>250</v>
      </c>
      <c r="W11" s="38">
        <f>'Debt_Qtr '!AJ11</f>
        <v>250</v>
      </c>
      <c r="X11" s="38">
        <f>'Debt_Qtr '!AO11</f>
        <v>0</v>
      </c>
      <c r="Y11" s="38">
        <f>'Debt_Qtr '!AT11</f>
        <v>0</v>
      </c>
      <c r="Z11" s="38">
        <f>'Debt_Qtr '!AY11</f>
        <v>0</v>
      </c>
      <c r="AA11" s="38">
        <f>'Debt_Qtr '!BD11</f>
        <v>0</v>
      </c>
      <c r="AB11" s="38">
        <f>'Debt_Qtr '!BI11</f>
        <v>0</v>
      </c>
      <c r="AC11" s="43">
        <f>AB11</f>
        <v>0</v>
      </c>
      <c r="AD11" s="43">
        <f>AC11</f>
        <v>0</v>
      </c>
      <c r="AE11" s="43">
        <f>AD11</f>
        <v>0</v>
      </c>
      <c r="AF11" s="43">
        <f>AE11</f>
        <v>0</v>
      </c>
    </row>
    <row r="12" spans="1:32" s="26" customFormat="1">
      <c r="A12" s="3" t="str">
        <f>'Debt_Qtr '!A12</f>
        <v>2.25% due June 2026</v>
      </c>
      <c r="B12" s="43"/>
      <c r="C12" s="43"/>
      <c r="D12" s="43"/>
      <c r="E12" s="43"/>
      <c r="F12" s="43"/>
      <c r="G12" s="43"/>
      <c r="H12" s="43"/>
      <c r="I12" s="43"/>
      <c r="J12" s="43"/>
      <c r="K12" s="43"/>
      <c r="L12" s="43"/>
      <c r="M12" s="43"/>
      <c r="N12" s="43"/>
      <c r="O12" s="43"/>
      <c r="P12" s="43"/>
      <c r="Q12" s="43"/>
      <c r="R12" s="43"/>
      <c r="S12" s="38">
        <f>'Debt_Qtr '!P12</f>
        <v>400</v>
      </c>
      <c r="T12" s="38">
        <f>'Debt_Qtr '!U12</f>
        <v>400</v>
      </c>
      <c r="U12" s="38">
        <f>'Debt_Qtr '!Z12</f>
        <v>400</v>
      </c>
      <c r="V12" s="38">
        <f>'Debt_Qtr '!AE12</f>
        <v>400</v>
      </c>
      <c r="W12" s="38">
        <f>'Debt_Qtr '!AJ12</f>
        <v>400</v>
      </c>
      <c r="X12" s="38">
        <f>'Debt_Qtr '!AO12</f>
        <v>400</v>
      </c>
      <c r="Y12" s="38">
        <f>'Debt_Qtr '!AT12</f>
        <v>400</v>
      </c>
      <c r="Z12" s="38">
        <f>'Debt_Qtr '!AY12</f>
        <v>400</v>
      </c>
      <c r="AA12" s="38">
        <f>'Debt_Qtr '!BD12</f>
        <v>400</v>
      </c>
      <c r="AB12" s="38">
        <f>'Debt_Qtr '!BI12</f>
        <v>0</v>
      </c>
      <c r="AC12" s="43">
        <v>0</v>
      </c>
      <c r="AD12" s="43">
        <v>0</v>
      </c>
      <c r="AE12" s="43">
        <v>0</v>
      </c>
      <c r="AF12" s="43">
        <v>0</v>
      </c>
    </row>
    <row r="13" spans="1:32" s="26" customFormat="1">
      <c r="A13" s="3" t="str">
        <f>'Debt_Qtr '!A13</f>
        <v>2.3% due Aug 2021</v>
      </c>
      <c r="B13" s="43"/>
      <c r="C13" s="43"/>
      <c r="D13" s="43"/>
      <c r="E13" s="43"/>
      <c r="F13" s="43"/>
      <c r="G13" s="43"/>
      <c r="H13" s="43"/>
      <c r="I13" s="43"/>
      <c r="J13" s="43"/>
      <c r="K13" s="43"/>
      <c r="L13" s="43"/>
      <c r="M13" s="43"/>
      <c r="N13" s="43"/>
      <c r="O13" s="43"/>
      <c r="P13" s="43"/>
      <c r="Q13" s="43"/>
      <c r="R13" s="43"/>
      <c r="S13" s="38">
        <f>'Debt_Qtr '!P13</f>
        <v>0</v>
      </c>
      <c r="T13" s="38">
        <f>'Debt_Qtr '!U13</f>
        <v>0</v>
      </c>
      <c r="U13" s="38">
        <f>'Debt_Qtr '!Z13</f>
        <v>750</v>
      </c>
      <c r="V13" s="38">
        <f>'Debt_Qtr '!AE13</f>
        <v>750</v>
      </c>
      <c r="W13" s="38">
        <f>'Debt_Qtr '!AJ13</f>
        <v>0</v>
      </c>
      <c r="X13" s="38">
        <f>'Debt_Qtr '!AO13</f>
        <v>0</v>
      </c>
      <c r="Y13" s="38">
        <f>'Debt_Qtr '!AT13</f>
        <v>0</v>
      </c>
      <c r="Z13" s="38">
        <f>'Debt_Qtr '!AY13</f>
        <v>0</v>
      </c>
      <c r="AA13" s="38">
        <f>'Debt_Qtr '!BD13</f>
        <v>0</v>
      </c>
      <c r="AB13" s="38">
        <f>'Debt_Qtr '!BI13</f>
        <v>0</v>
      </c>
      <c r="AC13" s="43">
        <f t="shared" ref="AC13:AF14" si="1">AB13</f>
        <v>0</v>
      </c>
      <c r="AD13" s="43">
        <f t="shared" si="1"/>
        <v>0</v>
      </c>
      <c r="AE13" s="43">
        <f t="shared" si="1"/>
        <v>0</v>
      </c>
      <c r="AF13" s="43">
        <f t="shared" si="1"/>
        <v>0</v>
      </c>
    </row>
    <row r="14" spans="1:32" s="26" customFormat="1">
      <c r="A14" s="3" t="str">
        <f>'Debt_Qtr '!A14</f>
        <v>2.35% due Oct 2021</v>
      </c>
      <c r="B14" s="43"/>
      <c r="C14" s="43"/>
      <c r="D14" s="43"/>
      <c r="E14" s="43"/>
      <c r="F14" s="43"/>
      <c r="G14" s="43"/>
      <c r="H14" s="43"/>
      <c r="I14" s="43"/>
      <c r="J14" s="43"/>
      <c r="K14" s="43"/>
      <c r="L14" s="43"/>
      <c r="M14" s="43"/>
      <c r="N14" s="43"/>
      <c r="O14" s="43"/>
      <c r="P14" s="43"/>
      <c r="Q14" s="43"/>
      <c r="R14" s="43"/>
      <c r="S14" s="38">
        <f>'Debt_Qtr '!P14</f>
        <v>300</v>
      </c>
      <c r="T14" s="38">
        <f>'Debt_Qtr '!U14</f>
        <v>300</v>
      </c>
      <c r="U14" s="38">
        <f>'Debt_Qtr '!Z14</f>
        <v>300</v>
      </c>
      <c r="V14" s="38">
        <f>'Debt_Qtr '!AE14</f>
        <v>300</v>
      </c>
      <c r="W14" s="38">
        <f>'Debt_Qtr '!AJ14</f>
        <v>0</v>
      </c>
      <c r="X14" s="38">
        <f>'Debt_Qtr '!AO14</f>
        <v>0</v>
      </c>
      <c r="Y14" s="38">
        <f>'Debt_Qtr '!AT14</f>
        <v>0</v>
      </c>
      <c r="Z14" s="38">
        <f>'Debt_Qtr '!AY14</f>
        <v>0</v>
      </c>
      <c r="AA14" s="38">
        <f>'Debt_Qtr '!BD14</f>
        <v>0</v>
      </c>
      <c r="AB14" s="38">
        <f>'Debt_Qtr '!BI14</f>
        <v>0</v>
      </c>
      <c r="AC14" s="43">
        <f t="shared" si="1"/>
        <v>0</v>
      </c>
      <c r="AD14" s="43">
        <f t="shared" si="1"/>
        <v>0</v>
      </c>
      <c r="AE14" s="43">
        <f t="shared" si="1"/>
        <v>0</v>
      </c>
      <c r="AF14" s="43">
        <f t="shared" si="1"/>
        <v>0</v>
      </c>
    </row>
    <row r="15" spans="1:32" s="26" customFormat="1">
      <c r="A15" s="3" t="str">
        <f>'Debt_Qtr '!A15</f>
        <v>2.5% due Mar 2025</v>
      </c>
      <c r="B15" s="43"/>
      <c r="C15" s="43"/>
      <c r="D15" s="43"/>
      <c r="E15" s="43"/>
      <c r="F15" s="43"/>
      <c r="G15" s="43"/>
      <c r="H15" s="43"/>
      <c r="I15" s="43"/>
      <c r="J15" s="43"/>
      <c r="K15" s="43"/>
      <c r="L15" s="43"/>
      <c r="M15" s="43"/>
      <c r="N15" s="43"/>
      <c r="O15" s="43"/>
      <c r="P15" s="43"/>
      <c r="Q15" s="43"/>
      <c r="R15" s="43"/>
      <c r="S15" s="38">
        <f>'Debt_Qtr '!P15</f>
        <v>250</v>
      </c>
      <c r="T15" s="38">
        <f>'Debt_Qtr '!U15</f>
        <v>250</v>
      </c>
      <c r="U15" s="38">
        <f>'Debt_Qtr '!Z15</f>
        <v>250</v>
      </c>
      <c r="V15" s="38">
        <f>'Debt_Qtr '!AE15</f>
        <v>250</v>
      </c>
      <c r="W15" s="38">
        <f>'Debt_Qtr '!AJ15</f>
        <v>250</v>
      </c>
      <c r="X15" s="38">
        <f>'Debt_Qtr '!AO15</f>
        <v>250</v>
      </c>
      <c r="Y15" s="38">
        <f>'Debt_Qtr '!AT15</f>
        <v>250</v>
      </c>
      <c r="Z15" s="38">
        <f>'Debt_Qtr '!AY15</f>
        <v>250</v>
      </c>
      <c r="AA15" s="38">
        <f>'Debt_Qtr '!BD15</f>
        <v>250</v>
      </c>
      <c r="AB15" s="38">
        <f>'Debt_Qtr '!BI15</f>
        <v>0</v>
      </c>
      <c r="AC15" s="43">
        <v>0</v>
      </c>
      <c r="AD15" s="43">
        <v>0</v>
      </c>
      <c r="AE15" s="43">
        <v>0</v>
      </c>
      <c r="AF15" s="43">
        <v>0</v>
      </c>
    </row>
    <row r="16" spans="1:32" s="26" customFormat="1">
      <c r="A16" s="3" t="str">
        <f>'Debt_Qtr '!A16</f>
        <v>2.6% due Oct 2025</v>
      </c>
      <c r="B16" s="43"/>
      <c r="C16" s="43"/>
      <c r="D16" s="43"/>
      <c r="E16" s="43"/>
      <c r="F16" s="43"/>
      <c r="G16" s="43"/>
      <c r="H16" s="43"/>
      <c r="I16" s="43"/>
      <c r="J16" s="43"/>
      <c r="K16" s="43"/>
      <c r="L16" s="43"/>
      <c r="M16" s="43"/>
      <c r="N16" s="43"/>
      <c r="O16" s="43"/>
      <c r="P16" s="43"/>
      <c r="Q16" s="43"/>
      <c r="R16" s="43"/>
      <c r="S16" s="38">
        <f>'Debt_Qtr '!P16</f>
        <v>300</v>
      </c>
      <c r="T16" s="38">
        <f>'Debt_Qtr '!U16</f>
        <v>300</v>
      </c>
      <c r="U16" s="38">
        <f>'Debt_Qtr '!Z16</f>
        <v>300</v>
      </c>
      <c r="V16" s="38">
        <f>'Debt_Qtr '!AE16</f>
        <v>300</v>
      </c>
      <c r="W16" s="38">
        <f>'Debt_Qtr '!AJ16</f>
        <v>300</v>
      </c>
      <c r="X16" s="38">
        <f>'Debt_Qtr '!AO16</f>
        <v>300</v>
      </c>
      <c r="Y16" s="38">
        <f>'Debt_Qtr '!AT16</f>
        <v>300</v>
      </c>
      <c r="Z16" s="38">
        <f>'Debt_Qtr '!AY16</f>
        <v>300</v>
      </c>
      <c r="AA16" s="38">
        <f>'Debt_Qtr '!BD16</f>
        <v>300</v>
      </c>
      <c r="AB16" s="38">
        <f>'Debt_Qtr '!BI16</f>
        <v>0</v>
      </c>
      <c r="AC16" s="43">
        <v>0</v>
      </c>
      <c r="AD16" s="43">
        <v>0</v>
      </c>
      <c r="AE16" s="43">
        <v>0</v>
      </c>
      <c r="AF16" s="43">
        <v>0</v>
      </c>
    </row>
    <row r="17" spans="1:32" s="26" customFormat="1">
      <c r="A17" s="3" t="str">
        <f>'Debt_Qtr '!A17</f>
        <v>2.7% due Feb 2027</v>
      </c>
      <c r="B17" s="43"/>
      <c r="C17" s="43"/>
      <c r="D17" s="43"/>
      <c r="E17" s="43"/>
      <c r="F17" s="43"/>
      <c r="G17" s="43"/>
      <c r="H17" s="43"/>
      <c r="I17" s="43"/>
      <c r="J17" s="43"/>
      <c r="K17" s="43"/>
      <c r="L17" s="43"/>
      <c r="M17" s="43"/>
      <c r="N17" s="43"/>
      <c r="O17" s="43"/>
      <c r="P17" s="43"/>
      <c r="Q17" s="43"/>
      <c r="R17" s="43"/>
      <c r="S17" s="38">
        <f>'Debt_Qtr '!P17</f>
        <v>0</v>
      </c>
      <c r="T17" s="38">
        <f>'Debt_Qtr '!U17</f>
        <v>0</v>
      </c>
      <c r="U17" s="38">
        <f>'Debt_Qtr '!Z17</f>
        <v>1000</v>
      </c>
      <c r="V17" s="38">
        <f>'Debt_Qtr '!AE17</f>
        <v>1000</v>
      </c>
      <c r="W17" s="38">
        <f>'Debt_Qtr '!AJ17</f>
        <v>1000</v>
      </c>
      <c r="X17" s="38">
        <f>'Debt_Qtr '!AO17</f>
        <v>1000</v>
      </c>
      <c r="Y17" s="38">
        <f>'Debt_Qtr '!AT17</f>
        <v>1000</v>
      </c>
      <c r="Z17" s="38">
        <f>'Debt_Qtr '!AY17</f>
        <v>1000</v>
      </c>
      <c r="AA17" s="38">
        <f>'Debt_Qtr '!BD17</f>
        <v>1000</v>
      </c>
      <c r="AB17" s="38">
        <f>'Debt_Qtr '!BI17</f>
        <v>1000</v>
      </c>
      <c r="AC17" s="43">
        <f t="shared" ref="AC17:AF19" si="2">AB17</f>
        <v>1000</v>
      </c>
      <c r="AD17" s="43">
        <f t="shared" si="2"/>
        <v>1000</v>
      </c>
      <c r="AE17" s="43">
        <f t="shared" si="2"/>
        <v>1000</v>
      </c>
      <c r="AF17" s="43">
        <f t="shared" si="2"/>
        <v>1000</v>
      </c>
    </row>
    <row r="18" spans="1:32" s="26" customFormat="1">
      <c r="A18" s="3" t="str">
        <f>'Debt_Qtr '!A18</f>
        <v>2.7% due May 2022</v>
      </c>
      <c r="B18" s="43"/>
      <c r="C18" s="43"/>
      <c r="D18" s="43"/>
      <c r="E18" s="43"/>
      <c r="F18" s="43"/>
      <c r="G18" s="43"/>
      <c r="H18" s="43"/>
      <c r="I18" s="43"/>
      <c r="J18" s="43"/>
      <c r="K18" s="43"/>
      <c r="L18" s="43"/>
      <c r="M18" s="43"/>
      <c r="N18" s="43"/>
      <c r="O18" s="43"/>
      <c r="P18" s="43"/>
      <c r="Q18" s="43"/>
      <c r="R18" s="43"/>
      <c r="S18" s="38">
        <f>'Debt_Qtr '!P18</f>
        <v>0</v>
      </c>
      <c r="T18" s="38">
        <f>'Debt_Qtr '!U18</f>
        <v>0</v>
      </c>
      <c r="U18" s="38">
        <f>'Debt_Qtr '!Z18</f>
        <v>600</v>
      </c>
      <c r="V18" s="38">
        <f>'Debt_Qtr '!AE18</f>
        <v>600</v>
      </c>
      <c r="W18" s="38">
        <f>'Debt_Qtr '!AJ18</f>
        <v>600</v>
      </c>
      <c r="X18" s="38">
        <f>'Debt_Qtr '!AO18</f>
        <v>0</v>
      </c>
      <c r="Y18" s="38">
        <f>'Debt_Qtr '!AT18</f>
        <v>0</v>
      </c>
      <c r="Z18" s="38">
        <f>'Debt_Qtr '!AY18</f>
        <v>0</v>
      </c>
      <c r="AA18" s="38">
        <f>'Debt_Qtr '!BD18</f>
        <v>0</v>
      </c>
      <c r="AB18" s="38">
        <f>'Debt_Qtr '!BI18</f>
        <v>0</v>
      </c>
      <c r="AC18" s="43">
        <f t="shared" si="2"/>
        <v>0</v>
      </c>
      <c r="AD18" s="43">
        <f t="shared" si="2"/>
        <v>0</v>
      </c>
      <c r="AE18" s="43">
        <f t="shared" si="2"/>
        <v>0</v>
      </c>
      <c r="AF18" s="43">
        <f t="shared" si="2"/>
        <v>0</v>
      </c>
    </row>
    <row r="19" spans="1:32" s="26" customFormat="1">
      <c r="A19" s="3" t="str">
        <f>'Debt_Qtr '!A19</f>
        <v>2.8% due March 2024</v>
      </c>
      <c r="B19" s="43"/>
      <c r="C19" s="43"/>
      <c r="D19" s="43"/>
      <c r="E19" s="43"/>
      <c r="F19" s="43"/>
      <c r="G19" s="43"/>
      <c r="H19" s="43"/>
      <c r="I19" s="43"/>
      <c r="J19" s="43"/>
      <c r="K19" s="43"/>
      <c r="L19" s="43"/>
      <c r="M19" s="43"/>
      <c r="N19" s="43"/>
      <c r="O19" s="43"/>
      <c r="P19" s="43"/>
      <c r="Q19" s="43"/>
      <c r="R19" s="43"/>
      <c r="S19" s="38">
        <f>'Debt_Qtr '!P19</f>
        <v>0</v>
      </c>
      <c r="T19" s="38">
        <f>'Debt_Qtr '!U19</f>
        <v>0</v>
      </c>
      <c r="U19" s="38">
        <f>'Debt_Qtr '!Z19</f>
        <v>400</v>
      </c>
      <c r="V19" s="38">
        <f>'Debt_Qtr '!AE19</f>
        <v>400</v>
      </c>
      <c r="W19" s="38">
        <f>'Debt_Qtr '!AJ19</f>
        <v>400</v>
      </c>
      <c r="X19" s="38">
        <f>'Debt_Qtr '!AO19</f>
        <v>400</v>
      </c>
      <c r="Y19" s="38">
        <f>'Debt_Qtr '!AT19</f>
        <v>400</v>
      </c>
      <c r="Z19" s="38">
        <f>'Debt_Qtr '!AY19</f>
        <v>0</v>
      </c>
      <c r="AA19" s="38">
        <f>'Debt_Qtr '!BD19</f>
        <v>0</v>
      </c>
      <c r="AB19" s="38">
        <f>'Debt_Qtr '!BI19</f>
        <v>0</v>
      </c>
      <c r="AC19" s="43">
        <f t="shared" si="2"/>
        <v>0</v>
      </c>
      <c r="AD19" s="43">
        <f t="shared" si="2"/>
        <v>0</v>
      </c>
      <c r="AE19" s="43">
        <f t="shared" si="2"/>
        <v>0</v>
      </c>
      <c r="AF19" s="43">
        <f t="shared" si="2"/>
        <v>0</v>
      </c>
    </row>
    <row r="20" spans="1:32" s="26" customFormat="1">
      <c r="A20" s="3" t="str">
        <f>'Debt_Qtr '!A20</f>
        <v>1.167% notes due February 2023</v>
      </c>
      <c r="B20" s="43"/>
      <c r="C20" s="43"/>
      <c r="D20" s="43"/>
      <c r="E20" s="43"/>
      <c r="F20" s="43"/>
      <c r="G20" s="43"/>
      <c r="H20" s="43"/>
      <c r="I20" s="43"/>
      <c r="J20" s="43"/>
      <c r="K20" s="43"/>
      <c r="L20" s="43"/>
      <c r="M20" s="43"/>
      <c r="N20" s="43"/>
      <c r="O20" s="43"/>
      <c r="P20" s="43"/>
      <c r="Q20" s="43"/>
      <c r="R20" s="43"/>
      <c r="S20" s="38">
        <f>'Debt_Qtr '!P20</f>
        <v>0</v>
      </c>
      <c r="T20" s="38">
        <f>'Debt_Qtr '!U20</f>
        <v>0</v>
      </c>
      <c r="U20" s="38">
        <f>'Debt_Qtr '!Z20</f>
        <v>0</v>
      </c>
      <c r="V20" s="38">
        <f>'Debt_Qtr '!AE20</f>
        <v>0</v>
      </c>
      <c r="W20" s="38">
        <f>'Debt_Qtr '!AJ20</f>
        <v>1325</v>
      </c>
      <c r="X20" s="38">
        <f>'Debt_Qtr '!AO20</f>
        <v>1325</v>
      </c>
      <c r="Y20" s="38">
        <f>'Debt_Qtr '!AT20</f>
        <v>0</v>
      </c>
      <c r="Z20" s="38">
        <f>'Debt_Qtr '!AY20</f>
        <v>0</v>
      </c>
      <c r="AA20" s="38">
        <f>'Debt_Qtr '!BD20</f>
        <v>0</v>
      </c>
      <c r="AB20" s="38">
        <f>'Debt_Qtr '!BI20</f>
        <v>0</v>
      </c>
      <c r="AC20" s="43">
        <f t="shared" ref="AC20:AF21" si="3">AB20</f>
        <v>0</v>
      </c>
      <c r="AD20" s="43">
        <f t="shared" si="3"/>
        <v>0</v>
      </c>
      <c r="AE20" s="43">
        <f t="shared" si="3"/>
        <v>0</v>
      </c>
      <c r="AF20" s="43">
        <f t="shared" si="3"/>
        <v>0</v>
      </c>
    </row>
    <row r="21" spans="1:32" s="26" customFormat="1">
      <c r="A21" s="3" t="str">
        <f>'Debt_Qtr '!A21</f>
        <v>1.433 Notes due February 2024</v>
      </c>
      <c r="B21" s="43"/>
      <c r="C21" s="43"/>
      <c r="D21" s="43"/>
      <c r="E21" s="43"/>
      <c r="F21" s="43"/>
      <c r="G21" s="43"/>
      <c r="H21" s="43"/>
      <c r="I21" s="43"/>
      <c r="J21" s="43"/>
      <c r="K21" s="43"/>
      <c r="L21" s="43"/>
      <c r="M21" s="43"/>
      <c r="N21" s="43"/>
      <c r="O21" s="43"/>
      <c r="P21" s="43"/>
      <c r="Q21" s="43"/>
      <c r="R21" s="43"/>
      <c r="S21" s="38">
        <f>'Debt_Qtr '!P21</f>
        <v>0</v>
      </c>
      <c r="T21" s="38">
        <f>'Debt_Qtr '!U21</f>
        <v>0</v>
      </c>
      <c r="U21" s="38">
        <f>'Debt_Qtr '!Z21</f>
        <v>0</v>
      </c>
      <c r="V21" s="38">
        <f>'Debt_Qtr '!AE21</f>
        <v>0</v>
      </c>
      <c r="W21" s="38">
        <f>'Debt_Qtr '!AJ21</f>
        <v>3000</v>
      </c>
      <c r="X21" s="38">
        <f>'Debt_Qtr '!AO21</f>
        <v>3000</v>
      </c>
      <c r="Y21" s="38">
        <f>'Debt_Qtr '!AT21</f>
        <v>3000</v>
      </c>
      <c r="Z21" s="38">
        <f>'Debt_Qtr '!AY21</f>
        <v>0</v>
      </c>
      <c r="AA21" s="38">
        <f>'Debt_Qtr '!BD21</f>
        <v>0</v>
      </c>
      <c r="AB21" s="38">
        <f>'Debt_Qtr '!BI21</f>
        <v>0</v>
      </c>
      <c r="AC21" s="43">
        <f t="shared" si="3"/>
        <v>0</v>
      </c>
      <c r="AD21" s="43">
        <f t="shared" si="3"/>
        <v>0</v>
      </c>
      <c r="AE21" s="43">
        <f t="shared" si="3"/>
        <v>0</v>
      </c>
      <c r="AF21" s="43">
        <f t="shared" si="3"/>
        <v>0</v>
      </c>
    </row>
    <row r="22" spans="1:32" s="26" customFormat="1">
      <c r="A22" s="3" t="str">
        <f>'Debt_Qtr '!A22</f>
        <v>2.196% Notes due February 2026</v>
      </c>
      <c r="B22" s="43"/>
      <c r="C22" s="43"/>
      <c r="D22" s="43"/>
      <c r="E22" s="43"/>
      <c r="F22" s="43"/>
      <c r="G22" s="43"/>
      <c r="H22" s="43"/>
      <c r="I22" s="43"/>
      <c r="J22" s="43"/>
      <c r="K22" s="43"/>
      <c r="L22" s="43"/>
      <c r="M22" s="43"/>
      <c r="N22" s="43"/>
      <c r="O22" s="43"/>
      <c r="P22" s="43"/>
      <c r="Q22" s="43"/>
      <c r="R22" s="43"/>
      <c r="S22" s="38">
        <f>'Debt_Qtr '!P22</f>
        <v>0</v>
      </c>
      <c r="T22" s="38">
        <f>'Debt_Qtr '!U22</f>
        <v>0</v>
      </c>
      <c r="U22" s="38">
        <f>'Debt_Qtr '!Z22</f>
        <v>0</v>
      </c>
      <c r="V22" s="38">
        <f>'Debt_Qtr '!AE22</f>
        <v>0</v>
      </c>
      <c r="W22" s="38">
        <f>'Debt_Qtr '!AJ22</f>
        <v>5500</v>
      </c>
      <c r="X22" s="38">
        <f>'Debt_Qtr '!AO22</f>
        <v>5500</v>
      </c>
      <c r="Y22" s="38">
        <f>'Debt_Qtr '!AT22</f>
        <v>5500</v>
      </c>
      <c r="Z22" s="38">
        <f>'Debt_Qtr '!AY22</f>
        <v>5500</v>
      </c>
      <c r="AA22" s="38">
        <f>'Debt_Qtr '!BD22</f>
        <v>5500</v>
      </c>
      <c r="AB22" s="38">
        <f>'Debt_Qtr '!BI22</f>
        <v>4900</v>
      </c>
      <c r="AC22" s="43">
        <v>600</v>
      </c>
      <c r="AD22" s="43">
        <v>0</v>
      </c>
      <c r="AE22" s="43">
        <v>0</v>
      </c>
      <c r="AF22" s="43">
        <v>0</v>
      </c>
    </row>
    <row r="23" spans="1:32" s="26" customFormat="1">
      <c r="A23" s="3" t="str">
        <f>'Debt_Qtr '!A23</f>
        <v>2.8% due March 2023</v>
      </c>
      <c r="B23" s="43"/>
      <c r="C23" s="43"/>
      <c r="D23" s="43"/>
      <c r="E23" s="43"/>
      <c r="F23" s="43"/>
      <c r="G23" s="43"/>
      <c r="H23" s="43"/>
      <c r="I23" s="43"/>
      <c r="J23" s="43"/>
      <c r="K23" s="43"/>
      <c r="L23" s="43"/>
      <c r="M23" s="43"/>
      <c r="N23" s="43"/>
      <c r="O23" s="43"/>
      <c r="P23" s="43"/>
      <c r="Q23" s="43"/>
      <c r="R23" s="43"/>
      <c r="S23" s="38">
        <f>'Debt_Qtr '!P23</f>
        <v>0</v>
      </c>
      <c r="T23" s="38">
        <f>'Debt_Qtr '!U23</f>
        <v>350</v>
      </c>
      <c r="U23" s="38">
        <f>'Debt_Qtr '!Z23</f>
        <v>350</v>
      </c>
      <c r="V23" s="38">
        <f>'Debt_Qtr '!AE23</f>
        <v>350</v>
      </c>
      <c r="W23" s="38">
        <f>'Debt_Qtr '!AJ23</f>
        <v>350</v>
      </c>
      <c r="X23" s="38">
        <f>'Debt_Qtr '!AO23</f>
        <v>350</v>
      </c>
      <c r="Y23" s="38">
        <f>'Debt_Qtr '!AT23</f>
        <v>0</v>
      </c>
      <c r="Z23" s="38">
        <f>'Debt_Qtr '!AY23</f>
        <v>0</v>
      </c>
      <c r="AA23" s="38">
        <f>'Debt_Qtr '!BD23</f>
        <v>0</v>
      </c>
      <c r="AB23" s="38">
        <f>'Debt_Qtr '!BI23</f>
        <v>0</v>
      </c>
      <c r="AC23" s="43">
        <f t="shared" ref="AC23:AF25" si="4">AB23</f>
        <v>0</v>
      </c>
      <c r="AD23" s="43">
        <f t="shared" si="4"/>
        <v>0</v>
      </c>
      <c r="AE23" s="43">
        <f t="shared" si="4"/>
        <v>0</v>
      </c>
      <c r="AF23" s="43">
        <f t="shared" si="4"/>
        <v>0</v>
      </c>
    </row>
    <row r="24" spans="1:32" s="26" customFormat="1">
      <c r="A24" s="3" t="str">
        <f>'Debt_Qtr '!A24</f>
        <v>2.8% due March 2027</v>
      </c>
      <c r="B24" s="43"/>
      <c r="C24" s="43"/>
      <c r="D24" s="43"/>
      <c r="E24" s="43"/>
      <c r="F24" s="43"/>
      <c r="G24" s="43"/>
      <c r="H24" s="43"/>
      <c r="I24" s="43"/>
      <c r="J24" s="43"/>
      <c r="K24" s="43"/>
      <c r="L24" s="43"/>
      <c r="M24" s="43"/>
      <c r="N24" s="43"/>
      <c r="O24" s="43"/>
      <c r="P24" s="43"/>
      <c r="Q24" s="43"/>
      <c r="R24" s="43"/>
      <c r="S24" s="38">
        <f>'Debt_Qtr '!P24</f>
        <v>300</v>
      </c>
      <c r="T24" s="38">
        <f>'Debt_Qtr '!U24</f>
        <v>300</v>
      </c>
      <c r="U24" s="38">
        <f>'Debt_Qtr '!Z24</f>
        <v>300</v>
      </c>
      <c r="V24" s="38">
        <f>'Debt_Qtr '!AE24</f>
        <v>300</v>
      </c>
      <c r="W24" s="38">
        <f>'Debt_Qtr '!AJ24</f>
        <v>300</v>
      </c>
      <c r="X24" s="38">
        <f>'Debt_Qtr '!AO24</f>
        <v>300</v>
      </c>
      <c r="Y24" s="38">
        <f>'Debt_Qtr '!AT24</f>
        <v>300</v>
      </c>
      <c r="Z24" s="38">
        <f>'Debt_Qtr '!AY24</f>
        <v>300</v>
      </c>
      <c r="AA24" s="38">
        <f>'Debt_Qtr '!BD24</f>
        <v>300</v>
      </c>
      <c r="AB24" s="38">
        <f>'Debt_Qtr '!BI24</f>
        <v>300</v>
      </c>
      <c r="AC24" s="43">
        <f t="shared" si="4"/>
        <v>300</v>
      </c>
      <c r="AD24" s="43">
        <f t="shared" si="4"/>
        <v>300</v>
      </c>
      <c r="AE24" s="43">
        <f t="shared" si="4"/>
        <v>300</v>
      </c>
      <c r="AF24" s="43">
        <f t="shared" si="4"/>
        <v>300</v>
      </c>
    </row>
    <row r="25" spans="1:32" s="26" customFormat="1">
      <c r="A25" s="3" t="str">
        <f>'Debt_Qtr '!A25</f>
        <v>2.85% due Oct 2024</v>
      </c>
      <c r="B25" s="43"/>
      <c r="C25" s="43"/>
      <c r="D25" s="43"/>
      <c r="E25" s="43"/>
      <c r="F25" s="43"/>
      <c r="G25" s="43"/>
      <c r="H25" s="43"/>
      <c r="I25" s="43"/>
      <c r="J25" s="43"/>
      <c r="K25" s="43"/>
      <c r="L25" s="43"/>
      <c r="M25" s="43"/>
      <c r="N25" s="43"/>
      <c r="O25" s="43"/>
      <c r="P25" s="43"/>
      <c r="Q25" s="43"/>
      <c r="R25" s="43"/>
      <c r="S25" s="38">
        <f>'Debt_Qtr '!P25</f>
        <v>300</v>
      </c>
      <c r="T25" s="38">
        <f>'Debt_Qtr '!U25</f>
        <v>300</v>
      </c>
      <c r="U25" s="38">
        <f>'Debt_Qtr '!Z25</f>
        <v>300</v>
      </c>
      <c r="V25" s="38">
        <f>'Debt_Qtr '!AE25</f>
        <v>300</v>
      </c>
      <c r="W25" s="38">
        <f>'Debt_Qtr '!AJ25</f>
        <v>300</v>
      </c>
      <c r="X25" s="38">
        <f>'Debt_Qtr '!AO25</f>
        <v>300</v>
      </c>
      <c r="Y25" s="38">
        <f>'Debt_Qtr '!AT25</f>
        <v>300</v>
      </c>
      <c r="Z25" s="38">
        <f>'Debt_Qtr '!AY25</f>
        <v>0</v>
      </c>
      <c r="AA25" s="38">
        <f>'Debt_Qtr '!BD25</f>
        <v>0</v>
      </c>
      <c r="AB25" s="38">
        <f>'Debt_Qtr '!BI25</f>
        <v>0</v>
      </c>
      <c r="AC25" s="43">
        <f t="shared" si="4"/>
        <v>0</v>
      </c>
      <c r="AD25" s="43">
        <f t="shared" si="4"/>
        <v>0</v>
      </c>
      <c r="AE25" s="43">
        <f t="shared" si="4"/>
        <v>0</v>
      </c>
      <c r="AF25" s="43">
        <f t="shared" si="4"/>
        <v>0</v>
      </c>
    </row>
    <row r="26" spans="1:32" s="26" customFormat="1">
      <c r="A26" s="3" t="str">
        <f>'Debt_Qtr '!A26</f>
        <v>2.95% due Feb 2030</v>
      </c>
      <c r="B26" s="43"/>
      <c r="C26" s="43"/>
      <c r="D26" s="43"/>
      <c r="E26" s="43"/>
      <c r="F26" s="43"/>
      <c r="G26" s="43"/>
      <c r="H26" s="43"/>
      <c r="I26" s="43"/>
      <c r="J26" s="43"/>
      <c r="K26" s="43"/>
      <c r="L26" s="43"/>
      <c r="M26" s="43"/>
      <c r="N26" s="43"/>
      <c r="O26" s="43"/>
      <c r="P26" s="43"/>
      <c r="Q26" s="43"/>
      <c r="R26" s="43"/>
      <c r="S26" s="38">
        <f>'Debt_Qtr '!P26</f>
        <v>0</v>
      </c>
      <c r="T26" s="38">
        <f>'Debt_Qtr '!U26</f>
        <v>0</v>
      </c>
      <c r="U26" s="38">
        <f>'Debt_Qtr '!Z26</f>
        <v>750</v>
      </c>
      <c r="V26" s="38">
        <f>'Debt_Qtr '!AE26</f>
        <v>750</v>
      </c>
      <c r="W26" s="38">
        <f>'Debt_Qtr '!AJ26</f>
        <v>750</v>
      </c>
      <c r="X26" s="38">
        <f>'Debt_Qtr '!AO26</f>
        <v>750</v>
      </c>
      <c r="Y26" s="38">
        <f>'Debt_Qtr '!AT26</f>
        <v>750</v>
      </c>
      <c r="Z26" s="38">
        <f>'Debt_Qtr '!AY26</f>
        <v>750</v>
      </c>
      <c r="AA26" s="38">
        <f>'Debt_Qtr '!BD26</f>
        <v>750</v>
      </c>
      <c r="AB26" s="38">
        <f>'Debt_Qtr '!BI26</f>
        <v>750</v>
      </c>
      <c r="AC26" s="43">
        <f t="shared" ref="AC26:AF63" si="5">AB26</f>
        <v>750</v>
      </c>
      <c r="AD26" s="43">
        <f t="shared" si="5"/>
        <v>750</v>
      </c>
      <c r="AE26" s="43">
        <f t="shared" si="5"/>
        <v>750</v>
      </c>
      <c r="AF26" s="43">
        <f t="shared" si="5"/>
        <v>750</v>
      </c>
    </row>
    <row r="27" spans="1:32" s="26" customFormat="1">
      <c r="A27" s="3" t="str">
        <f>'Debt_Qtr '!A27</f>
        <v>3.1% due May 2026</v>
      </c>
      <c r="B27" s="43"/>
      <c r="C27" s="43"/>
      <c r="D27" s="43"/>
      <c r="E27" s="43"/>
      <c r="F27" s="43"/>
      <c r="G27" s="43"/>
      <c r="H27" s="43"/>
      <c r="I27" s="43"/>
      <c r="J27" s="43"/>
      <c r="K27" s="43"/>
      <c r="L27" s="43"/>
      <c r="M27" s="43"/>
      <c r="N27" s="43"/>
      <c r="O27" s="43"/>
      <c r="P27" s="43"/>
      <c r="Q27" s="43"/>
      <c r="R27" s="43"/>
      <c r="S27" s="38">
        <f>'Debt_Qtr '!P27</f>
        <v>0</v>
      </c>
      <c r="T27" s="38">
        <f>'Debt_Qtr '!U27</f>
        <v>0</v>
      </c>
      <c r="U27" s="38">
        <f>'Debt_Qtr '!Z27</f>
        <v>650</v>
      </c>
      <c r="V27" s="38">
        <f>'Debt_Qtr '!AE27</f>
        <v>650</v>
      </c>
      <c r="W27" s="38">
        <f>'Debt_Qtr '!AJ27</f>
        <v>650</v>
      </c>
      <c r="X27" s="38">
        <f>'Debt_Qtr '!AO27</f>
        <v>650</v>
      </c>
      <c r="Y27" s="38">
        <f>'Debt_Qtr '!AT27</f>
        <v>650</v>
      </c>
      <c r="Z27" s="38">
        <f>'Debt_Qtr '!AY27</f>
        <v>650</v>
      </c>
      <c r="AA27" s="38">
        <f>'Debt_Qtr '!BD27</f>
        <v>650</v>
      </c>
      <c r="AB27" s="38">
        <f>'Debt_Qtr '!BI27</f>
        <v>0</v>
      </c>
      <c r="AC27" s="43">
        <v>0</v>
      </c>
      <c r="AD27" s="43">
        <v>0</v>
      </c>
      <c r="AE27" s="43">
        <v>0</v>
      </c>
      <c r="AF27" s="43">
        <v>0</v>
      </c>
    </row>
    <row r="28" spans="1:32" s="26" customFormat="1">
      <c r="A28" s="3" t="str">
        <f>'Debt_Qtr '!A28</f>
        <v>3.2% due March 2029</v>
      </c>
      <c r="B28" s="43"/>
      <c r="C28" s="43"/>
      <c r="D28" s="43"/>
      <c r="E28" s="43"/>
      <c r="F28" s="43"/>
      <c r="G28" s="43"/>
      <c r="H28" s="43"/>
      <c r="I28" s="43"/>
      <c r="J28" s="43"/>
      <c r="K28" s="43"/>
      <c r="L28" s="43"/>
      <c r="M28" s="43"/>
      <c r="N28" s="43"/>
      <c r="O28" s="43"/>
      <c r="P28" s="43"/>
      <c r="Q28" s="43"/>
      <c r="R28" s="43"/>
      <c r="S28" s="38">
        <f>'Debt_Qtr '!P28</f>
        <v>0</v>
      </c>
      <c r="T28" s="38">
        <f>'Debt_Qtr '!U28</f>
        <v>0</v>
      </c>
      <c r="U28" s="38">
        <f>'Debt_Qtr '!Z28</f>
        <v>1000</v>
      </c>
      <c r="V28" s="38">
        <f>'Debt_Qtr '!AE28</f>
        <v>1000</v>
      </c>
      <c r="W28" s="38">
        <f>'Debt_Qtr '!AJ28</f>
        <v>1000</v>
      </c>
      <c r="X28" s="38">
        <f>'Debt_Qtr '!AO28</f>
        <v>1000</v>
      </c>
      <c r="Y28" s="38">
        <f>'Debt_Qtr '!AT28</f>
        <v>1000</v>
      </c>
      <c r="Z28" s="38">
        <f>'Debt_Qtr '!AY28</f>
        <v>1000</v>
      </c>
      <c r="AA28" s="38">
        <f>'Debt_Qtr '!BD28</f>
        <v>1000</v>
      </c>
      <c r="AB28" s="38">
        <f>'Debt_Qtr '!BI28</f>
        <v>1000</v>
      </c>
      <c r="AC28" s="43">
        <f t="shared" si="5"/>
        <v>1000</v>
      </c>
      <c r="AD28" s="43">
        <f t="shared" si="5"/>
        <v>1000</v>
      </c>
      <c r="AE28" s="43">
        <f t="shared" si="5"/>
        <v>1000</v>
      </c>
      <c r="AF28" s="43">
        <f t="shared" si="5"/>
        <v>1000</v>
      </c>
    </row>
    <row r="29" spans="1:32" s="26" customFormat="1">
      <c r="A29" s="3" t="str">
        <f>'Debt_Qtr '!A29</f>
        <v>3.25% due Feb 2035</v>
      </c>
      <c r="B29" s="43"/>
      <c r="C29" s="43"/>
      <c r="D29" s="43"/>
      <c r="E29" s="43"/>
      <c r="F29" s="43"/>
      <c r="G29" s="43"/>
      <c r="H29" s="43"/>
      <c r="I29" s="43"/>
      <c r="J29" s="43"/>
      <c r="K29" s="43"/>
      <c r="L29" s="43"/>
      <c r="M29" s="43"/>
      <c r="N29" s="43"/>
      <c r="O29" s="43"/>
      <c r="P29" s="43"/>
      <c r="Q29" s="43"/>
      <c r="R29" s="43"/>
      <c r="S29" s="38">
        <f>'Debt_Qtr '!P29</f>
        <v>0</v>
      </c>
      <c r="T29" s="38">
        <f>'Debt_Qtr '!U29</f>
        <v>0</v>
      </c>
      <c r="U29" s="38">
        <f>'Debt_Qtr '!Z29</f>
        <v>750</v>
      </c>
      <c r="V29" s="38">
        <f>'Debt_Qtr '!AE29</f>
        <v>750</v>
      </c>
      <c r="W29" s="38">
        <f>'Debt_Qtr '!AJ29</f>
        <v>750</v>
      </c>
      <c r="X29" s="38">
        <f>'Debt_Qtr '!AO29</f>
        <v>750</v>
      </c>
      <c r="Y29" s="38">
        <f>'Debt_Qtr '!AT29</f>
        <v>750</v>
      </c>
      <c r="Z29" s="38">
        <f>'Debt_Qtr '!AY29</f>
        <v>750</v>
      </c>
      <c r="AA29" s="38">
        <f>'Debt_Qtr '!BD29</f>
        <v>750</v>
      </c>
      <c r="AB29" s="38">
        <f>'Debt_Qtr '!BI29</f>
        <v>750</v>
      </c>
      <c r="AC29" s="43">
        <f t="shared" si="5"/>
        <v>750</v>
      </c>
      <c r="AD29" s="43">
        <f t="shared" si="5"/>
        <v>750</v>
      </c>
      <c r="AE29" s="43">
        <f t="shared" si="5"/>
        <v>750</v>
      </c>
      <c r="AF29" s="43">
        <f t="shared" si="5"/>
        <v>750</v>
      </c>
    </row>
    <row r="30" spans="1:32" s="26" customFormat="1">
      <c r="A30" s="3" t="str">
        <f>'Debt_Qtr '!A30</f>
        <v>3.25% due March 2028</v>
      </c>
      <c r="B30" s="43"/>
      <c r="C30" s="43"/>
      <c r="D30" s="43"/>
      <c r="E30" s="43"/>
      <c r="F30" s="43"/>
      <c r="G30" s="43"/>
      <c r="H30" s="43"/>
      <c r="I30" s="43"/>
      <c r="J30" s="43"/>
      <c r="K30" s="43"/>
      <c r="L30" s="43"/>
      <c r="M30" s="43"/>
      <c r="N30" s="43"/>
      <c r="O30" s="43"/>
      <c r="P30" s="43"/>
      <c r="Q30" s="43"/>
      <c r="R30" s="43"/>
      <c r="S30" s="38">
        <f>'Debt_Qtr '!P30</f>
        <v>0</v>
      </c>
      <c r="T30" s="38">
        <f>'Debt_Qtr '!U30</f>
        <v>350</v>
      </c>
      <c r="U30" s="38">
        <f>'Debt_Qtr '!Z30</f>
        <v>350</v>
      </c>
      <c r="V30" s="38">
        <f>'Debt_Qtr '!AE30</f>
        <v>350</v>
      </c>
      <c r="W30" s="38">
        <f>'Debt_Qtr '!AJ30</f>
        <v>350</v>
      </c>
      <c r="X30" s="38">
        <f>'Debt_Qtr '!AO30</f>
        <v>350</v>
      </c>
      <c r="Y30" s="38">
        <f>'Debt_Qtr '!AT30</f>
        <v>350</v>
      </c>
      <c r="Z30" s="38">
        <f>'Debt_Qtr '!AY30</f>
        <v>350</v>
      </c>
      <c r="AA30" s="38">
        <f>'Debt_Qtr '!BD30</f>
        <v>350</v>
      </c>
      <c r="AB30" s="38">
        <f>'Debt_Qtr '!BI30</f>
        <v>350</v>
      </c>
      <c r="AC30" s="43">
        <f t="shared" si="5"/>
        <v>350</v>
      </c>
      <c r="AD30" s="43">
        <f t="shared" si="5"/>
        <v>350</v>
      </c>
      <c r="AE30" s="43">
        <f t="shared" si="5"/>
        <v>350</v>
      </c>
      <c r="AF30" s="43">
        <f t="shared" si="5"/>
        <v>350</v>
      </c>
    </row>
    <row r="31" spans="1:32" s="26" customFormat="1">
      <c r="A31" s="3" t="str">
        <f>'Debt_Qtr '!A31</f>
        <v>3.3% due March 2035</v>
      </c>
      <c r="B31" s="43"/>
      <c r="C31" s="43"/>
      <c r="D31" s="43"/>
      <c r="E31" s="43"/>
      <c r="F31" s="43"/>
      <c r="G31" s="43"/>
      <c r="H31" s="43"/>
      <c r="I31" s="43"/>
      <c r="J31" s="43"/>
      <c r="K31" s="43"/>
      <c r="L31" s="43"/>
      <c r="M31" s="43"/>
      <c r="N31" s="43"/>
      <c r="O31" s="43"/>
      <c r="P31" s="43"/>
      <c r="Q31" s="43"/>
      <c r="R31" s="43"/>
      <c r="S31" s="38">
        <f>'Debt_Qtr '!P31</f>
        <v>250</v>
      </c>
      <c r="T31" s="38">
        <f>'Debt_Qtr '!U31</f>
        <v>250</v>
      </c>
      <c r="U31" s="38">
        <f>'Debt_Qtr '!Z31</f>
        <v>250</v>
      </c>
      <c r="V31" s="38">
        <f>'Debt_Qtr '!AE31</f>
        <v>250</v>
      </c>
      <c r="W31" s="38">
        <f>'Debt_Qtr '!AJ31</f>
        <v>250</v>
      </c>
      <c r="X31" s="38">
        <f>'Debt_Qtr '!AO31</f>
        <v>250</v>
      </c>
      <c r="Y31" s="38">
        <f>'Debt_Qtr '!AT31</f>
        <v>250</v>
      </c>
      <c r="Z31" s="38">
        <f>'Debt_Qtr '!AY31</f>
        <v>250</v>
      </c>
      <c r="AA31" s="38">
        <f>'Debt_Qtr '!BD31</f>
        <v>250</v>
      </c>
      <c r="AB31" s="38">
        <f>'Debt_Qtr '!BI31</f>
        <v>250</v>
      </c>
      <c r="AC31" s="43">
        <f t="shared" si="5"/>
        <v>250</v>
      </c>
      <c r="AD31" s="43">
        <f t="shared" si="5"/>
        <v>250</v>
      </c>
      <c r="AE31" s="43">
        <f t="shared" si="5"/>
        <v>250</v>
      </c>
      <c r="AF31" s="43">
        <f t="shared" si="5"/>
        <v>250</v>
      </c>
    </row>
    <row r="32" spans="1:32" s="26" customFormat="1">
      <c r="A32" s="3" t="str">
        <f>'Debt_Qtr '!A32</f>
        <v>3.375% due June 2046</v>
      </c>
      <c r="B32" s="43"/>
      <c r="C32" s="43"/>
      <c r="D32" s="43"/>
      <c r="E32" s="43"/>
      <c r="F32" s="43"/>
      <c r="G32" s="43"/>
      <c r="H32" s="43"/>
      <c r="I32" s="43"/>
      <c r="J32" s="43"/>
      <c r="K32" s="43"/>
      <c r="L32" s="43"/>
      <c r="M32" s="43"/>
      <c r="N32" s="43"/>
      <c r="O32" s="43"/>
      <c r="P32" s="43"/>
      <c r="Q32" s="43"/>
      <c r="R32" s="43"/>
      <c r="S32" s="38">
        <f>'Debt_Qtr '!P32</f>
        <v>400</v>
      </c>
      <c r="T32" s="38">
        <f>'Debt_Qtr '!U32</f>
        <v>400</v>
      </c>
      <c r="U32" s="38">
        <f>'Debt_Qtr '!Z32</f>
        <v>400</v>
      </c>
      <c r="V32" s="38">
        <f>'Debt_Qtr '!AE32</f>
        <v>400</v>
      </c>
      <c r="W32" s="38">
        <f>'Debt_Qtr '!AJ32</f>
        <v>400</v>
      </c>
      <c r="X32" s="38">
        <f>'Debt_Qtr '!AO32</f>
        <v>400</v>
      </c>
      <c r="Y32" s="38">
        <f>'Debt_Qtr '!AT32</f>
        <v>400</v>
      </c>
      <c r="Z32" s="38">
        <f>'Debt_Qtr '!AY32</f>
        <v>400</v>
      </c>
      <c r="AA32" s="38">
        <f>'Debt_Qtr '!BD32</f>
        <v>400</v>
      </c>
      <c r="AB32" s="38">
        <f>'Debt_Qtr '!BI32</f>
        <v>400</v>
      </c>
      <c r="AC32" s="43">
        <f t="shared" si="5"/>
        <v>400</v>
      </c>
      <c r="AD32" s="43">
        <f t="shared" si="5"/>
        <v>400</v>
      </c>
      <c r="AE32" s="43">
        <f t="shared" si="5"/>
        <v>400</v>
      </c>
      <c r="AF32" s="43">
        <f t="shared" si="5"/>
        <v>400</v>
      </c>
    </row>
    <row r="33" spans="1:32" s="26" customFormat="1">
      <c r="A33" s="3" t="str">
        <f>'Debt_Qtr '!A33</f>
        <v>3.45% due Nov 2028</v>
      </c>
      <c r="B33" s="43"/>
      <c r="C33" s="43"/>
      <c r="D33" s="43"/>
      <c r="E33" s="43"/>
      <c r="F33" s="43"/>
      <c r="G33" s="43"/>
      <c r="H33" s="43"/>
      <c r="I33" s="43"/>
      <c r="J33" s="43"/>
      <c r="K33" s="43"/>
      <c r="L33" s="43"/>
      <c r="M33" s="43"/>
      <c r="N33" s="43"/>
      <c r="O33" s="43"/>
      <c r="P33" s="43"/>
      <c r="Q33" s="43"/>
      <c r="R33" s="43"/>
      <c r="S33" s="38">
        <f>'Debt_Qtr '!P33</f>
        <v>0</v>
      </c>
      <c r="T33" s="38">
        <f>'Debt_Qtr '!U33</f>
        <v>350</v>
      </c>
      <c r="U33" s="38">
        <f>'Debt_Qtr '!Z33</f>
        <v>350</v>
      </c>
      <c r="V33" s="38">
        <f>'Debt_Qtr '!AE33</f>
        <v>350</v>
      </c>
      <c r="W33" s="38">
        <f>'Debt_Qtr '!AJ33</f>
        <v>350</v>
      </c>
      <c r="X33" s="38">
        <f>'Debt_Qtr '!AO33</f>
        <v>350</v>
      </c>
      <c r="Y33" s="38">
        <f>'Debt_Qtr '!AT33</f>
        <v>350</v>
      </c>
      <c r="Z33" s="38">
        <f>'Debt_Qtr '!AY33</f>
        <v>350</v>
      </c>
      <c r="AA33" s="38">
        <f>'Debt_Qtr '!BD33</f>
        <v>350</v>
      </c>
      <c r="AB33" s="38">
        <f>'Debt_Qtr '!BI33</f>
        <v>350</v>
      </c>
      <c r="AC33" s="43">
        <f t="shared" si="5"/>
        <v>350</v>
      </c>
      <c r="AD33" s="43">
        <f t="shared" si="5"/>
        <v>350</v>
      </c>
      <c r="AE33" s="43">
        <f t="shared" si="5"/>
        <v>350</v>
      </c>
      <c r="AF33" s="43">
        <f t="shared" si="5"/>
        <v>350</v>
      </c>
    </row>
    <row r="34" spans="1:32" s="26" customFormat="1">
      <c r="A34" s="3" t="str">
        <f>'Debt_Qtr '!A34</f>
        <v>3.5% due March 2039</v>
      </c>
      <c r="B34" s="43"/>
      <c r="C34" s="43"/>
      <c r="D34" s="43"/>
      <c r="E34" s="43"/>
      <c r="F34" s="43"/>
      <c r="G34" s="43"/>
      <c r="H34" s="43"/>
      <c r="I34" s="43"/>
      <c r="J34" s="43"/>
      <c r="K34" s="43"/>
      <c r="L34" s="43"/>
      <c r="M34" s="43"/>
      <c r="N34" s="43"/>
      <c r="O34" s="43"/>
      <c r="P34" s="43"/>
      <c r="Q34" s="43"/>
      <c r="R34" s="43"/>
      <c r="S34" s="38">
        <f>'Debt_Qtr '!P34</f>
        <v>0</v>
      </c>
      <c r="T34" s="38">
        <f>'Debt_Qtr '!U34</f>
        <v>0</v>
      </c>
      <c r="U34" s="38">
        <f>'Debt_Qtr '!Z34</f>
        <v>400</v>
      </c>
      <c r="V34" s="38">
        <f>'Debt_Qtr '!AE34</f>
        <v>400</v>
      </c>
      <c r="W34" s="38">
        <f>'Debt_Qtr '!AJ34</f>
        <v>400</v>
      </c>
      <c r="X34" s="38">
        <f>'Debt_Qtr '!AO34</f>
        <v>400</v>
      </c>
      <c r="Y34" s="38">
        <f>'Debt_Qtr '!AT34</f>
        <v>400</v>
      </c>
      <c r="Z34" s="38">
        <f>'Debt_Qtr '!AY34</f>
        <v>400</v>
      </c>
      <c r="AA34" s="38">
        <f>'Debt_Qtr '!BD34</f>
        <v>400</v>
      </c>
      <c r="AB34" s="38">
        <f>'Debt_Qtr '!BI34</f>
        <v>400</v>
      </c>
      <c r="AC34" s="43">
        <f t="shared" si="5"/>
        <v>400</v>
      </c>
      <c r="AD34" s="43">
        <f t="shared" si="5"/>
        <v>400</v>
      </c>
      <c r="AE34" s="43">
        <f t="shared" si="5"/>
        <v>400</v>
      </c>
      <c r="AF34" s="43">
        <f t="shared" si="5"/>
        <v>400</v>
      </c>
    </row>
    <row r="35" spans="1:32" s="26" customFormat="1">
      <c r="A35" s="3" t="str">
        <f>'Debt_Qtr '!A35</f>
        <v>3.5% due March 2045</v>
      </c>
      <c r="B35" s="43"/>
      <c r="C35" s="43"/>
      <c r="D35" s="43"/>
      <c r="E35" s="43"/>
      <c r="F35" s="43"/>
      <c r="G35" s="43"/>
      <c r="H35" s="43"/>
      <c r="I35" s="43"/>
      <c r="J35" s="43"/>
      <c r="K35" s="43"/>
      <c r="L35" s="43"/>
      <c r="M35" s="43"/>
      <c r="N35" s="43"/>
      <c r="O35" s="43"/>
      <c r="P35" s="43"/>
      <c r="Q35" s="43"/>
      <c r="R35" s="43"/>
      <c r="S35" s="38">
        <f>'Debt_Qtr '!P35</f>
        <v>250</v>
      </c>
      <c r="T35" s="38">
        <f>'Debt_Qtr '!U35</f>
        <v>250</v>
      </c>
      <c r="U35" s="38">
        <f>'Debt_Qtr '!Z35</f>
        <v>250</v>
      </c>
      <c r="V35" s="38">
        <f>'Debt_Qtr '!AE35</f>
        <v>250</v>
      </c>
      <c r="W35" s="38">
        <f>'Debt_Qtr '!AJ35</f>
        <v>250</v>
      </c>
      <c r="X35" s="38">
        <f>'Debt_Qtr '!AO35</f>
        <v>250</v>
      </c>
      <c r="Y35" s="38">
        <f>'Debt_Qtr '!AT35</f>
        <v>250</v>
      </c>
      <c r="Z35" s="38">
        <f>'Debt_Qtr '!AY35</f>
        <v>250</v>
      </c>
      <c r="AA35" s="38">
        <f>'Debt_Qtr '!BD35</f>
        <v>250</v>
      </c>
      <c r="AB35" s="38">
        <f>'Debt_Qtr '!BI35</f>
        <v>250</v>
      </c>
      <c r="AC35" s="43">
        <f t="shared" si="5"/>
        <v>250</v>
      </c>
      <c r="AD35" s="43">
        <f t="shared" si="5"/>
        <v>250</v>
      </c>
      <c r="AE35" s="43">
        <f t="shared" si="5"/>
        <v>250</v>
      </c>
      <c r="AF35" s="43">
        <f t="shared" si="5"/>
        <v>250</v>
      </c>
    </row>
    <row r="36" spans="1:32" s="26" customFormat="1">
      <c r="A36" s="3" t="str">
        <f>'Debt_Qtr '!A36</f>
        <v>3.55% due March 2038</v>
      </c>
      <c r="B36" s="43"/>
      <c r="C36" s="43"/>
      <c r="D36" s="43"/>
      <c r="E36" s="43"/>
      <c r="F36" s="43"/>
      <c r="G36" s="43"/>
      <c r="H36" s="43"/>
      <c r="I36" s="43"/>
      <c r="J36" s="43"/>
      <c r="K36" s="43"/>
      <c r="L36" s="43"/>
      <c r="M36" s="43"/>
      <c r="N36" s="43"/>
      <c r="O36" s="43"/>
      <c r="P36" s="43"/>
      <c r="Q36" s="43"/>
      <c r="R36" s="43"/>
      <c r="S36" s="38">
        <f>'Debt_Qtr '!P36</f>
        <v>0</v>
      </c>
      <c r="T36" s="38">
        <f>'Debt_Qtr '!U36</f>
        <v>350</v>
      </c>
      <c r="U36" s="38">
        <f>'Debt_Qtr '!Z36</f>
        <v>350</v>
      </c>
      <c r="V36" s="38">
        <f>'Debt_Qtr '!AE36</f>
        <v>350</v>
      </c>
      <c r="W36" s="38">
        <f>'Debt_Qtr '!AJ36</f>
        <v>350</v>
      </c>
      <c r="X36" s="38">
        <f>'Debt_Qtr '!AO36</f>
        <v>350</v>
      </c>
      <c r="Y36" s="38">
        <f>'Debt_Qtr '!AT36</f>
        <v>350</v>
      </c>
      <c r="Z36" s="38">
        <f>'Debt_Qtr '!AY36</f>
        <v>350</v>
      </c>
      <c r="AA36" s="38">
        <f>'Debt_Qtr '!BD36</f>
        <v>350</v>
      </c>
      <c r="AB36" s="38">
        <f>'Debt_Qtr '!BI36</f>
        <v>350</v>
      </c>
      <c r="AC36" s="43">
        <f t="shared" si="5"/>
        <v>350</v>
      </c>
      <c r="AD36" s="43">
        <f t="shared" si="5"/>
        <v>350</v>
      </c>
      <c r="AE36" s="43">
        <f t="shared" si="5"/>
        <v>350</v>
      </c>
      <c r="AF36" s="43">
        <f t="shared" si="5"/>
        <v>350</v>
      </c>
    </row>
    <row r="37" spans="1:32" s="26" customFormat="1">
      <c r="A37" s="3" t="str">
        <f>'Debt_Qtr '!A37</f>
        <v>3.6% due May 2034</v>
      </c>
      <c r="B37" s="43"/>
      <c r="C37" s="43"/>
      <c r="D37" s="43"/>
      <c r="E37" s="43"/>
      <c r="F37" s="43"/>
      <c r="G37" s="43"/>
      <c r="H37" s="43"/>
      <c r="I37" s="43"/>
      <c r="J37" s="43"/>
      <c r="K37" s="43"/>
      <c r="L37" s="43"/>
      <c r="M37" s="43"/>
      <c r="N37" s="43"/>
      <c r="O37" s="43"/>
      <c r="P37" s="43"/>
      <c r="Q37" s="43"/>
      <c r="R37" s="43"/>
      <c r="S37" s="38">
        <f>'Debt_Qtr '!P37</f>
        <v>0</v>
      </c>
      <c r="T37" s="38">
        <f>'Debt_Qtr '!U37</f>
        <v>0</v>
      </c>
      <c r="U37" s="38">
        <f>'Debt_Qtr '!Z37</f>
        <v>850</v>
      </c>
      <c r="V37" s="38">
        <f>'Debt_Qtr '!AE37</f>
        <v>850</v>
      </c>
      <c r="W37" s="38">
        <f>'Debt_Qtr '!AJ37</f>
        <v>850</v>
      </c>
      <c r="X37" s="38">
        <f>'Debt_Qtr '!AO37</f>
        <v>850</v>
      </c>
      <c r="Y37" s="38">
        <f>'Debt_Qtr '!AT37</f>
        <v>850</v>
      </c>
      <c r="Z37" s="38">
        <f>'Debt_Qtr '!AY37</f>
        <v>850</v>
      </c>
      <c r="AA37" s="38">
        <f>'Debt_Qtr '!BD37</f>
        <v>850</v>
      </c>
      <c r="AB37" s="38">
        <f>'Debt_Qtr '!BI37</f>
        <v>850</v>
      </c>
      <c r="AC37" s="43">
        <f t="shared" si="5"/>
        <v>850</v>
      </c>
      <c r="AD37" s="43">
        <f t="shared" si="5"/>
        <v>850</v>
      </c>
      <c r="AE37" s="43">
        <f t="shared" si="5"/>
        <v>850</v>
      </c>
      <c r="AF37" s="43">
        <f t="shared" si="5"/>
        <v>850</v>
      </c>
    </row>
    <row r="38" spans="1:32" s="26" customFormat="1">
      <c r="A38" s="3" t="str">
        <f>'Debt_Qtr '!A38</f>
        <v>3.625% due March 2048</v>
      </c>
      <c r="B38" s="43"/>
      <c r="C38" s="43"/>
      <c r="D38" s="43"/>
      <c r="E38" s="43"/>
      <c r="F38" s="43"/>
      <c r="G38" s="43"/>
      <c r="H38" s="43"/>
      <c r="I38" s="43"/>
      <c r="J38" s="43"/>
      <c r="K38" s="43"/>
      <c r="L38" s="43"/>
      <c r="M38" s="43"/>
      <c r="N38" s="43"/>
      <c r="O38" s="43"/>
      <c r="P38" s="43"/>
      <c r="Q38" s="43"/>
      <c r="R38" s="43"/>
      <c r="S38" s="38">
        <f>'Debt_Qtr '!P38</f>
        <v>0</v>
      </c>
      <c r="T38" s="38">
        <f>'Debt_Qtr '!U38</f>
        <v>350</v>
      </c>
      <c r="U38" s="38">
        <f>'Debt_Qtr '!Z38</f>
        <v>350</v>
      </c>
      <c r="V38" s="38">
        <f>'Debt_Qtr '!AE38</f>
        <v>350</v>
      </c>
      <c r="W38" s="38">
        <f>'Debt_Qtr '!AJ38</f>
        <v>350</v>
      </c>
      <c r="X38" s="38">
        <f>'Debt_Qtr '!AO38</f>
        <v>350</v>
      </c>
      <c r="Y38" s="38">
        <f>'Debt_Qtr '!AT38</f>
        <v>350</v>
      </c>
      <c r="Z38" s="38">
        <f>'Debt_Qtr '!AY38</f>
        <v>350</v>
      </c>
      <c r="AA38" s="38">
        <f>'Debt_Qtr '!BD38</f>
        <v>350</v>
      </c>
      <c r="AB38" s="38">
        <f>'Debt_Qtr '!BI38</f>
        <v>350</v>
      </c>
      <c r="AC38" s="43">
        <f t="shared" si="5"/>
        <v>350</v>
      </c>
      <c r="AD38" s="43">
        <f t="shared" si="5"/>
        <v>350</v>
      </c>
      <c r="AE38" s="43">
        <f t="shared" si="5"/>
        <v>350</v>
      </c>
      <c r="AF38" s="43">
        <f t="shared" si="5"/>
        <v>350</v>
      </c>
    </row>
    <row r="39" spans="1:32" s="26" customFormat="1">
      <c r="A39" s="3" t="str">
        <f>'Debt_Qtr '!A39</f>
        <v>3.65% due March 2047</v>
      </c>
      <c r="B39" s="43"/>
      <c r="C39" s="43"/>
      <c r="D39" s="43"/>
      <c r="E39" s="43"/>
      <c r="F39" s="43"/>
      <c r="G39" s="43"/>
      <c r="H39" s="43"/>
      <c r="I39" s="43"/>
      <c r="J39" s="43"/>
      <c r="K39" s="43"/>
      <c r="L39" s="43"/>
      <c r="M39" s="43"/>
      <c r="N39" s="43"/>
      <c r="O39" s="43"/>
      <c r="P39" s="43"/>
      <c r="Q39" s="43"/>
      <c r="R39" s="43"/>
      <c r="S39" s="38">
        <f>'Debt_Qtr '!P39</f>
        <v>300</v>
      </c>
      <c r="T39" s="38">
        <f>'Debt_Qtr '!U39</f>
        <v>300</v>
      </c>
      <c r="U39" s="38">
        <f>'Debt_Qtr '!Z39</f>
        <v>300</v>
      </c>
      <c r="V39" s="38">
        <f>'Debt_Qtr '!AE39</f>
        <v>300</v>
      </c>
      <c r="W39" s="38">
        <f>'Debt_Qtr '!AJ39</f>
        <v>300</v>
      </c>
      <c r="X39" s="38">
        <f>'Debt_Qtr '!AO39</f>
        <v>300</v>
      </c>
      <c r="Y39" s="38">
        <f>'Debt_Qtr '!AT39</f>
        <v>300</v>
      </c>
      <c r="Z39" s="38">
        <f>'Debt_Qtr '!AY39</f>
        <v>300</v>
      </c>
      <c r="AA39" s="38">
        <f>'Debt_Qtr '!BD39</f>
        <v>300</v>
      </c>
      <c r="AB39" s="38">
        <f>'Debt_Qtr '!BI39</f>
        <v>300</v>
      </c>
      <c r="AC39" s="43">
        <f t="shared" si="5"/>
        <v>300</v>
      </c>
      <c r="AD39" s="43">
        <f t="shared" si="5"/>
        <v>300</v>
      </c>
      <c r="AE39" s="43">
        <f t="shared" si="5"/>
        <v>300</v>
      </c>
      <c r="AF39" s="43">
        <f t="shared" si="5"/>
        <v>300</v>
      </c>
    </row>
    <row r="40" spans="1:32" s="26" customFormat="1">
      <c r="A40" s="3" t="str">
        <f>'Debt_Qtr '!A40</f>
        <v>3.75% due Feb 2050</v>
      </c>
      <c r="B40" s="43"/>
      <c r="C40" s="43"/>
      <c r="D40" s="43"/>
      <c r="E40" s="43"/>
      <c r="F40" s="43"/>
      <c r="G40" s="43"/>
      <c r="H40" s="43"/>
      <c r="I40" s="43"/>
      <c r="J40" s="43"/>
      <c r="K40" s="43"/>
      <c r="L40" s="43"/>
      <c r="M40" s="43"/>
      <c r="N40" s="43"/>
      <c r="O40" s="43"/>
      <c r="P40" s="43"/>
      <c r="Q40" s="43"/>
      <c r="R40" s="43"/>
      <c r="S40" s="38">
        <f>'Debt_Qtr '!P40</f>
        <v>0</v>
      </c>
      <c r="T40" s="38">
        <f>'Debt_Qtr '!U40</f>
        <v>0</v>
      </c>
      <c r="U40" s="38">
        <f>'Debt_Qtr '!Z40</f>
        <v>1250</v>
      </c>
      <c r="V40" s="38">
        <f>'Debt_Qtr '!AE40</f>
        <v>1250</v>
      </c>
      <c r="W40" s="38">
        <f>'Debt_Qtr '!AJ40</f>
        <v>1250</v>
      </c>
      <c r="X40" s="38">
        <f>'Debt_Qtr '!AO40</f>
        <v>1250</v>
      </c>
      <c r="Y40" s="38">
        <f>'Debt_Qtr '!AT40</f>
        <v>1250</v>
      </c>
      <c r="Z40" s="38">
        <f>'Debt_Qtr '!AY40</f>
        <v>1250</v>
      </c>
      <c r="AA40" s="38">
        <f>'Debt_Qtr '!BD40</f>
        <v>1250</v>
      </c>
      <c r="AB40" s="38">
        <f>'Debt_Qtr '!BI40</f>
        <v>1250</v>
      </c>
      <c r="AC40" s="43">
        <f t="shared" si="5"/>
        <v>1250</v>
      </c>
      <c r="AD40" s="43">
        <f t="shared" si="5"/>
        <v>1250</v>
      </c>
      <c r="AE40" s="43">
        <f t="shared" si="5"/>
        <v>1250</v>
      </c>
      <c r="AF40" s="43">
        <f t="shared" si="5"/>
        <v>1250</v>
      </c>
    </row>
    <row r="41" spans="1:32" s="26" customFormat="1">
      <c r="A41" s="3" t="str">
        <f>'Debt_Qtr '!A41</f>
        <v>3.825% due March 2059</v>
      </c>
      <c r="B41" s="43"/>
      <c r="C41" s="43"/>
      <c r="D41" s="43"/>
      <c r="E41" s="43"/>
      <c r="F41" s="43"/>
      <c r="G41" s="43"/>
      <c r="H41" s="43"/>
      <c r="I41" s="43"/>
      <c r="J41" s="43"/>
      <c r="K41" s="43"/>
      <c r="L41" s="43"/>
      <c r="M41" s="43"/>
      <c r="N41" s="43"/>
      <c r="O41" s="43"/>
      <c r="P41" s="43"/>
      <c r="Q41" s="43"/>
      <c r="R41" s="43"/>
      <c r="S41" s="38">
        <f>'Debt_Qtr '!P41</f>
        <v>0</v>
      </c>
      <c r="T41" s="38">
        <f>'Debt_Qtr '!U41</f>
        <v>0</v>
      </c>
      <c r="U41" s="38">
        <f>'Debt_Qtr '!Z41</f>
        <v>300</v>
      </c>
      <c r="V41" s="38">
        <f>'Debt_Qtr '!AE41</f>
        <v>300</v>
      </c>
      <c r="W41" s="38">
        <f>'Debt_Qtr '!AJ41</f>
        <v>300</v>
      </c>
      <c r="X41" s="38">
        <f>'Debt_Qtr '!AO41</f>
        <v>300</v>
      </c>
      <c r="Y41" s="38">
        <f>'Debt_Qtr '!AT41</f>
        <v>300</v>
      </c>
      <c r="Z41" s="38">
        <f>'Debt_Qtr '!AY41</f>
        <v>300</v>
      </c>
      <c r="AA41" s="38">
        <f>'Debt_Qtr '!BD41</f>
        <v>300</v>
      </c>
      <c r="AB41" s="38">
        <f>'Debt_Qtr '!BI41</f>
        <v>300</v>
      </c>
      <c r="AC41" s="43">
        <f t="shared" si="5"/>
        <v>300</v>
      </c>
      <c r="AD41" s="43">
        <f t="shared" si="5"/>
        <v>300</v>
      </c>
      <c r="AE41" s="43">
        <f t="shared" si="5"/>
        <v>300</v>
      </c>
      <c r="AF41" s="43">
        <f t="shared" si="5"/>
        <v>300</v>
      </c>
    </row>
    <row r="42" spans="1:32" s="26" customFormat="1">
      <c r="A42" s="3" t="str">
        <f>'Debt_Qtr '!A42</f>
        <v>3.85% due Nov 2048</v>
      </c>
      <c r="B42" s="43"/>
      <c r="C42" s="43"/>
      <c r="D42" s="43"/>
      <c r="E42" s="43"/>
      <c r="F42" s="43"/>
      <c r="G42" s="43"/>
      <c r="H42" s="43"/>
      <c r="I42" s="43"/>
      <c r="J42" s="43"/>
      <c r="K42" s="43"/>
      <c r="L42" s="43"/>
      <c r="M42" s="43"/>
      <c r="N42" s="43"/>
      <c r="O42" s="43"/>
      <c r="P42" s="43"/>
      <c r="Q42" s="43"/>
      <c r="R42" s="43"/>
      <c r="S42" s="38">
        <f>'Debt_Qtr '!P42</f>
        <v>0</v>
      </c>
      <c r="T42" s="38">
        <f>'Debt_Qtr '!U42</f>
        <v>350</v>
      </c>
      <c r="U42" s="38">
        <f>'Debt_Qtr '!Z42</f>
        <v>350</v>
      </c>
      <c r="V42" s="38">
        <f>'Debt_Qtr '!AE42</f>
        <v>350</v>
      </c>
      <c r="W42" s="38">
        <f>'Debt_Qtr '!AJ42</f>
        <v>350</v>
      </c>
      <c r="X42" s="38">
        <f>'Debt_Qtr '!AO42</f>
        <v>350</v>
      </c>
      <c r="Y42" s="38">
        <f>'Debt_Qtr '!AT42</f>
        <v>350</v>
      </c>
      <c r="Z42" s="38">
        <f>'Debt_Qtr '!AY42</f>
        <v>350</v>
      </c>
      <c r="AA42" s="38">
        <f>'Debt_Qtr '!BD42</f>
        <v>350</v>
      </c>
      <c r="AB42" s="38">
        <f>'Debt_Qtr '!BI42</f>
        <v>350</v>
      </c>
      <c r="AC42" s="43">
        <f t="shared" si="5"/>
        <v>350</v>
      </c>
      <c r="AD42" s="43">
        <f t="shared" si="5"/>
        <v>350</v>
      </c>
      <c r="AE42" s="43">
        <f t="shared" si="5"/>
        <v>350</v>
      </c>
      <c r="AF42" s="43">
        <f t="shared" si="5"/>
        <v>350</v>
      </c>
    </row>
    <row r="43" spans="1:32" s="26" customFormat="1">
      <c r="A43" s="3" t="str">
        <f>'Debt_Qtr '!A43</f>
        <v>3.9% due May 2049</v>
      </c>
      <c r="B43" s="43"/>
      <c r="C43" s="43"/>
      <c r="D43" s="43"/>
      <c r="E43" s="43"/>
      <c r="F43" s="43"/>
      <c r="G43" s="43"/>
      <c r="H43" s="43"/>
      <c r="I43" s="43"/>
      <c r="J43" s="43"/>
      <c r="K43" s="43"/>
      <c r="L43" s="43"/>
      <c r="M43" s="43"/>
      <c r="N43" s="43"/>
      <c r="O43" s="43"/>
      <c r="P43" s="43"/>
      <c r="Q43" s="43"/>
      <c r="R43" s="43"/>
      <c r="S43" s="38">
        <f>'Debt_Qtr '!P43</f>
        <v>0</v>
      </c>
      <c r="T43" s="38">
        <f>'Debt_Qtr '!U43</f>
        <v>0</v>
      </c>
      <c r="U43" s="38">
        <f>'Debt_Qtr '!Z43</f>
        <v>800</v>
      </c>
      <c r="V43" s="38">
        <f>'Debt_Qtr '!AE43</f>
        <v>800</v>
      </c>
      <c r="W43" s="38">
        <f>'Debt_Qtr '!AJ43</f>
        <v>800</v>
      </c>
      <c r="X43" s="38">
        <f>'Debt_Qtr '!AO43</f>
        <v>800</v>
      </c>
      <c r="Y43" s="38">
        <f>'Debt_Qtr '!AT43</f>
        <v>800</v>
      </c>
      <c r="Z43" s="38">
        <f>'Debt_Qtr '!AY43</f>
        <v>800</v>
      </c>
      <c r="AA43" s="38">
        <f>'Debt_Qtr '!BD43</f>
        <v>800</v>
      </c>
      <c r="AB43" s="38">
        <f>'Debt_Qtr '!BI43</f>
        <v>800</v>
      </c>
      <c r="AC43" s="43">
        <f t="shared" si="5"/>
        <v>800</v>
      </c>
      <c r="AD43" s="43">
        <f t="shared" si="5"/>
        <v>800</v>
      </c>
      <c r="AE43" s="43">
        <f t="shared" si="5"/>
        <v>800</v>
      </c>
      <c r="AF43" s="43">
        <f t="shared" si="5"/>
        <v>800</v>
      </c>
    </row>
    <row r="44" spans="1:32" s="26" customFormat="1">
      <c r="A44" s="3" t="str">
        <f>'Debt_Qtr '!A44</f>
        <v>3.95% due Aug 2059</v>
      </c>
      <c r="B44" s="43"/>
      <c r="C44" s="43"/>
      <c r="D44" s="43"/>
      <c r="E44" s="43"/>
      <c r="F44" s="43"/>
      <c r="G44" s="43"/>
      <c r="H44" s="43"/>
      <c r="I44" s="43"/>
      <c r="J44" s="43"/>
      <c r="K44" s="43"/>
      <c r="L44" s="43"/>
      <c r="M44" s="43"/>
      <c r="N44" s="43"/>
      <c r="O44" s="43"/>
      <c r="P44" s="43"/>
      <c r="Q44" s="43"/>
      <c r="R44" s="43"/>
      <c r="S44" s="38">
        <f>'Debt_Qtr '!P44</f>
        <v>0</v>
      </c>
      <c r="T44" s="38">
        <f>'Debt_Qtr '!U44</f>
        <v>0</v>
      </c>
      <c r="U44" s="38">
        <f>'Debt_Qtr '!Z44</f>
        <v>1000</v>
      </c>
      <c r="V44" s="38">
        <f>'Debt_Qtr '!AE44</f>
        <v>1000</v>
      </c>
      <c r="W44" s="38">
        <f>'Debt_Qtr '!AJ44</f>
        <v>1000</v>
      </c>
      <c r="X44" s="38">
        <f>'Debt_Qtr '!AO44</f>
        <v>1000</v>
      </c>
      <c r="Y44" s="38">
        <f>'Debt_Qtr '!AT44</f>
        <v>1000</v>
      </c>
      <c r="Z44" s="38">
        <f>'Debt_Qtr '!AY44</f>
        <v>1000</v>
      </c>
      <c r="AA44" s="38">
        <f>'Debt_Qtr '!BD44</f>
        <v>1000</v>
      </c>
      <c r="AB44" s="38">
        <f>'Debt_Qtr '!BI44</f>
        <v>1000</v>
      </c>
      <c r="AC44" s="43">
        <f t="shared" si="5"/>
        <v>1000</v>
      </c>
      <c r="AD44" s="43">
        <f t="shared" si="5"/>
        <v>1000</v>
      </c>
      <c r="AE44" s="43">
        <f t="shared" si="5"/>
        <v>1000</v>
      </c>
      <c r="AF44" s="43">
        <f t="shared" si="5"/>
        <v>1000</v>
      </c>
    </row>
    <row r="45" spans="1:32" s="26" customFormat="1">
      <c r="A45" s="3" t="str">
        <f>'Debt_Qtr '!A45</f>
        <v>4.875% due Feb 2020</v>
      </c>
      <c r="B45" s="43"/>
      <c r="C45" s="43"/>
      <c r="D45" s="43"/>
      <c r="E45" s="43"/>
      <c r="F45" s="43"/>
      <c r="G45" s="43"/>
      <c r="H45" s="43"/>
      <c r="I45" s="43"/>
      <c r="J45" s="43"/>
      <c r="K45" s="43"/>
      <c r="L45" s="43"/>
      <c r="M45" s="43"/>
      <c r="N45" s="43"/>
      <c r="O45" s="43"/>
      <c r="P45" s="43"/>
      <c r="Q45" s="43"/>
      <c r="R45" s="43"/>
      <c r="S45" s="38">
        <f>'Debt_Qtr '!P45</f>
        <v>750</v>
      </c>
      <c r="T45" s="38">
        <f>'Debt_Qtr '!U45</f>
        <v>750</v>
      </c>
      <c r="U45" s="38">
        <f>'Debt_Qtr '!Z45</f>
        <v>750</v>
      </c>
      <c r="V45" s="38">
        <f>'Debt_Qtr '!AE45</f>
        <v>0</v>
      </c>
      <c r="W45" s="38">
        <f>'Debt_Qtr '!AJ45</f>
        <v>0</v>
      </c>
      <c r="X45" s="38">
        <f>'Debt_Qtr '!AO45</f>
        <v>0</v>
      </c>
      <c r="Y45" s="38">
        <f>'Debt_Qtr '!AT45</f>
        <v>0</v>
      </c>
      <c r="Z45" s="38">
        <f>'Debt_Qtr '!AY45</f>
        <v>0</v>
      </c>
      <c r="AA45" s="38">
        <f>'Debt_Qtr '!BD45</f>
        <v>0</v>
      </c>
      <c r="AB45" s="38">
        <f>'Debt_Qtr '!BI45</f>
        <v>0</v>
      </c>
      <c r="AC45" s="43">
        <f t="shared" si="5"/>
        <v>0</v>
      </c>
      <c r="AD45" s="43">
        <f t="shared" si="5"/>
        <v>0</v>
      </c>
      <c r="AE45" s="43">
        <f t="shared" si="5"/>
        <v>0</v>
      </c>
      <c r="AF45" s="43">
        <f t="shared" si="5"/>
        <v>0</v>
      </c>
    </row>
    <row r="46" spans="1:32" s="26" customFormat="1">
      <c r="A46" s="3" t="str">
        <f>'Debt_Qtr '!A46</f>
        <v>5.875% due Feb 2040</v>
      </c>
      <c r="B46" s="43"/>
      <c r="C46" s="43"/>
      <c r="D46" s="43"/>
      <c r="E46" s="43"/>
      <c r="F46" s="43"/>
      <c r="G46" s="43"/>
      <c r="H46" s="43"/>
      <c r="I46" s="43"/>
      <c r="J46" s="43"/>
      <c r="K46" s="43"/>
      <c r="L46" s="43"/>
      <c r="M46" s="43"/>
      <c r="N46" s="43"/>
      <c r="O46" s="43"/>
      <c r="P46" s="43"/>
      <c r="Q46" s="43"/>
      <c r="R46" s="43"/>
      <c r="S46" s="38">
        <f>'Debt_Qtr '!P46</f>
        <v>450</v>
      </c>
      <c r="T46" s="38">
        <f>'Debt_Qtr '!U46</f>
        <v>450</v>
      </c>
      <c r="U46" s="38">
        <f>'Debt_Qtr '!Z46</f>
        <v>450</v>
      </c>
      <c r="V46" s="38">
        <f>'Debt_Qtr '!AE46</f>
        <v>450</v>
      </c>
      <c r="W46" s="38">
        <f>'Debt_Qtr '!AJ46</f>
        <v>450</v>
      </c>
      <c r="X46" s="38">
        <f>'Debt_Qtr '!AO46</f>
        <v>450</v>
      </c>
      <c r="Y46" s="38">
        <f>'Debt_Qtr '!AT46</f>
        <v>450</v>
      </c>
      <c r="Z46" s="38">
        <f>'Debt_Qtr '!AY46</f>
        <v>450</v>
      </c>
      <c r="AA46" s="38">
        <f>'Debt_Qtr '!BD46</f>
        <v>450</v>
      </c>
      <c r="AB46" s="38">
        <f>'Debt_Qtr '!BI46</f>
        <v>450</v>
      </c>
      <c r="AC46" s="43">
        <f t="shared" si="5"/>
        <v>450</v>
      </c>
      <c r="AD46" s="43">
        <f t="shared" si="5"/>
        <v>450</v>
      </c>
      <c r="AE46" s="43">
        <f t="shared" si="5"/>
        <v>450</v>
      </c>
      <c r="AF46" s="43">
        <f t="shared" si="5"/>
        <v>450</v>
      </c>
    </row>
    <row r="47" spans="1:32" s="26" customFormat="1">
      <c r="A47" s="3" t="str">
        <f>'Debt_Qtr '!A47</f>
        <v>6% due March 2019</v>
      </c>
      <c r="B47" s="43"/>
      <c r="C47" s="43"/>
      <c r="D47" s="43"/>
      <c r="E47" s="43"/>
      <c r="F47" s="43"/>
      <c r="G47" s="43"/>
      <c r="H47" s="43"/>
      <c r="I47" s="43"/>
      <c r="J47" s="43"/>
      <c r="K47" s="43"/>
      <c r="L47" s="43"/>
      <c r="M47" s="43"/>
      <c r="N47" s="43"/>
      <c r="O47" s="43"/>
      <c r="P47" s="43"/>
      <c r="Q47" s="43"/>
      <c r="R47" s="43"/>
      <c r="S47" s="38">
        <f>'Debt_Qtr '!P47</f>
        <v>650</v>
      </c>
      <c r="T47" s="38">
        <f>'Debt_Qtr '!U47</f>
        <v>650</v>
      </c>
      <c r="U47" s="38">
        <f>'Debt_Qtr '!Z47</f>
        <v>0</v>
      </c>
      <c r="V47" s="38">
        <f>'Debt_Qtr '!AE47</f>
        <v>0</v>
      </c>
      <c r="W47" s="38">
        <f>'Debt_Qtr '!AJ47</f>
        <v>0</v>
      </c>
      <c r="X47" s="38">
        <f>'Debt_Qtr '!AO47</f>
        <v>0</v>
      </c>
      <c r="Y47" s="38">
        <f>'Debt_Qtr '!AT47</f>
        <v>0</v>
      </c>
      <c r="Z47" s="38">
        <f>'Debt_Qtr '!AY47</f>
        <v>0</v>
      </c>
      <c r="AA47" s="38">
        <f>'Debt_Qtr '!BD47</f>
        <v>0</v>
      </c>
      <c r="AB47" s="38">
        <f>'Debt_Qtr '!BI47</f>
        <v>0</v>
      </c>
      <c r="AC47" s="43">
        <f t="shared" si="5"/>
        <v>0</v>
      </c>
      <c r="AD47" s="43">
        <f t="shared" si="5"/>
        <v>0</v>
      </c>
      <c r="AE47" s="43">
        <f t="shared" si="5"/>
        <v>0</v>
      </c>
      <c r="AF47" s="43">
        <f t="shared" si="5"/>
        <v>0</v>
      </c>
    </row>
    <row r="48" spans="1:32" s="26" customFormat="1">
      <c r="A48" s="3" t="str">
        <f>'Debt_Qtr '!A48</f>
        <v>6.125% due Feb 2033</v>
      </c>
      <c r="B48" s="43"/>
      <c r="C48" s="43"/>
      <c r="D48" s="43"/>
      <c r="E48" s="43"/>
      <c r="F48" s="43"/>
      <c r="G48" s="43"/>
      <c r="H48" s="43"/>
      <c r="I48" s="43"/>
      <c r="J48" s="43"/>
      <c r="K48" s="43"/>
      <c r="L48" s="43"/>
      <c r="M48" s="43"/>
      <c r="N48" s="43"/>
      <c r="O48" s="43"/>
      <c r="P48" s="43"/>
      <c r="Q48" s="43"/>
      <c r="R48" s="43"/>
      <c r="S48" s="38">
        <f>'Debt_Qtr '!P48</f>
        <v>400</v>
      </c>
      <c r="T48" s="38">
        <f>'Debt_Qtr '!U48</f>
        <v>400</v>
      </c>
      <c r="U48" s="38">
        <f>'Debt_Qtr '!Z48</f>
        <v>400</v>
      </c>
      <c r="V48" s="38">
        <f>'Debt_Qtr '!AE48</f>
        <v>400</v>
      </c>
      <c r="W48" s="38">
        <f>'Debt_Qtr '!AJ48</f>
        <v>400</v>
      </c>
      <c r="X48" s="38">
        <f>'Debt_Qtr '!AO48</f>
        <v>400</v>
      </c>
      <c r="Y48" s="38">
        <f>'Debt_Qtr '!AT48</f>
        <v>400</v>
      </c>
      <c r="Z48" s="38">
        <f>'Debt_Qtr '!AY48</f>
        <v>400</v>
      </c>
      <c r="AA48" s="38">
        <f>'Debt_Qtr '!BD48</f>
        <v>400</v>
      </c>
      <c r="AB48" s="38">
        <f>'Debt_Qtr '!BI48</f>
        <v>400</v>
      </c>
      <c r="AC48" s="43">
        <f t="shared" si="5"/>
        <v>400</v>
      </c>
      <c r="AD48" s="43">
        <v>0</v>
      </c>
      <c r="AE48" s="43">
        <v>0</v>
      </c>
      <c r="AF48" s="43">
        <v>0</v>
      </c>
    </row>
    <row r="49" spans="1:32" s="26" customFormat="1">
      <c r="A49" s="3" t="str">
        <f>'Debt_Qtr '!A49</f>
        <v>6.625% due Feb 2038</v>
      </c>
      <c r="B49" s="43"/>
      <c r="C49" s="43"/>
      <c r="D49" s="43"/>
      <c r="E49" s="43"/>
      <c r="F49" s="43"/>
      <c r="G49" s="43"/>
      <c r="H49" s="43"/>
      <c r="I49" s="43"/>
      <c r="J49" s="43"/>
      <c r="K49" s="43"/>
      <c r="L49" s="43"/>
      <c r="M49" s="43"/>
      <c r="N49" s="43"/>
      <c r="O49" s="43"/>
      <c r="P49" s="43"/>
      <c r="Q49" s="43"/>
      <c r="R49" s="43"/>
      <c r="S49" s="38">
        <f>'Debt_Qtr '!P49</f>
        <v>300</v>
      </c>
      <c r="T49" s="38">
        <f>'Debt_Qtr '!U49</f>
        <v>300</v>
      </c>
      <c r="U49" s="38">
        <f>'Debt_Qtr '!Z49</f>
        <v>300</v>
      </c>
      <c r="V49" s="38">
        <f>'Debt_Qtr '!AE49</f>
        <v>300</v>
      </c>
      <c r="W49" s="38">
        <f>'Debt_Qtr '!AJ49</f>
        <v>300</v>
      </c>
      <c r="X49" s="38">
        <f>'Debt_Qtr '!AO49</f>
        <v>300</v>
      </c>
      <c r="Y49" s="38">
        <f>'Debt_Qtr '!AT49</f>
        <v>300</v>
      </c>
      <c r="Z49" s="38">
        <f>'Debt_Qtr '!AY49</f>
        <v>300</v>
      </c>
      <c r="AA49" s="38">
        <f>'Debt_Qtr '!BD49</f>
        <v>300</v>
      </c>
      <c r="AB49" s="38">
        <f>'Debt_Qtr '!BI49</f>
        <v>300</v>
      </c>
      <c r="AC49" s="43">
        <f t="shared" si="5"/>
        <v>300</v>
      </c>
      <c r="AD49" s="43">
        <v>0</v>
      </c>
      <c r="AE49" s="43">
        <v>0</v>
      </c>
      <c r="AF49" s="43">
        <v>0</v>
      </c>
    </row>
    <row r="50" spans="1:32" s="26" customFormat="1">
      <c r="A50" s="3" t="str">
        <f>'Debt_Qtr '!A50</f>
        <v>6.875% due March 2039</v>
      </c>
      <c r="B50" s="43"/>
      <c r="C50" s="43"/>
      <c r="D50" s="43"/>
      <c r="E50" s="43"/>
      <c r="F50" s="43"/>
      <c r="G50" s="43"/>
      <c r="H50" s="43"/>
      <c r="I50" s="43"/>
      <c r="J50" s="43"/>
      <c r="K50" s="43"/>
      <c r="L50" s="43"/>
      <c r="M50" s="43"/>
      <c r="N50" s="43"/>
      <c r="O50" s="43"/>
      <c r="P50" s="43"/>
      <c r="Q50" s="43"/>
      <c r="R50" s="43"/>
      <c r="S50" s="38">
        <f>'Debt_Qtr '!P50</f>
        <v>500</v>
      </c>
      <c r="T50" s="38">
        <f>'Debt_Qtr '!U50</f>
        <v>500</v>
      </c>
      <c r="U50" s="38">
        <f>'Debt_Qtr '!Z50</f>
        <v>500</v>
      </c>
      <c r="V50" s="38">
        <f>'Debt_Qtr '!AE50</f>
        <v>500</v>
      </c>
      <c r="W50" s="38">
        <f>'Debt_Qtr '!AJ50</f>
        <v>500</v>
      </c>
      <c r="X50" s="38">
        <f>'Debt_Qtr '!AO50</f>
        <v>500</v>
      </c>
      <c r="Y50" s="38">
        <f>'Debt_Qtr '!AT50</f>
        <v>500</v>
      </c>
      <c r="Z50" s="38">
        <f>'Debt_Qtr '!AY50</f>
        <v>500</v>
      </c>
      <c r="AA50" s="38">
        <f>'Debt_Qtr '!BD50</f>
        <v>500</v>
      </c>
      <c r="AB50" s="38">
        <f>'Debt_Qtr '!BI50</f>
        <v>500</v>
      </c>
      <c r="AC50" s="43">
        <f t="shared" si="5"/>
        <v>500</v>
      </c>
      <c r="AD50" s="43">
        <v>0</v>
      </c>
      <c r="AE50" s="43">
        <v>0</v>
      </c>
      <c r="AF50" s="43">
        <v>0</v>
      </c>
    </row>
    <row r="51" spans="1:32" s="26" customFormat="1">
      <c r="A51" s="3" t="str">
        <f>'Debt_Qtr '!A51</f>
        <v>6.875% due Oct 2043</v>
      </c>
      <c r="B51" s="43"/>
      <c r="C51" s="43"/>
      <c r="D51" s="43"/>
      <c r="E51" s="43"/>
      <c r="F51" s="43"/>
      <c r="G51" s="43"/>
      <c r="H51" s="43"/>
      <c r="I51" s="43"/>
      <c r="J51" s="43"/>
      <c r="K51" s="43"/>
      <c r="L51" s="43"/>
      <c r="M51" s="43"/>
      <c r="N51" s="43"/>
      <c r="O51" s="43"/>
      <c r="P51" s="43"/>
      <c r="Q51" s="43"/>
      <c r="R51" s="43"/>
      <c r="S51" s="38">
        <f>'Debt_Qtr '!P51</f>
        <v>125</v>
      </c>
      <c r="T51" s="38">
        <f>'Debt_Qtr '!U51</f>
        <v>125</v>
      </c>
      <c r="U51" s="38">
        <f>'Debt_Qtr '!Z51</f>
        <v>124.99</v>
      </c>
      <c r="V51" s="38">
        <f>'Debt_Qtr '!AE51</f>
        <v>125</v>
      </c>
      <c r="W51" s="38">
        <f>'Debt_Qtr '!AJ51</f>
        <v>125</v>
      </c>
      <c r="X51" s="38">
        <f>'Debt_Qtr '!AO51</f>
        <v>125</v>
      </c>
      <c r="Y51" s="38">
        <f>'Debt_Qtr '!AT51</f>
        <v>125</v>
      </c>
      <c r="Z51" s="38">
        <f>'Debt_Qtr '!AY51</f>
        <v>125</v>
      </c>
      <c r="AA51" s="38">
        <f>'Debt_Qtr '!BD51</f>
        <v>125</v>
      </c>
      <c r="AB51" s="38">
        <f>'Debt_Qtr '!BI51</f>
        <v>125</v>
      </c>
      <c r="AC51" s="43">
        <f t="shared" si="5"/>
        <v>125</v>
      </c>
      <c r="AD51" s="43">
        <f t="shared" si="5"/>
        <v>125</v>
      </c>
      <c r="AE51" s="43">
        <f t="shared" si="5"/>
        <v>125</v>
      </c>
      <c r="AF51" s="43">
        <f t="shared" si="5"/>
        <v>125</v>
      </c>
    </row>
    <row r="52" spans="1:32" s="26" customFormat="1">
      <c r="A52" s="3" t="str">
        <f>'Debt_Qtr '!A52</f>
        <v>7.25% due June 2025</v>
      </c>
      <c r="B52" s="43"/>
      <c r="C52" s="43"/>
      <c r="D52" s="43"/>
      <c r="E52" s="43"/>
      <c r="F52" s="43"/>
      <c r="G52" s="43"/>
      <c r="H52" s="43"/>
      <c r="I52" s="43"/>
      <c r="J52" s="43"/>
      <c r="K52" s="43"/>
      <c r="L52" s="43"/>
      <c r="M52" s="43"/>
      <c r="N52" s="43"/>
      <c r="O52" s="43"/>
      <c r="P52" s="43"/>
      <c r="Q52" s="43"/>
      <c r="R52" s="43"/>
      <c r="S52" s="38">
        <f>'Debt_Qtr '!P52</f>
        <v>247</v>
      </c>
      <c r="T52" s="38">
        <f>'Debt_Qtr '!U52</f>
        <v>247</v>
      </c>
      <c r="U52" s="38">
        <f>'Debt_Qtr '!Z52</f>
        <v>249.79300000000001</v>
      </c>
      <c r="V52" s="38">
        <f>'Debt_Qtr '!AE52</f>
        <v>250</v>
      </c>
      <c r="W52" s="38">
        <f>'Debt_Qtr '!AJ52</f>
        <v>250</v>
      </c>
      <c r="X52" s="38">
        <f>'Debt_Qtr '!AO52</f>
        <v>250</v>
      </c>
      <c r="Y52" s="38">
        <f>'Debt_Qtr '!AT52</f>
        <v>250</v>
      </c>
      <c r="Z52" s="38">
        <f>'Debt_Qtr '!AY52</f>
        <v>250</v>
      </c>
      <c r="AA52" s="38">
        <f>'Debt_Qtr '!BD52</f>
        <v>250</v>
      </c>
      <c r="AB52" s="38">
        <f>'Debt_Qtr '!BI52</f>
        <v>0</v>
      </c>
      <c r="AC52" s="43">
        <v>0</v>
      </c>
      <c r="AD52" s="43">
        <v>0</v>
      </c>
      <c r="AE52" s="43">
        <v>0</v>
      </c>
      <c r="AF52" s="43">
        <v>0</v>
      </c>
    </row>
    <row r="53" spans="1:32" s="26" customFormat="1">
      <c r="A53" s="3" t="str">
        <f>'Debt_Qtr '!A53</f>
        <v>7.5% due Aug 2042</v>
      </c>
      <c r="B53" s="43"/>
      <c r="C53" s="43"/>
      <c r="D53" s="43"/>
      <c r="E53" s="43"/>
      <c r="F53" s="43"/>
      <c r="G53" s="43"/>
      <c r="H53" s="43"/>
      <c r="I53" s="43"/>
      <c r="J53" s="43"/>
      <c r="K53" s="43"/>
      <c r="L53" s="43"/>
      <c r="M53" s="43"/>
      <c r="N53" s="43"/>
      <c r="O53" s="43"/>
      <c r="P53" s="43"/>
      <c r="Q53" s="43"/>
      <c r="R53" s="43"/>
      <c r="S53" s="38">
        <f>'Debt_Qtr '!P53</f>
        <v>100</v>
      </c>
      <c r="T53" s="38">
        <f>'Debt_Qtr '!U53</f>
        <v>100</v>
      </c>
      <c r="U53" s="38">
        <f>'Debt_Qtr '!Z53</f>
        <v>99.99</v>
      </c>
      <c r="V53" s="38">
        <f>'Debt_Qtr '!AE53</f>
        <v>100</v>
      </c>
      <c r="W53" s="38">
        <f>'Debt_Qtr '!AJ53</f>
        <v>100</v>
      </c>
      <c r="X53" s="38">
        <f>'Debt_Qtr '!AO53</f>
        <v>100</v>
      </c>
      <c r="Y53" s="38">
        <f>'Debt_Qtr '!AT53</f>
        <v>100</v>
      </c>
      <c r="Z53" s="38">
        <f>'Debt_Qtr '!AY53</f>
        <v>100</v>
      </c>
      <c r="AA53" s="38">
        <f>'Debt_Qtr '!BD53</f>
        <v>100</v>
      </c>
      <c r="AB53" s="38">
        <f>'Debt_Qtr '!BI53</f>
        <v>100</v>
      </c>
      <c r="AC53" s="43">
        <f t="shared" si="5"/>
        <v>100</v>
      </c>
      <c r="AD53" s="43">
        <f t="shared" si="5"/>
        <v>100</v>
      </c>
      <c r="AE53" s="43">
        <f t="shared" si="5"/>
        <v>100</v>
      </c>
      <c r="AF53" s="43">
        <f t="shared" si="5"/>
        <v>100</v>
      </c>
    </row>
    <row r="54" spans="1:32" s="26" customFormat="1">
      <c r="A54" s="3" t="str">
        <f>'Debt_Qtr '!A54</f>
        <v>7.875% due April 2043</v>
      </c>
      <c r="B54" s="43"/>
      <c r="C54" s="43"/>
      <c r="D54" s="43"/>
      <c r="E54" s="43"/>
      <c r="F54" s="43"/>
      <c r="G54" s="43"/>
      <c r="H54" s="43"/>
      <c r="I54" s="43"/>
      <c r="J54" s="43"/>
      <c r="K54" s="43"/>
      <c r="L54" s="43"/>
      <c r="M54" s="43"/>
      <c r="N54" s="43"/>
      <c r="O54" s="43"/>
      <c r="P54" s="43"/>
      <c r="Q54" s="43"/>
      <c r="R54" s="43"/>
      <c r="S54" s="38">
        <f>'Debt_Qtr '!P54</f>
        <v>175</v>
      </c>
      <c r="T54" s="38">
        <f>'Debt_Qtr '!U54</f>
        <v>175</v>
      </c>
      <c r="U54" s="38">
        <f>'Debt_Qtr '!Z54</f>
        <v>175</v>
      </c>
      <c r="V54" s="38">
        <f>'Debt_Qtr '!AE54</f>
        <v>175</v>
      </c>
      <c r="W54" s="38">
        <f>'Debt_Qtr '!AJ54</f>
        <v>175</v>
      </c>
      <c r="X54" s="38">
        <f>'Debt_Qtr '!AO54</f>
        <v>175</v>
      </c>
      <c r="Y54" s="38">
        <f>'Debt_Qtr '!AT54</f>
        <v>175</v>
      </c>
      <c r="Z54" s="38">
        <f>'Debt_Qtr '!AY54</f>
        <v>175</v>
      </c>
      <c r="AA54" s="38">
        <f>'Debt_Qtr '!BD54</f>
        <v>175</v>
      </c>
      <c r="AB54" s="38">
        <f>'Debt_Qtr '!BI54</f>
        <v>175</v>
      </c>
      <c r="AC54" s="43">
        <f t="shared" si="5"/>
        <v>175</v>
      </c>
      <c r="AD54" s="43">
        <f t="shared" si="5"/>
        <v>175</v>
      </c>
      <c r="AE54" s="43">
        <f t="shared" si="5"/>
        <v>175</v>
      </c>
      <c r="AF54" s="43">
        <f t="shared" si="5"/>
        <v>175</v>
      </c>
    </row>
    <row r="55" spans="1:32" s="26" customFormat="1">
      <c r="A55" s="3" t="str">
        <f>'Debt_Qtr '!A55</f>
        <v>7.95% due Aug 2024</v>
      </c>
      <c r="B55" s="43"/>
      <c r="C55" s="43"/>
      <c r="D55" s="43"/>
      <c r="E55" s="43"/>
      <c r="F55" s="43"/>
      <c r="G55" s="43"/>
      <c r="H55" s="43"/>
      <c r="I55" s="43"/>
      <c r="J55" s="43"/>
      <c r="K55" s="43"/>
      <c r="L55" s="43"/>
      <c r="M55" s="43"/>
      <c r="N55" s="43"/>
      <c r="O55" s="43"/>
      <c r="P55" s="43"/>
      <c r="Q55" s="43"/>
      <c r="R55" s="43"/>
      <c r="S55" s="38">
        <f>'Debt_Qtr '!P55</f>
        <v>299.88</v>
      </c>
      <c r="T55" s="38">
        <f>'Debt_Qtr '!U55</f>
        <v>299.88</v>
      </c>
      <c r="U55" s="38">
        <f>'Debt_Qtr '!Z55</f>
        <v>299.88</v>
      </c>
      <c r="V55" s="38">
        <f>'Debt_Qtr '!AE55</f>
        <v>300</v>
      </c>
      <c r="W55" s="38">
        <f>'Debt_Qtr '!AJ55</f>
        <v>300</v>
      </c>
      <c r="X55" s="38">
        <f>'Debt_Qtr '!AO55</f>
        <v>300</v>
      </c>
      <c r="Y55" s="38">
        <f>'Debt_Qtr '!AT55</f>
        <v>300</v>
      </c>
      <c r="Z55" s="38">
        <f>'Debt_Qtr '!AY55</f>
        <v>0</v>
      </c>
      <c r="AA55" s="38">
        <f>'Debt_Qtr '!BD55</f>
        <v>0</v>
      </c>
      <c r="AB55" s="38">
        <f>'Debt_Qtr '!BI55</f>
        <v>0</v>
      </c>
      <c r="AC55" s="43">
        <f t="shared" si="5"/>
        <v>0</v>
      </c>
      <c r="AD55" s="43">
        <f t="shared" si="5"/>
        <v>0</v>
      </c>
      <c r="AE55" s="43">
        <f t="shared" si="5"/>
        <v>0</v>
      </c>
      <c r="AF55" s="43">
        <f t="shared" si="5"/>
        <v>0</v>
      </c>
    </row>
    <row r="56" spans="1:32" s="26" customFormat="1">
      <c r="A56" s="3" t="str">
        <f>'Debt_Qtr '!A56</f>
        <v>8.625% due Nov 2031</v>
      </c>
      <c r="B56" s="43"/>
      <c r="C56" s="43"/>
      <c r="D56" s="43"/>
      <c r="E56" s="43"/>
      <c r="F56" s="43"/>
      <c r="G56" s="43"/>
      <c r="H56" s="43"/>
      <c r="I56" s="43"/>
      <c r="J56" s="43"/>
      <c r="K56" s="43"/>
      <c r="L56" s="43"/>
      <c r="M56" s="43"/>
      <c r="N56" s="43"/>
      <c r="O56" s="43"/>
      <c r="P56" s="43"/>
      <c r="Q56" s="43"/>
      <c r="R56" s="43"/>
      <c r="S56" s="38">
        <f>'Debt_Qtr '!P56</f>
        <v>175</v>
      </c>
      <c r="T56" s="38">
        <f>'Debt_Qtr '!U56</f>
        <v>175</v>
      </c>
      <c r="U56" s="38">
        <f>'Debt_Qtr '!Z56</f>
        <v>175</v>
      </c>
      <c r="V56" s="38">
        <f>'Debt_Qtr '!AE56</f>
        <v>175</v>
      </c>
      <c r="W56" s="38">
        <f>'Debt_Qtr '!AJ56</f>
        <v>175</v>
      </c>
      <c r="X56" s="38">
        <f>'Debt_Qtr '!AO56</f>
        <v>175</v>
      </c>
      <c r="Y56" s="38">
        <f>'Debt_Qtr '!AT56</f>
        <v>175</v>
      </c>
      <c r="Z56" s="38">
        <f>'Debt_Qtr '!AY56</f>
        <v>175</v>
      </c>
      <c r="AA56" s="38">
        <f>'Debt_Qtr '!BD56</f>
        <v>175</v>
      </c>
      <c r="AB56" s="38">
        <f>'Debt_Qtr '!BI56</f>
        <v>175</v>
      </c>
      <c r="AC56" s="43">
        <f t="shared" si="5"/>
        <v>175</v>
      </c>
      <c r="AD56" s="43">
        <f t="shared" si="5"/>
        <v>175</v>
      </c>
      <c r="AE56" s="43">
        <f t="shared" si="5"/>
        <v>175</v>
      </c>
      <c r="AF56" s="43">
        <f t="shared" si="5"/>
        <v>175</v>
      </c>
    </row>
    <row r="57" spans="1:32" s="26" customFormat="1">
      <c r="A57" s="3" t="str">
        <f>'Debt_Qtr '!A57</f>
        <v>8.75% due Sep 2031</v>
      </c>
      <c r="B57" s="43"/>
      <c r="C57" s="43"/>
      <c r="D57" s="43"/>
      <c r="E57" s="43"/>
      <c r="F57" s="43"/>
      <c r="G57" s="43"/>
      <c r="H57" s="43"/>
      <c r="I57" s="43"/>
      <c r="J57" s="43"/>
      <c r="K57" s="43"/>
      <c r="L57" s="43"/>
      <c r="M57" s="43"/>
      <c r="N57" s="43"/>
      <c r="O57" s="43"/>
      <c r="P57" s="43"/>
      <c r="Q57" s="43"/>
      <c r="R57" s="43"/>
      <c r="S57" s="38">
        <f>'Debt_Qtr '!P57</f>
        <v>248</v>
      </c>
      <c r="T57" s="38">
        <f>'Debt_Qtr '!U57</f>
        <v>248</v>
      </c>
      <c r="U57" s="38">
        <f>'Debt_Qtr '!Z57</f>
        <v>249.98</v>
      </c>
      <c r="V57" s="38">
        <f>'Debt_Qtr '!AE57</f>
        <v>250</v>
      </c>
      <c r="W57" s="38">
        <f>'Debt_Qtr '!AJ57</f>
        <v>250</v>
      </c>
      <c r="X57" s="38">
        <f>'Debt_Qtr '!AO57</f>
        <v>250</v>
      </c>
      <c r="Y57" s="38">
        <f>'Debt_Qtr '!AT57</f>
        <v>250</v>
      </c>
      <c r="Z57" s="38">
        <f>'Debt_Qtr '!AY57</f>
        <v>250</v>
      </c>
      <c r="AA57" s="38">
        <f>'Debt_Qtr '!BD57</f>
        <v>250</v>
      </c>
      <c r="AB57" s="38">
        <f>'Debt_Qtr '!BI57</f>
        <v>250</v>
      </c>
      <c r="AC57" s="43">
        <f t="shared" si="5"/>
        <v>250</v>
      </c>
      <c r="AD57" s="43">
        <f t="shared" si="5"/>
        <v>250</v>
      </c>
      <c r="AE57" s="43">
        <f t="shared" si="5"/>
        <v>250</v>
      </c>
      <c r="AF57" s="43">
        <f t="shared" si="5"/>
        <v>250</v>
      </c>
    </row>
    <row r="58" spans="1:32" s="26" customFormat="1">
      <c r="A58" s="3" t="str">
        <f>'Debt_Qtr '!A58</f>
        <v>8.75% due Aug 2021</v>
      </c>
      <c r="B58" s="43"/>
      <c r="C58" s="43"/>
      <c r="D58" s="43"/>
      <c r="E58" s="43"/>
      <c r="F58" s="43"/>
      <c r="G58" s="43"/>
      <c r="H58" s="43"/>
      <c r="I58" s="43"/>
      <c r="J58" s="43"/>
      <c r="K58" s="43"/>
      <c r="L58" s="43"/>
      <c r="M58" s="43"/>
      <c r="N58" s="43"/>
      <c r="O58" s="43"/>
      <c r="P58" s="43"/>
      <c r="Q58" s="43"/>
      <c r="R58" s="43"/>
      <c r="S58" s="38">
        <f>'Debt_Qtr '!P58</f>
        <v>398</v>
      </c>
      <c r="T58" s="38">
        <f>'Debt_Qtr '!U58</f>
        <v>398</v>
      </c>
      <c r="U58" s="38">
        <f>'Debt_Qtr '!Z58</f>
        <v>399.964</v>
      </c>
      <c r="V58" s="38">
        <f>'Debt_Qtr '!AE58</f>
        <v>400</v>
      </c>
      <c r="W58" s="38">
        <f>'Debt_Qtr '!AJ58</f>
        <v>0</v>
      </c>
      <c r="X58" s="38">
        <f>'Debt_Qtr '!AO58</f>
        <v>0</v>
      </c>
      <c r="Y58" s="38">
        <f>'Debt_Qtr '!AT58</f>
        <v>0</v>
      </c>
      <c r="Z58" s="38">
        <f>'Debt_Qtr '!AY58</f>
        <v>0</v>
      </c>
      <c r="AA58" s="38">
        <f>'Debt_Qtr '!BD58</f>
        <v>0</v>
      </c>
      <c r="AB58" s="38">
        <f>'Debt_Qtr '!BI58</f>
        <v>0</v>
      </c>
      <c r="AC58" s="43">
        <f t="shared" si="5"/>
        <v>0</v>
      </c>
      <c r="AD58" s="43">
        <f t="shared" si="5"/>
        <v>0</v>
      </c>
      <c r="AE58" s="43">
        <f t="shared" si="5"/>
        <v>0</v>
      </c>
      <c r="AF58" s="43">
        <f t="shared" si="5"/>
        <v>0</v>
      </c>
    </row>
    <row r="59" spans="1:32" s="26" customFormat="1">
      <c r="A59" s="3" t="str">
        <f>'Debt_Qtr '!A59</f>
        <v>Term loan facility Due Feb 2022</v>
      </c>
      <c r="B59" s="43"/>
      <c r="C59" s="43"/>
      <c r="D59" s="43"/>
      <c r="E59" s="43"/>
      <c r="F59" s="43"/>
      <c r="G59" s="43"/>
      <c r="H59" s="43"/>
      <c r="I59" s="43"/>
      <c r="J59" s="43"/>
      <c r="K59" s="43"/>
      <c r="L59" s="43"/>
      <c r="M59" s="43"/>
      <c r="N59" s="43"/>
      <c r="O59" s="43"/>
      <c r="P59" s="43"/>
      <c r="Q59" s="43"/>
      <c r="R59" s="43"/>
      <c r="S59" s="38">
        <f>'Debt_Qtr '!P59</f>
        <v>0</v>
      </c>
      <c r="T59" s="38">
        <f>'Debt_Qtr '!U59</f>
        <v>0</v>
      </c>
      <c r="U59" s="38">
        <f>'Debt_Qtr '!Z59</f>
        <v>0</v>
      </c>
      <c r="V59" s="38">
        <f>'Debt_Qtr '!AE59</f>
        <v>13825</v>
      </c>
      <c r="W59" s="38">
        <f>'Debt_Qtr '!AJ59</f>
        <v>0</v>
      </c>
      <c r="X59" s="38">
        <f>'Debt_Qtr '!AO59</f>
        <v>0</v>
      </c>
      <c r="Y59" s="38">
        <f>'Debt_Qtr '!AT59</f>
        <v>0</v>
      </c>
      <c r="Z59" s="38">
        <f>'Debt_Qtr '!AY59</f>
        <v>0</v>
      </c>
      <c r="AA59" s="38">
        <f>'Debt_Qtr '!BD59</f>
        <v>0</v>
      </c>
      <c r="AB59" s="38">
        <f>'Debt_Qtr '!BI59</f>
        <v>0</v>
      </c>
      <c r="AC59" s="43">
        <f t="shared" si="5"/>
        <v>0</v>
      </c>
      <c r="AD59" s="43">
        <f t="shared" si="5"/>
        <v>0</v>
      </c>
      <c r="AE59" s="43">
        <f t="shared" si="5"/>
        <v>0</v>
      </c>
      <c r="AF59" s="43">
        <f t="shared" si="5"/>
        <v>0</v>
      </c>
    </row>
    <row r="60" spans="1:32" s="26" customFormat="1">
      <c r="A60" s="3" t="str">
        <f>'Debt_Qtr '!A60</f>
        <v>Commercial Paper</v>
      </c>
      <c r="B60" s="43"/>
      <c r="C60" s="43"/>
      <c r="D60" s="43"/>
      <c r="E60" s="43"/>
      <c r="F60" s="43"/>
      <c r="G60" s="43"/>
      <c r="H60" s="43"/>
      <c r="I60" s="43"/>
      <c r="J60" s="43"/>
      <c r="K60" s="43"/>
      <c r="L60" s="43"/>
      <c r="M60" s="43"/>
      <c r="N60" s="43"/>
      <c r="O60" s="43"/>
      <c r="P60" s="43"/>
      <c r="Q60" s="43"/>
      <c r="R60" s="43"/>
      <c r="S60" s="38">
        <f>'Debt_Qtr '!P60</f>
        <v>600</v>
      </c>
      <c r="T60" s="38">
        <f>'Debt_Qtr '!U60</f>
        <v>1895</v>
      </c>
      <c r="U60" s="38">
        <f>'Debt_Qtr '!Z60</f>
        <v>6109</v>
      </c>
      <c r="V60" s="38">
        <f>'Debt_Qtr '!AE60</f>
        <v>-1800</v>
      </c>
      <c r="W60" s="38">
        <f>'Debt_Qtr '!AJ60</f>
        <v>0</v>
      </c>
      <c r="X60" s="38">
        <f>'Debt_Qtr '!AO60</f>
        <v>0</v>
      </c>
      <c r="Y60" s="38">
        <f>'Debt_Qtr '!AT60</f>
        <v>0</v>
      </c>
      <c r="Z60" s="38">
        <f>'Debt_Qtr '!AY60</f>
        <v>0</v>
      </c>
      <c r="AA60" s="38">
        <f>'Debt_Qtr '!BD60</f>
        <v>0</v>
      </c>
      <c r="AB60" s="38">
        <f>'Debt_Qtr '!BI60</f>
        <v>0</v>
      </c>
      <c r="AC60" s="43">
        <f t="shared" si="5"/>
        <v>0</v>
      </c>
      <c r="AD60" s="43">
        <f t="shared" si="5"/>
        <v>0</v>
      </c>
      <c r="AE60" s="43">
        <f t="shared" si="5"/>
        <v>0</v>
      </c>
      <c r="AF60" s="43">
        <f t="shared" si="5"/>
        <v>0</v>
      </c>
    </row>
    <row r="61" spans="1:32" s="26" customFormat="1">
      <c r="A61" s="3" t="str">
        <f>'Debt_Qtr '!A61</f>
        <v>6.98% to 7.38% due through 2021</v>
      </c>
      <c r="B61" s="43"/>
      <c r="C61" s="43"/>
      <c r="D61" s="43"/>
      <c r="E61" s="43"/>
      <c r="F61" s="43"/>
      <c r="G61" s="43"/>
      <c r="H61" s="43"/>
      <c r="I61" s="43"/>
      <c r="J61" s="43"/>
      <c r="K61" s="43"/>
      <c r="L61" s="43"/>
      <c r="M61" s="43"/>
      <c r="N61" s="43"/>
      <c r="O61" s="43"/>
      <c r="P61" s="43"/>
      <c r="Q61" s="43"/>
      <c r="R61" s="43"/>
      <c r="S61" s="38">
        <f>'Debt_Qtr '!P61</f>
        <v>94</v>
      </c>
      <c r="T61" s="38">
        <f>'Debt_Qtr '!U61</f>
        <v>62</v>
      </c>
      <c r="U61" s="38">
        <f>'Debt_Qtr '!Z61</f>
        <v>37</v>
      </c>
      <c r="V61" s="38">
        <f>'Debt_Qtr '!AE61</f>
        <v>37</v>
      </c>
      <c r="W61" s="38">
        <f>'Debt_Qtr '!AJ61</f>
        <v>0</v>
      </c>
      <c r="X61" s="38">
        <f>'Debt_Qtr '!AO61</f>
        <v>0</v>
      </c>
      <c r="Y61" s="38">
        <f>'Debt_Qtr '!AT61</f>
        <v>0</v>
      </c>
      <c r="Z61" s="38">
        <f>'Debt_Qtr '!AY61</f>
        <v>0</v>
      </c>
      <c r="AA61" s="38">
        <f>'Debt_Qtr '!BD61</f>
        <v>0</v>
      </c>
      <c r="AB61" s="38">
        <f>'Debt_Qtr '!BI61</f>
        <v>0</v>
      </c>
      <c r="AC61" s="43">
        <f t="shared" si="5"/>
        <v>0</v>
      </c>
      <c r="AD61" s="43">
        <f t="shared" si="5"/>
        <v>0</v>
      </c>
      <c r="AE61" s="43">
        <f t="shared" si="5"/>
        <v>0</v>
      </c>
      <c r="AF61" s="43">
        <f t="shared" si="5"/>
        <v>0</v>
      </c>
    </row>
    <row r="62" spans="1:32" s="26" customFormat="1">
      <c r="A62" s="3" t="str">
        <f>'Debt_Qtr '!A62</f>
        <v>Finance lease obligations due through 2034</v>
      </c>
      <c r="B62" s="43"/>
      <c r="C62" s="43"/>
      <c r="D62" s="43"/>
      <c r="E62" s="43"/>
      <c r="F62" s="43"/>
      <c r="G62" s="43"/>
      <c r="H62" s="43"/>
      <c r="I62" s="43"/>
      <c r="J62" s="43"/>
      <c r="K62" s="43"/>
      <c r="L62" s="43"/>
      <c r="M62" s="43"/>
      <c r="N62" s="43"/>
      <c r="O62" s="43"/>
      <c r="P62" s="43"/>
      <c r="Q62" s="43"/>
      <c r="R62" s="43"/>
      <c r="S62" s="38">
        <f>'Debt_Qtr '!P62</f>
        <v>138</v>
      </c>
      <c r="T62" s="38">
        <f>'Debt_Qtr '!U62</f>
        <v>156</v>
      </c>
      <c r="U62" s="38">
        <f>'Debt_Qtr '!Z62</f>
        <v>229</v>
      </c>
      <c r="V62" s="38">
        <f>'Debt_Qtr '!AE62</f>
        <v>229</v>
      </c>
      <c r="W62" s="38">
        <f>'Debt_Qtr '!AJ62</f>
        <v>229</v>
      </c>
      <c r="X62" s="38">
        <f>'Debt_Qtr '!AO62</f>
        <v>229</v>
      </c>
      <c r="Y62" s="38">
        <f>'Debt_Qtr '!AT62</f>
        <v>229</v>
      </c>
      <c r="Z62" s="38">
        <f>'Debt_Qtr '!AY62</f>
        <v>229</v>
      </c>
      <c r="AA62" s="38">
        <f>'Debt_Qtr '!BD62</f>
        <v>229</v>
      </c>
      <c r="AB62" s="38">
        <f>'Debt_Qtr '!BI62</f>
        <v>229</v>
      </c>
      <c r="AC62" s="43">
        <f t="shared" si="5"/>
        <v>229</v>
      </c>
      <c r="AD62" s="43">
        <f t="shared" si="5"/>
        <v>229</v>
      </c>
      <c r="AE62" s="43">
        <f t="shared" si="5"/>
        <v>229</v>
      </c>
      <c r="AF62" s="43">
        <f t="shared" si="5"/>
        <v>229</v>
      </c>
    </row>
    <row r="63" spans="1:32" s="26" customFormat="1">
      <c r="A63" s="3" t="str">
        <f>'Debt_Qtr '!A63</f>
        <v>Other Notes</v>
      </c>
      <c r="B63" s="43"/>
      <c r="C63" s="43"/>
      <c r="D63" s="43"/>
      <c r="E63" s="43"/>
      <c r="F63" s="43"/>
      <c r="G63" s="43"/>
      <c r="H63" s="43"/>
      <c r="I63" s="43"/>
      <c r="J63" s="43"/>
      <c r="K63" s="43"/>
      <c r="L63" s="43"/>
      <c r="M63" s="43"/>
      <c r="N63" s="43"/>
      <c r="O63" s="43"/>
      <c r="P63" s="43"/>
      <c r="Q63" s="43"/>
      <c r="R63" s="43"/>
      <c r="S63" s="38">
        <f>'Debt_Qtr '!P63</f>
        <v>135</v>
      </c>
      <c r="T63" s="38">
        <f>'Debt_Qtr '!U63</f>
        <v>170</v>
      </c>
      <c r="U63" s="38">
        <f>'Debt_Qtr '!Z63</f>
        <v>144</v>
      </c>
      <c r="V63" s="38">
        <f>'Debt_Qtr '!AE63</f>
        <v>144</v>
      </c>
      <c r="W63" s="38">
        <f>'Debt_Qtr '!AJ63</f>
        <v>144</v>
      </c>
      <c r="X63" s="38">
        <f>'Debt_Qtr '!AO63</f>
        <v>144</v>
      </c>
      <c r="Y63" s="38">
        <f>'Debt_Qtr '!AT63</f>
        <v>144</v>
      </c>
      <c r="Z63" s="38">
        <f>'Debt_Qtr '!AY63</f>
        <v>144</v>
      </c>
      <c r="AA63" s="38">
        <f>'Debt_Qtr '!BD63</f>
        <v>144</v>
      </c>
      <c r="AB63" s="38">
        <f>'Debt_Qtr '!BI63</f>
        <v>144</v>
      </c>
      <c r="AC63" s="43">
        <f t="shared" si="5"/>
        <v>144</v>
      </c>
      <c r="AD63" s="43">
        <f t="shared" si="5"/>
        <v>144</v>
      </c>
      <c r="AE63" s="43">
        <f t="shared" si="5"/>
        <v>144</v>
      </c>
      <c r="AF63" s="43">
        <f t="shared" si="5"/>
        <v>144</v>
      </c>
    </row>
    <row r="64" spans="1:32" s="26" customFormat="1">
      <c r="A64" s="3" t="str">
        <f>'Debt_Qtr '!A64</f>
        <v>Additional Debt</v>
      </c>
      <c r="B64" s="43"/>
      <c r="C64" s="43"/>
      <c r="D64" s="43"/>
      <c r="E64" s="43"/>
      <c r="F64" s="43"/>
      <c r="G64" s="43"/>
      <c r="H64" s="43"/>
      <c r="I64" s="43"/>
      <c r="J64" s="43"/>
      <c r="K64" s="43"/>
      <c r="L64" s="43"/>
      <c r="M64" s="43"/>
      <c r="N64" s="43"/>
      <c r="O64" s="43"/>
      <c r="P64" s="43"/>
      <c r="Q64" s="43"/>
      <c r="R64" s="43"/>
      <c r="S64" s="38">
        <f>'Debt_Qtr '!P64</f>
        <v>0</v>
      </c>
      <c r="T64" s="38">
        <f>'Debt_Qtr '!U64</f>
        <v>0</v>
      </c>
      <c r="U64" s="38">
        <f>'Debt_Qtr '!Z64</f>
        <v>0</v>
      </c>
      <c r="V64" s="38">
        <f>'Debt_Qtr '!AE64</f>
        <v>27250</v>
      </c>
      <c r="W64" s="38">
        <f>'Debt_Qtr '!AJ64</f>
        <v>28737</v>
      </c>
      <c r="X64" s="38">
        <f>'Debt_Qtr '!AO64</f>
        <v>28237</v>
      </c>
      <c r="Y64" s="38">
        <f>'Debt_Qtr '!AT64</f>
        <v>25737</v>
      </c>
      <c r="Z64" s="38">
        <f>'Debt_Qtr '!AY64</f>
        <v>34737</v>
      </c>
      <c r="AA64" s="38">
        <f>'Debt_Qtr '!BD64</f>
        <v>33687</v>
      </c>
      <c r="AB64" s="38">
        <f>'Debt_Qtr '!BI64</f>
        <v>33687</v>
      </c>
      <c r="AC64" s="43">
        <f>AB64</f>
        <v>33687</v>
      </c>
      <c r="AD64" s="43">
        <f>AC64</f>
        <v>33687</v>
      </c>
      <c r="AE64" s="43">
        <f>AD64</f>
        <v>33687</v>
      </c>
      <c r="AF64" s="43">
        <f>AE64</f>
        <v>33687</v>
      </c>
    </row>
    <row r="65" spans="1:35" s="26" customFormat="1">
      <c r="A65" s="3" t="str">
        <f>'Debt_Qtr '!A65</f>
        <v>Other Debts and Debt Issuance Cost &amp; Discount</v>
      </c>
      <c r="B65" s="72"/>
      <c r="C65" s="72"/>
      <c r="D65" s="72"/>
      <c r="E65" s="72"/>
      <c r="F65" s="72"/>
      <c r="G65" s="72"/>
      <c r="H65" s="72"/>
      <c r="I65" s="72"/>
      <c r="J65" s="72"/>
      <c r="K65" s="72"/>
      <c r="L65" s="72"/>
      <c r="M65" s="72"/>
      <c r="N65" s="72"/>
      <c r="O65" s="72"/>
      <c r="P65" s="72"/>
      <c r="Q65" s="72"/>
      <c r="R65" s="72"/>
      <c r="S65" s="38">
        <f>'Debt_Qtr '!P65</f>
        <v>632.1200000000008</v>
      </c>
      <c r="T65" s="38">
        <f>'Debt_Qtr '!U65</f>
        <v>296.1200000000008</v>
      </c>
      <c r="U65" s="38">
        <f>'Debt_Qtr '!Z65</f>
        <v>-341.59700000000521</v>
      </c>
      <c r="V65" s="38">
        <f>'Debt_Qtr '!AE65</f>
        <v>3873</v>
      </c>
      <c r="W65" s="38">
        <f>'Debt_Qtr '!AJ65</f>
        <v>-9233</v>
      </c>
      <c r="X65" s="38">
        <f>'Debt_Qtr '!AO65</f>
        <v>-8684</v>
      </c>
      <c r="Y65" s="38">
        <f>'Debt_Qtr '!AT65</f>
        <v>-4478</v>
      </c>
      <c r="Z65" s="38">
        <f>'Debt_Qtr '!AY65</f>
        <v>-7921</v>
      </c>
      <c r="AA65" s="38">
        <f>'Debt_Qtr '!BD65</f>
        <v>-6637</v>
      </c>
      <c r="AB65" s="38">
        <f>'Debt_Qtr '!BI65</f>
        <v>-6637</v>
      </c>
      <c r="AC65" s="43">
        <f t="shared" ref="AC65:AF65" si="6">AB65</f>
        <v>-6637</v>
      </c>
      <c r="AD65" s="43">
        <f t="shared" si="6"/>
        <v>-6637</v>
      </c>
      <c r="AE65" s="43">
        <f t="shared" si="6"/>
        <v>-6637</v>
      </c>
      <c r="AF65" s="43">
        <f t="shared" si="6"/>
        <v>-6637</v>
      </c>
    </row>
    <row r="66" spans="1:35" s="26" customFormat="1">
      <c r="A66" s="12" t="str">
        <f>'Debt_Qtr '!A66</f>
        <v>Total Debt, Net</v>
      </c>
      <c r="B66" s="96"/>
      <c r="C66" s="96"/>
      <c r="D66" s="96"/>
      <c r="E66" s="96"/>
      <c r="F66" s="96"/>
      <c r="G66" s="96"/>
      <c r="H66" s="96"/>
      <c r="I66" s="96"/>
      <c r="J66" s="96"/>
      <c r="K66" s="96"/>
      <c r="L66" s="96"/>
      <c r="M66" s="96"/>
      <c r="N66" s="96"/>
      <c r="O66" s="96"/>
      <c r="P66" s="96"/>
      <c r="Q66" s="96"/>
      <c r="R66" s="96"/>
      <c r="S66" s="184">
        <f>'Debt_Qtr '!P66</f>
        <v>11117</v>
      </c>
      <c r="T66" s="184">
        <f>'Debt_Qtr '!U66</f>
        <v>13847</v>
      </c>
      <c r="U66" s="184">
        <f>'Debt_Qtr '!Z66</f>
        <v>27302</v>
      </c>
      <c r="V66" s="184">
        <f>'Debt_Qtr '!AE66</f>
        <v>63583</v>
      </c>
      <c r="W66" s="184">
        <f>'Debt_Qtr '!AJ66</f>
        <v>58102</v>
      </c>
      <c r="X66" s="179">
        <f>'Debt_Qtr '!AO66</f>
        <v>57001</v>
      </c>
      <c r="Y66" s="179">
        <f>'Debt_Qtr '!AT66</f>
        <v>52307</v>
      </c>
      <c r="Z66" s="38">
        <f>'Debt_Qtr '!AY66</f>
        <v>53864</v>
      </c>
      <c r="AA66" s="38">
        <f>'Debt_Qtr '!BD66</f>
        <v>54098</v>
      </c>
      <c r="AB66" s="38">
        <f>'Debt_Qtr '!BI66</f>
        <v>49648</v>
      </c>
      <c r="AC66" s="78">
        <f>SUM(AC4:AC65)</f>
        <v>41848</v>
      </c>
      <c r="AD66" s="78">
        <f>SUM(AD4:AD65)</f>
        <v>40048</v>
      </c>
      <c r="AE66" s="78">
        <f>SUM(AE4:AE65)</f>
        <v>40048</v>
      </c>
      <c r="AF66" s="78">
        <f>SUM(AF4:AF65)</f>
        <v>40048</v>
      </c>
    </row>
    <row r="67" spans="1:35" s="26" customFormat="1">
      <c r="A67" s="3" t="str">
        <f>'Debt_Qtr '!A67</f>
        <v>Less: Short Term Debt and Current Portion</v>
      </c>
      <c r="B67" s="38"/>
      <c r="C67" s="38"/>
      <c r="D67" s="38"/>
      <c r="E67" s="38"/>
      <c r="F67" s="38"/>
      <c r="G67" s="38"/>
      <c r="H67" s="38"/>
      <c r="I67" s="38"/>
      <c r="J67" s="38"/>
      <c r="K67" s="38"/>
      <c r="L67" s="38"/>
      <c r="M67" s="38"/>
      <c r="N67" s="38"/>
      <c r="O67" s="38"/>
      <c r="P67" s="38"/>
      <c r="Q67" s="38"/>
      <c r="R67" s="38"/>
      <c r="S67" s="38">
        <f>'Debt_Qtr '!P67</f>
        <v>1335</v>
      </c>
      <c r="T67" s="38">
        <f>'Debt_Qtr '!U67</f>
        <v>3190</v>
      </c>
      <c r="U67" s="38">
        <f>'Debt_Qtr '!Z67</f>
        <v>7340</v>
      </c>
      <c r="V67" s="38">
        <f>'Debt_Qtr '!AE67</f>
        <v>1693</v>
      </c>
      <c r="W67" s="38">
        <f>'Debt_Qtr '!AJ67</f>
        <v>1296</v>
      </c>
      <c r="X67" s="38">
        <f>'Debt_Qtr '!AO67</f>
        <v>5190</v>
      </c>
      <c r="Y67" s="38">
        <f>'Debt_Qtr '!AT67</f>
        <v>5204</v>
      </c>
      <c r="Z67" s="38">
        <f>'Debt_Qtr '!AY67</f>
        <v>1278</v>
      </c>
      <c r="AA67" s="38">
        <f>'Debt_Qtr '!BD67</f>
        <v>8461</v>
      </c>
      <c r="AB67" s="38">
        <f>'Debt_Qtr '!BI67</f>
        <v>1300</v>
      </c>
      <c r="AC67" s="43">
        <f>1000+300</f>
        <v>1300</v>
      </c>
      <c r="AD67" s="43">
        <f>1000+300</f>
        <v>1300</v>
      </c>
      <c r="AE67" s="43">
        <f>1000+300</f>
        <v>1300</v>
      </c>
      <c r="AF67" s="43">
        <f>1000+300</f>
        <v>1300</v>
      </c>
      <c r="AH67" s="26" t="s">
        <v>364</v>
      </c>
      <c r="AI67" s="26">
        <v>1000</v>
      </c>
    </row>
    <row r="68" spans="1:35" s="26" customFormat="1">
      <c r="A68" s="12" t="str">
        <f>'Debt_Qtr '!A68</f>
        <v>Long-Term Debt, Net</v>
      </c>
      <c r="B68" s="96"/>
      <c r="C68" s="96"/>
      <c r="D68" s="96"/>
      <c r="E68" s="96"/>
      <c r="F68" s="96"/>
      <c r="G68" s="96"/>
      <c r="H68" s="96"/>
      <c r="I68" s="96"/>
      <c r="J68" s="96"/>
      <c r="K68" s="96"/>
      <c r="L68" s="96"/>
      <c r="M68" s="96"/>
      <c r="N68" s="96"/>
      <c r="O68" s="96"/>
      <c r="P68" s="96"/>
      <c r="Q68" s="96"/>
      <c r="R68" s="96"/>
      <c r="S68" s="96">
        <f>+S66-S67</f>
        <v>9782</v>
      </c>
      <c r="T68" s="96">
        <f>+T66-T67</f>
        <v>10657</v>
      </c>
      <c r="U68" s="96">
        <f>+U66-U67</f>
        <v>19962</v>
      </c>
      <c r="V68" s="96">
        <f>+V66-V67</f>
        <v>61890</v>
      </c>
      <c r="W68" s="96">
        <f>+W66-W67</f>
        <v>56806</v>
      </c>
      <c r="X68" s="96">
        <f t="shared" ref="X68:AC68" si="7">X66-X67</f>
        <v>51811</v>
      </c>
      <c r="Y68" s="96">
        <f t="shared" si="7"/>
        <v>47103</v>
      </c>
      <c r="Z68" s="96">
        <f t="shared" si="7"/>
        <v>52586</v>
      </c>
      <c r="AA68" s="96">
        <f t="shared" ref="AA68:AB68" si="8">AA66-AA67</f>
        <v>45637</v>
      </c>
      <c r="AB68" s="96">
        <f t="shared" si="8"/>
        <v>48348</v>
      </c>
      <c r="AC68" s="96">
        <f t="shared" si="7"/>
        <v>40548</v>
      </c>
      <c r="AD68" s="96">
        <f t="shared" ref="AD68:AE68" si="9">AD66-AD67</f>
        <v>38748</v>
      </c>
      <c r="AE68" s="96">
        <f t="shared" si="9"/>
        <v>38748</v>
      </c>
      <c r="AF68" s="96">
        <f t="shared" ref="AF68" si="10">AF66-AF67</f>
        <v>38748</v>
      </c>
      <c r="AH68" s="26" t="s">
        <v>368</v>
      </c>
      <c r="AI68" s="26">
        <v>300</v>
      </c>
    </row>
    <row r="69" spans="1:35" s="26" customFormat="1">
      <c r="A69" s="12"/>
      <c r="B69" s="96"/>
      <c r="C69" s="96"/>
      <c r="D69" s="96"/>
      <c r="E69" s="96"/>
      <c r="F69" s="96"/>
      <c r="G69" s="96"/>
      <c r="H69" s="96"/>
      <c r="I69" s="96"/>
      <c r="J69" s="96"/>
      <c r="K69" s="96"/>
      <c r="L69" s="96"/>
      <c r="M69" s="96"/>
      <c r="N69" s="96"/>
      <c r="O69" s="96"/>
      <c r="P69" s="96"/>
      <c r="Q69" s="96"/>
      <c r="R69" s="96"/>
      <c r="S69" s="96"/>
      <c r="T69" s="96"/>
      <c r="U69" s="96"/>
      <c r="V69" s="96"/>
      <c r="W69" s="96"/>
      <c r="X69" s="96"/>
      <c r="Y69" s="96"/>
      <c r="Z69" s="96"/>
      <c r="AA69" s="96"/>
      <c r="AB69" s="96"/>
      <c r="AC69" s="96"/>
      <c r="AD69" s="96"/>
      <c r="AE69" s="96"/>
      <c r="AF69" s="96"/>
    </row>
    <row r="70" spans="1:35" s="26" customFormat="1">
      <c r="A70" s="12" t="str">
        <f>'Debt_Qtr '!A70</f>
        <v>Issuance of New Debt</v>
      </c>
      <c r="B70" s="108"/>
      <c r="C70" s="108"/>
      <c r="D70" s="108"/>
      <c r="E70" s="108"/>
      <c r="F70" s="108"/>
      <c r="G70" s="108"/>
      <c r="H70" s="108"/>
      <c r="I70" s="108"/>
      <c r="J70" s="108"/>
      <c r="K70" s="108"/>
      <c r="L70" s="108"/>
      <c r="M70" s="108"/>
      <c r="N70" s="108"/>
      <c r="O70" s="108"/>
      <c r="P70" s="108"/>
      <c r="Q70" s="108"/>
      <c r="R70" s="108"/>
      <c r="S70" s="179"/>
      <c r="T70" s="179">
        <f>'Debt_Qtr '!U70</f>
        <v>3448</v>
      </c>
      <c r="U70" s="179">
        <f>'Debt_Qtr '!Z70</f>
        <v>14793.736999999999</v>
      </c>
      <c r="V70" s="179">
        <f>'Debt_Qtr '!AE70</f>
        <v>45290</v>
      </c>
      <c r="W70" s="179">
        <f>'Debt_Qtr '!AJ70</f>
        <v>22937</v>
      </c>
      <c r="X70" s="179">
        <f>'Debt_Qtr '!AO70</f>
        <v>549</v>
      </c>
      <c r="Y70" s="179">
        <f>'Debt_Qtr '!AT70</f>
        <v>4206</v>
      </c>
      <c r="Z70" s="38">
        <f>'Debt_Qtr '!AY70</f>
        <v>9000</v>
      </c>
      <c r="AA70" s="38">
        <f>'Debt_Qtr '!BD70</f>
        <v>1284</v>
      </c>
      <c r="AB70" s="38">
        <f>'Debt_Qtr '!BI70</f>
        <v>0</v>
      </c>
      <c r="AC70" s="108">
        <f>IF(AC4-AB4&gt;0,AC4-AB4,0)+IF(AC6-AB6&gt;0,AC6-AB6,0)+IF(AC8-AB8&gt;0,AC8-AB8,0)+IF(AC9-AB9&gt;0,AC9-AB9,0)+IF(AC11-AB11&gt;0,AC11-AB11,0)+IF(AC12-AB12&gt;0,AC12-AB12,0)+IF(AC13-AB13&gt;0,AC13-AB13,0)+IF(AC14-AB14&gt;0,AC14-AB14,0)+IF(AC15-AB15&gt;0,AC15-AB15,0)+IF(AC16-AB16&gt;0,AC16-AB16,0)+IF(AC17-AB17&gt;0,AC17-AB17,0)+IF(AC18-AB18&gt;0,AC18-AB18,0)+IF(AC19-AB19&gt;0,AC19-AB19,0)+IF(AC23-AB23&gt;0,AC23-AB23,0)+IF(AC24-AB24&gt;0,AC24-AB24,0)+IF(AC25-AB25&gt;0,AC25-AB25,0)+IF(AC26-AB26&gt;0,AC26-AB26,0)+IF(AC27-AB27&gt;0,AC27-AB27,0)+IF(AC28-AB28&gt;0,AC28-AB28,0)+IF(AC29-AB29&gt;0,AC29-AB29,0)+IF(AC30-AB30&gt;0,AC30-AB30,0)+IF(AC31-AB31&gt;0,AC31-AB31,0)+IF(AC32-AB32&gt;0,AC32-AB32,0)+IF(AC33-AB33&gt;0,AC33-AB33,0)+IF(AC34-AB34&gt;0,AC34-AB34,0)+IF(AC35-AB35&gt;0,AC35-AB35,0)+IF(AC36-AB36&gt;0,AC36-AB36,0)+IF(AC37-AB37&gt;0,AC37-AB37,0)+IF(AC38-AB38&gt;0,AC38-AB38,0)+IF(AC39-AB39&gt;0,AC39-AB39,0)+IF(AC40-AB40&gt;0,AC40-AB40,0)+IF(AC41-AB41&gt;0,AC41-AB41,0)+IF(AC42-AB42&gt;0,AC42-AB42,0)+IF(AC43-AB43&gt;0,AC43-AB43,0)+IF(AC44-AB44&gt;0,AC44-AB44,0)+IF(AC45-AB45&gt;0,AC45-AB45,0)+IF(AC46-AB46&gt;0,AC46-AB46,0)+IF(AC47-AB47&gt;0,AC47-AB47,0)+IF(AC48-AB48&gt;0,AC48-AB48,0)+IF(AC49-AB49&gt;0,AC49-AB49,0)+IF(AC50-AB50&gt;0,AC50-AB50,0)+IF(AC51-AB51&gt;0,AC51-AB51,0)+IF(AC52-AB52&gt;0,AC52-AB52,0)+IF(AC53-AB53&gt;0,AC53-AB53,0)+IF(AC54-AB54&gt;0,AC54-AB54,0)+IF(AC55-AB55&gt;0,AC55-AB55,0)+IF(AC56-AB56&gt;0,AC56-AB56,0)+IF(AC57-AB57&gt;0,AC57-AB57,0)+IF(AC58-AB58&gt;0,AC58-AB58,0)+IF(AC59-AB59&gt;0,AC59-AB59,0)+IF(AC60-AB60&gt;0,AC60-AB60,0)+IF(AC61-AB61&gt;0,AC61-AB61,0)+IF(AC62-AB62&gt;0,AC62-AB62,0)+IF(AC63-AB63&gt;0,AC63-AB63,0)+IF(AC64-AB64&gt;0,AC64-AB64,0)+IF(AC65-AB65&gt;0,AC65-AB65,0)+IF(AC5-AB5&gt;0,AC5-AB5,0)+IF(AC7-AB7&gt;0,AC7-AB7,0)+IF(AC10-AB10&gt;0,AC10-AB10,0)+IF(AC20-AB20&gt;0,AC20-AB20,0)+IF(AC21-AB21&gt;0,AC21-AB21,0)+IF(AC22-AB22&gt;0,AC22-AB22,0)</f>
        <v>0</v>
      </c>
      <c r="AD70" s="108">
        <f>IF(AD4-AC4&gt;0,AD4-AC4,0)+IF(AD6-AC6&gt;0,AD6-AC6,0)+IF(AD8-AC8&gt;0,AD8-AC8,0)+IF(AD9-AC9&gt;0,AD9-AC9,0)+IF(AD11-AC11&gt;0,AD11-AC11,0)+IF(AD12-AC12&gt;0,AD12-AC12,0)+IF(AD13-AC13&gt;0,AD13-AC13,0)+IF(AD14-AC14&gt;0,AD14-AC14,0)+IF(AD15-AC15&gt;0,AD15-AC15,0)+IF(AD16-AC16&gt;0,AD16-AC16,0)+IF(AD17-AC17&gt;0,AD17-AC17,0)+IF(AD18-AC18&gt;0,AD18-AC18,0)+IF(AD19-AC19&gt;0,AD19-AC19,0)+IF(AD23-AC23&gt;0,AD23-AC23,0)+IF(AD24-AC24&gt;0,AD24-AC24,0)+IF(AD25-AC25&gt;0,AD25-AC25,0)+IF(AD26-AC26&gt;0,AD26-AC26,0)+IF(AD27-AC27&gt;0,AD27-AC27,0)+IF(AD28-AC28&gt;0,AD28-AC28,0)+IF(AD29-AC29&gt;0,AD29-AC29,0)+IF(AD30-AC30&gt;0,AD30-AC30,0)+IF(AD31-AC31&gt;0,AD31-AC31,0)+IF(AD32-AC32&gt;0,AD32-AC32,0)+IF(AD33-AC33&gt;0,AD33-AC33,0)+IF(AD34-AC34&gt;0,AD34-AC34,0)+IF(AD35-AC35&gt;0,AD35-AC35,0)+IF(AD36-AC36&gt;0,AD36-AC36,0)+IF(AD37-AC37&gt;0,AD37-AC37,0)+IF(AD38-AC38&gt;0,AD38-AC38,0)+IF(AD39-AC39&gt;0,AD39-AC39,0)+IF(AD40-AC40&gt;0,AD40-AC40,0)+IF(AD41-AC41&gt;0,AD41-AC41,0)+IF(AD42-AC42&gt;0,AD42-AC42,0)+IF(AD43-AC43&gt;0,AD43-AC43,0)+IF(AD44-AC44&gt;0,AD44-AC44,0)+IF(AD45-AC45&gt;0,AD45-AC45,0)+IF(AD46-AC46&gt;0,AD46-AC46,0)+IF(AD47-AC47&gt;0,AD47-AC47,0)+IF(AD48-AC48&gt;0,AD48-AC48,0)+IF(AD49-AC49&gt;0,AD49-AC49,0)+IF(AD50-AC50&gt;0,AD50-AC50,0)+IF(AD51-AC51&gt;0,AD51-AC51,0)+IF(AD52-AC52&gt;0,AD52-AC52,0)+IF(AD53-AC53&gt;0,AD53-AC53,0)+IF(AD54-AC54&gt;0,AD54-AC54,0)+IF(AD55-AC55&gt;0,AD55-AC55,0)+IF(AD56-AC56&gt;0,AD56-AC56,0)+IF(AD57-AC57&gt;0,AD57-AC57,0)+IF(AD58-AC58&gt;0,AD58-AC58,0)+IF(AD59-AC59&gt;0,AD59-AC59,0)+IF(AD60-AC60&gt;0,AD60-AC60,0)+IF(AD61-AC61&gt;0,AD61-AC61,0)+IF(AD62-AC62&gt;0,AD62-AC62,0)+IF(AD63-AC63&gt;0,AD63-AC63,0)+IF(AD64-AC64&gt;0,AD64-AC64,0)+IF(AD65-AC65&gt;0,AD65-AC65,0)+IF(AD5-AC5&gt;0,AD5-AC5,0)+IF(AD7-AC7&gt;0,AD7-AC7,0)+IF(AD10-AC10&gt;0,AD10-AC10,0)+IF(AD20-AC20&gt;0,AD20-AC20,0)+IF(AD21-AC21&gt;0,AD21-AC21,0)+IF(AD22-AC22&gt;0,AD22-AC22,0)</f>
        <v>0</v>
      </c>
      <c r="AE70" s="108">
        <f>IF(AE4-AD4&gt;0,AE4-AD4,0)+IF(AE6-AD6&gt;0,AE6-AD6,0)+IF(AE8-AD8&gt;0,AE8-AD8,0)+IF(AE9-AD9&gt;0,AE9-AD9,0)+IF(AE11-AD11&gt;0,AE11-AD11,0)+IF(AE12-AD12&gt;0,AE12-AD12,0)+IF(AE13-AD13&gt;0,AE13-AD13,0)+IF(AE14-AD14&gt;0,AE14-AD14,0)+IF(AE15-AD15&gt;0,AE15-AD15,0)+IF(AE16-AD16&gt;0,AE16-AD16,0)+IF(AE17-AD17&gt;0,AE17-AD17,0)+IF(AE18-AD18&gt;0,AE18-AD18,0)+IF(AE19-AD19&gt;0,AE19-AD19,0)+IF(AE23-AD23&gt;0,AE23-AD23,0)+IF(AE24-AD24&gt;0,AE24-AD24,0)+IF(AE25-AD25&gt;0,AE25-AD25,0)+IF(AE26-AD26&gt;0,AE26-AD26,0)+IF(AE27-AD27&gt;0,AE27-AD27,0)+IF(AE28-AD28&gt;0,AE28-AD28,0)+IF(AE29-AD29&gt;0,AE29-AD29,0)+IF(AE30-AD30&gt;0,AE30-AD30,0)+IF(AE31-AD31&gt;0,AE31-AD31,0)+IF(AE32-AD32&gt;0,AE32-AD32,0)+IF(AE33-AD33&gt;0,AE33-AD33,0)+IF(AE34-AD34&gt;0,AE34-AD34,0)+IF(AE35-AD35&gt;0,AE35-AD35,0)+IF(AE36-AD36&gt;0,AE36-AD36,0)+IF(AE37-AD37&gt;0,AE37-AD37,0)+IF(AE38-AD38&gt;0,AE38-AD38,0)+IF(AE39-AD39&gt;0,AE39-AD39,0)+IF(AE40-AD40&gt;0,AE40-AD40,0)+IF(AE41-AD41&gt;0,AE41-AD41,0)+IF(AE42-AD42&gt;0,AE42-AD42,0)+IF(AE43-AD43&gt;0,AE43-AD43,0)+IF(AE44-AD44&gt;0,AE44-AD44,0)+IF(AE45-AD45&gt;0,AE45-AD45,0)+IF(AE46-AD46&gt;0,AE46-AD46,0)+IF(AE47-AD47&gt;0,AE47-AD47,0)+IF(AE48-AD48&gt;0,AE48-AD48,0)+IF(AE49-AD49&gt;0,AE49-AD49,0)+IF(AE50-AD50&gt;0,AE50-AD50,0)+IF(AE51-AD51&gt;0,AE51-AD51,0)+IF(AE52-AD52&gt;0,AE52-AD52,0)+IF(AE53-AD53&gt;0,AE53-AD53,0)+IF(AE54-AD54&gt;0,AE54-AD54,0)+IF(AE55-AD55&gt;0,AE55-AD55,0)+IF(AE56-AD56&gt;0,AE56-AD56,0)+IF(AE57-AD57&gt;0,AE57-AD57,0)+IF(AE58-AD58&gt;0,AE58-AD58,0)+IF(AE59-AD59&gt;0,AE59-AD59,0)+IF(AE60-AD60&gt;0,AE60-AD60,0)+IF(AE61-AD61&gt;0,AE61-AD61,0)+IF(AE62-AD62&gt;0,AE62-AD62,0)+IF(AE63-AD63&gt;0,AE63-AD63,0)+IF(AE64-AD64&gt;0,AE64-AD64,0)+IF(AE65-AD65&gt;0,AE65-AD65,0)+IF(AE5-AD5&gt;0,AE5-AD5,0)+IF(AE7-AD7&gt;0,AE7-AD7,0)+IF(AE10-AD10&gt;0,AE10-AD10,0)+IF(AE20-AD20&gt;0,AE20-AD20,0)+IF(AE21-AD21&gt;0,AE21-AD21,0)+IF(AE22-AD22&gt;0,AE22-AD22,0)</f>
        <v>0</v>
      </c>
      <c r="AF70" s="108">
        <f>IF(AF4-AE4&gt;0,AF4-AE4,0)+IF(AF6-AE6&gt;0,AF6-AE6,0)+IF(AF8-AE8&gt;0,AF8-AE8,0)+IF(AF9-AE9&gt;0,AF9-AE9,0)+IF(AF11-AE11&gt;0,AF11-AE11,0)+IF(AF12-AE12&gt;0,AF12-AE12,0)+IF(AF13-AE13&gt;0,AF13-AE13,0)+IF(AF14-AE14&gt;0,AF14-AE14,0)+IF(AF15-AE15&gt;0,AF15-AE15,0)+IF(AF16-AE16&gt;0,AF16-AE16,0)+IF(AF17-AE17&gt;0,AF17-AE17,0)+IF(AF18-AE18&gt;0,AF18-AE18,0)+IF(AF19-AE19&gt;0,AF19-AE19,0)+IF(AF23-AE23&gt;0,AF23-AE23,0)+IF(AF24-AE24&gt;0,AF24-AE24,0)+IF(AF25-AE25&gt;0,AF25-AE25,0)+IF(AF26-AE26&gt;0,AF26-AE26,0)+IF(AF27-AE27&gt;0,AF27-AE27,0)+IF(AF28-AE28&gt;0,AF28-AE28,0)+IF(AF29-AE29&gt;0,AF29-AE29,0)+IF(AF30-AE30&gt;0,AF30-AE30,0)+IF(AF31-AE31&gt;0,AF31-AE31,0)+IF(AF32-AE32&gt;0,AF32-AE32,0)+IF(AF33-AE33&gt;0,AF33-AE33,0)+IF(AF34-AE34&gt;0,AF34-AE34,0)+IF(AF35-AE35&gt;0,AF35-AE35,0)+IF(AF36-AE36&gt;0,AF36-AE36,0)+IF(AF37-AE37&gt;0,AF37-AE37,0)+IF(AF38-AE38&gt;0,AF38-AE38,0)+IF(AF39-AE39&gt;0,AF39-AE39,0)+IF(AF40-AE40&gt;0,AF40-AE40,0)+IF(AF41-AE41&gt;0,AF41-AE41,0)+IF(AF42-AE42&gt;0,AF42-AE42,0)+IF(AF43-AE43&gt;0,AF43-AE43,0)+IF(AF44-AE44&gt;0,AF44-AE44,0)+IF(AF45-AE45&gt;0,AF45-AE45,0)+IF(AF46-AE46&gt;0,AF46-AE46,0)+IF(AF47-AE47&gt;0,AF47-AE47,0)+IF(AF48-AE48&gt;0,AF48-AE48,0)+IF(AF49-AE49&gt;0,AF49-AE49,0)+IF(AF50-AE50&gt;0,AF50-AE50,0)+IF(AF51-AE51&gt;0,AF51-AE51,0)+IF(AF52-AE52&gt;0,AF52-AE52,0)+IF(AF53-AE53&gt;0,AF53-AE53,0)+IF(AF54-AE54&gt;0,AF54-AE54,0)+IF(AF55-AE55&gt;0,AF55-AE55,0)+IF(AF56-AE56&gt;0,AF56-AE56,0)+IF(AF57-AE57&gt;0,AF57-AE57,0)+IF(AF58-AE58&gt;0,AF58-AE58,0)+IF(AF59-AE59&gt;0,AF59-AE59,0)+IF(AF60-AE60&gt;0,AF60-AE60,0)+IF(AF61-AE61&gt;0,AF61-AE61,0)+IF(AF62-AE62&gt;0,AF62-AE62,0)+IF(AF63-AE63&gt;0,AF63-AE63,0)+IF(AF64-AE64&gt;0,AF64-AE64,0)+IF(AF65-AE65&gt;0,AF65-AE65,0)+IF(AF5-AE5&gt;0,AF5-AE5,0)+IF(AF7-AE7&gt;0,AF7-AE7,0)+IF(AF10-AE10&gt;0,AF10-AE10,0)+IF(AF20-AE20&gt;0,AF20-AE20,0)+IF(AF21-AE21&gt;0,AF21-AE21,0)+IF(AF22-AE22&gt;0,AF22-AE22,0)</f>
        <v>0</v>
      </c>
    </row>
    <row r="71" spans="1:35" s="26" customFormat="1">
      <c r="A71" s="12" t="str">
        <f>'Debt_Qtr '!A71</f>
        <v>Repayment of Debt</v>
      </c>
      <c r="B71" s="108"/>
      <c r="C71" s="108"/>
      <c r="D71" s="108"/>
      <c r="E71" s="108"/>
      <c r="F71" s="108"/>
      <c r="G71" s="108"/>
      <c r="H71" s="108"/>
      <c r="I71" s="108"/>
      <c r="J71" s="108"/>
      <c r="K71" s="108"/>
      <c r="L71" s="108"/>
      <c r="M71" s="108"/>
      <c r="N71" s="108"/>
      <c r="O71" s="108"/>
      <c r="P71" s="108"/>
      <c r="Q71" s="108"/>
      <c r="R71" s="108"/>
      <c r="S71" s="179"/>
      <c r="T71" s="179">
        <f>'Debt_Qtr '!U71</f>
        <v>-382</v>
      </c>
      <c r="U71" s="179">
        <f>'Debt_Qtr '!Z71</f>
        <v>-701.02</v>
      </c>
      <c r="V71" s="179">
        <f>'Debt_Qtr '!AE71</f>
        <v>-9009</v>
      </c>
      <c r="W71" s="179">
        <f>'Debt_Qtr '!AJ71</f>
        <v>-15312</v>
      </c>
      <c r="X71" s="179">
        <f>'Debt_Qtr '!AO71</f>
        <v>-1650</v>
      </c>
      <c r="Y71" s="179">
        <f>'Debt_Qtr '!AT71</f>
        <v>-7575</v>
      </c>
      <c r="Z71" s="38">
        <f>'Debt_Qtr '!AY71</f>
        <v>-7443</v>
      </c>
      <c r="AA71" s="38">
        <f>'Debt_Qtr '!BD71</f>
        <v>-1050</v>
      </c>
      <c r="AB71" s="38">
        <f>'Debt_Qtr '!BI71</f>
        <v>-4450</v>
      </c>
      <c r="AC71" s="108">
        <f>IF(AC4-AB4&lt;0,AC4-AB4,0)+IF(AC6-AB6&lt;0,AC6-AB6,0)+IF(AC8-AB8&lt;0,AC8-AB8,0)+IF(AC9-AB9&lt;0,AC9-AB9,0)+IF(AC11-AB11&lt;0,AC11-AB11,0)+IF(AC12-AB12&lt;0,AC12-AB12,0)+IF(AC13-AB13&lt;0,AC13-AB13,0)+IF(AC14-AB14&lt;0,AC14-AB14,0)+IF(AC15-AB15&lt;0,AC15-AB15,0)+IF(AC16-AB16&lt;0,AC16-AB16,0)+IF(AC17-AB17&lt;0,AC17-AB17,0)+IF(AC18-AB18&lt;0,AC18-AB18,0)+IF(AC19-AB19&lt;0,AC19-AB19,0)+IF(AC23-AB23&lt;0,AC23-AB23,0)+IF(AC24-AB24&lt;0,AC24-AB24,0)+IF(AC25-AB25&lt;0,AC25-AB25,0)+IF(AC26-AB26&lt;0,AC26-AB26,0)+IF(AC27-AB27&lt;0,AC27-AB27,0)+IF(AC28-AB28&lt;0,AC28-AB28,0)+IF(AC29-AB29&lt;0,AC29-AB29,0)+IF(AC30-AB30&lt;0,AC30-AB30,0)+IF(AC31-AB31&lt;0,AC31-AB31,0)+IF(AC32-AB32&lt;0,AC32-AB32,0)+IF(AC33-AB33&lt;0,AC33-AB33,0)+IF(AC34-AB34&lt;0,AC34-AB34,0)+IF(AC35-AB35&lt;0,AC35-AB35,0)+IF(AC36-AB36&lt;0,AC36-AB36,0)+IF(AC37-AB37&lt;0,AC37-AB37,0)+IF(AC38-AB38&lt;0,AC38-AB38,0)+IF(AC39-AB39&lt;0,AC39-AB39,0)+IF(AC40-AB40&lt;0,AC40-AB40,0)+IF(AC41-AB41&lt;0,AC41-AB41,0)+IF(AC42-AB42&lt;0,AC42-AB42,0)+IF(AC43-AB43&lt;0,AC43-AB43,0)+IF(AC44-AB44&lt;0,AC44-AB44,0)+IF(AC45-AB45&lt;0,AC45-AB45,0)+IF(AC46-AB46&lt;0,AC46-AB46,0)+IF(AC47-AB47&lt;0,AC47-AB47,0)+IF(AC48-AB48&lt;0,AC48-AB48,0)+IF(AC49-AB49&lt;0,AC49-AB49,0)+IF(AC50-AB50&lt;0,AC50-AB50,0)+IF(AC51-AB51&lt;0,AC51-AB51,0)+IF(AC52-AB52&lt;0,AC52-AB52,0)+IF(AC53-AB53&lt;0,AC53-AB53,0)+IF(AC54-AB54&lt;0,AC54-AB54,0)+IF(AC55-AB55&lt;0,AC55-AB55,0)+IF(AC56-AB56&lt;0,AC56-AB56,0)+IF(AC57-AB57&lt;0,AC57-AB57,0)+IF(AC58-AB58&lt;0,AC58-AB58,0)+IF(AC59-AB59&lt;0,AC59-AB59,0)+IF(AC60-AB60&lt;0,AC60-AB60,0)+IF(AC61-AB61&lt;0,AC61-AB61,0)+IF(AC62-AB62&lt;0,AC62-AB62,0)+IF(AC63-AB63&lt;0,AC63-AB63,0)+IF(AC64-AB64&lt;0,AC64-AB64,0)+IF(AC65-AB65&lt;0,AC65-AB65,0)+IF(AC5-AB5&lt;0,AC5-AB5,0)+IF(AC7-AB7&lt;0,AC7-AB7,0)+IF(AC10-AB10&lt;0,AC10-AB10,0)+IF(AC20-AB20&lt;0,AC20-AB20,0)+IF(AC21-AB21&lt;0,AC21-AB21,0)+IF(AC22-AB22&lt;0,AC22-AB22,0)</f>
        <v>-7800</v>
      </c>
      <c r="AD71" s="108">
        <f>IF(AD4-AC4&lt;0,AD4-AC4,0)+IF(AD6-AC6&lt;0,AD6-AC6,0)+IF(AD8-AC8&lt;0,AD8-AC8,0)+IF(AD9-AC9&lt;0,AD9-AC9,0)+IF(AD11-AC11&lt;0,AD11-AC11,0)+IF(AD12-AC12&lt;0,AD12-AC12,0)+IF(AD13-AC13&lt;0,AD13-AC13,0)+IF(AD14-AC14&lt;0,AD14-AC14,0)+IF(AD15-AC15&lt;0,AD15-AC15,0)+IF(AD16-AC16&lt;0,AD16-AC16,0)+IF(AD17-AC17&lt;0,AD17-AC17,0)+IF(AD18-AC18&lt;0,AD18-AC18,0)+IF(AD19-AC19&lt;0,AD19-AC19,0)+IF(AD23-AC23&lt;0,AD23-AC23,0)+IF(AD24-AC24&lt;0,AD24-AC24,0)+IF(AD25-AC25&lt;0,AD25-AC25,0)+IF(AD26-AC26&lt;0,AD26-AC26,0)+IF(AD27-AC27&lt;0,AD27-AC27,0)+IF(AD28-AC28&lt;0,AD28-AC28,0)+IF(AD29-AC29&lt;0,AD29-AC29,0)+IF(AD30-AC30&lt;0,AD30-AC30,0)+IF(AD31-AC31&lt;0,AD31-AC31,0)+IF(AD32-AC32&lt;0,AD32-AC32,0)+IF(AD33-AC33&lt;0,AD33-AC33,0)+IF(AD34-AC34&lt;0,AD34-AC34,0)+IF(AD35-AC35&lt;0,AD35-AC35,0)+IF(AD36-AC36&lt;0,AD36-AC36,0)+IF(AD37-AC37&lt;0,AD37-AC37,0)+IF(AD38-AC38&lt;0,AD38-AC38,0)+IF(AD39-AC39&lt;0,AD39-AC39,0)+IF(AD40-AC40&lt;0,AD40-AC40,0)+IF(AD41-AC41&lt;0,AD41-AC41,0)+IF(AD42-AC42&lt;0,AD42-AC42,0)+IF(AD43-AC43&lt;0,AD43-AC43,0)+IF(AD44-AC44&lt;0,AD44-AC44,0)+IF(AD45-AC45&lt;0,AD45-AC45,0)+IF(AD46-AC46&lt;0,AD46-AC46,0)+IF(AD47-AC47&lt;0,AD47-AC47,0)+IF(AD48-AC48&lt;0,AD48-AC48,0)+IF(AD49-AC49&lt;0,AD49-AC49,0)+IF(AD50-AC50&lt;0,AD50-AC50,0)+IF(AD51-AC51&lt;0,AD51-AC51,0)+IF(AD52-AC52&lt;0,AD52-AC52,0)+IF(AD53-AC53&lt;0,AD53-AC53,0)+IF(AD54-AC54&lt;0,AD54-AC54,0)+IF(AD55-AC55&lt;0,AD55-AC55,0)+IF(AD56-AC56&lt;0,AD56-AC56,0)+IF(AD57-AC57&lt;0,AD57-AC57,0)+IF(AD58-AC58&lt;0,AD58-AC58,0)+IF(AD59-AC59&lt;0,AD59-AC59,0)+IF(AD60-AC60&lt;0,AD60-AC60,0)+IF(AD61-AC61&lt;0,AD61-AC61,0)+IF(AD62-AC62&lt;0,AD62-AC62,0)+IF(AD63-AC63&lt;0,AD63-AC63,0)+IF(AD64-AC64&lt;0,AD64-AC64,0)+IF(AD65-AC65&lt;0,AD65-AC65,0)+IF(AD5-AC5&lt;0,AD5-AC5,0)+IF(AD7-AC7&lt;0,AD7-AC7,0)+IF(AD10-AC10&lt;0,AD10-AC10,0)+IF(AD20-AC20&lt;0,AD20-AC20,0)+IF(AD21-AC21&lt;0,AD21-AC21,0)+IF(AD22-AC22&lt;0,AD22-AC22,0)</f>
        <v>-1800</v>
      </c>
      <c r="AE71" s="108">
        <f>IF(AE4-AD4&lt;0,AE4-AD4,0)+IF(AE6-AD6&lt;0,AE6-AD6,0)+IF(AE8-AD8&lt;0,AE8-AD8,0)+IF(AE9-AD9&lt;0,AE9-AD9,0)+IF(AE11-AD11&lt;0,AE11-AD11,0)+IF(AE12-AD12&lt;0,AE12-AD12,0)+IF(AE13-AD13&lt;0,AE13-AD13,0)+IF(AE14-AD14&lt;0,AE14-AD14,0)+IF(AE15-AD15&lt;0,AE15-AD15,0)+IF(AE16-AD16&lt;0,AE16-AD16,0)+IF(AE17-AD17&lt;0,AE17-AD17,0)+IF(AE18-AD18&lt;0,AE18-AD18,0)+IF(AE19-AD19&lt;0,AE19-AD19,0)+IF(AE23-AD23&lt;0,AE23-AD23,0)+IF(AE24-AD24&lt;0,AE24-AD24,0)+IF(AE25-AD25&lt;0,AE25-AD25,0)+IF(AE26-AD26&lt;0,AE26-AD26,0)+IF(AE27-AD27&lt;0,AE27-AD27,0)+IF(AE28-AD28&lt;0,AE28-AD28,0)+IF(AE29-AD29&lt;0,AE29-AD29,0)+IF(AE30-AD30&lt;0,AE30-AD30,0)+IF(AE31-AD31&lt;0,AE31-AD31,0)+IF(AE32-AD32&lt;0,AE32-AD32,0)+IF(AE33-AD33&lt;0,AE33-AD33,0)+IF(AE34-AD34&lt;0,AE34-AD34,0)+IF(AE35-AD35&lt;0,AE35-AD35,0)+IF(AE36-AD36&lt;0,AE36-AD36,0)+IF(AE37-AD37&lt;0,AE37-AD37,0)+IF(AE38-AD38&lt;0,AE38-AD38,0)+IF(AE39-AD39&lt;0,AE39-AD39,0)+IF(AE40-AD40&lt;0,AE40-AD40,0)+IF(AE41-AD41&lt;0,AE41-AD41,0)+IF(AE42-AD42&lt;0,AE42-AD42,0)+IF(AE43-AD43&lt;0,AE43-AD43,0)+IF(AE44-AD44&lt;0,AE44-AD44,0)+IF(AE45-AD45&lt;0,AE45-AD45,0)+IF(AE46-AD46&lt;0,AE46-AD46,0)+IF(AE47-AD47&lt;0,AE47-AD47,0)+IF(AE48-AD48&lt;0,AE48-AD48,0)+IF(AE49-AD49&lt;0,AE49-AD49,0)+IF(AE50-AD50&lt;0,AE50-AD50,0)+IF(AE51-AD51&lt;0,AE51-AD51,0)+IF(AE52-AD52&lt;0,AE52-AD52,0)+IF(AE53-AD53&lt;0,AE53-AD53,0)+IF(AE54-AD54&lt;0,AE54-AD54,0)+IF(AE55-AD55&lt;0,AE55-AD55,0)+IF(AE56-AD56&lt;0,AE56-AD56,0)+IF(AE57-AD57&lt;0,AE57-AD57,0)+IF(AE58-AD58&lt;0,AE58-AD58,0)+IF(AE59-AD59&lt;0,AE59-AD59,0)+IF(AE60-AD60&lt;0,AE60-AD60,0)+IF(AE61-AD61&lt;0,AE61-AD61,0)+IF(AE62-AD62&lt;0,AE62-AD62,0)+IF(AE63-AD63&lt;0,AE63-AD63,0)+IF(AE64-AD64&lt;0,AE64-AD64,0)+IF(AE65-AD65&lt;0,AE65-AD65,0)+IF(AE5-AD5&lt;0,AE5-AD5,0)+IF(AE7-AD7&lt;0,AE7-AD7,0)+IF(AE10-AD10&lt;0,AE10-AD10,0)+IF(AE20-AD20&lt;0,AE20-AD20,0)+IF(AE21-AD21&lt;0,AE21-AD21,0)+IF(AE22-AD22&lt;0,AE22-AD22,0)</f>
        <v>0</v>
      </c>
      <c r="AF71" s="108">
        <f>IF(AF4-AE4&lt;0,AF4-AE4,0)+IF(AF6-AE6&lt;0,AF6-AE6,0)+IF(AF8-AE8&lt;0,AF8-AE8,0)+IF(AF9-AE9&lt;0,AF9-AE9,0)+IF(AF11-AE11&lt;0,AF11-AE11,0)+IF(AF12-AE12&lt;0,AF12-AE12,0)+IF(AF13-AE13&lt;0,AF13-AE13,0)+IF(AF14-AE14&lt;0,AF14-AE14,0)+IF(AF15-AE15&lt;0,AF15-AE15,0)+IF(AF16-AE16&lt;0,AF16-AE16,0)+IF(AF17-AE17&lt;0,AF17-AE17,0)+IF(AF18-AE18&lt;0,AF18-AE18,0)+IF(AF19-AE19&lt;0,AF19-AE19,0)+IF(AF23-AE23&lt;0,AF23-AE23,0)+IF(AF24-AE24&lt;0,AF24-AE24,0)+IF(AF25-AE25&lt;0,AF25-AE25,0)+IF(AF26-AE26&lt;0,AF26-AE26,0)+IF(AF27-AE27&lt;0,AF27-AE27,0)+IF(AF28-AE28&lt;0,AF28-AE28,0)+IF(AF29-AE29&lt;0,AF29-AE29,0)+IF(AF30-AE30&lt;0,AF30-AE30,0)+IF(AF31-AE31&lt;0,AF31-AE31,0)+IF(AF32-AE32&lt;0,AF32-AE32,0)+IF(AF33-AE33&lt;0,AF33-AE33,0)+IF(AF34-AE34&lt;0,AF34-AE34,0)+IF(AF35-AE35&lt;0,AF35-AE35,0)+IF(AF36-AE36&lt;0,AF36-AE36,0)+IF(AF37-AE37&lt;0,AF37-AE37,0)+IF(AF38-AE38&lt;0,AF38-AE38,0)+IF(AF39-AE39&lt;0,AF39-AE39,0)+IF(AF40-AE40&lt;0,AF40-AE40,0)+IF(AF41-AE41&lt;0,AF41-AE41,0)+IF(AF42-AE42&lt;0,AF42-AE42,0)+IF(AF43-AE43&lt;0,AF43-AE43,0)+IF(AF44-AE44&lt;0,AF44-AE44,0)+IF(AF45-AE45&lt;0,AF45-AE45,0)+IF(AF46-AE46&lt;0,AF46-AE46,0)+IF(AF47-AE47&lt;0,AF47-AE47,0)+IF(AF48-AE48&lt;0,AF48-AE48,0)+IF(AF49-AE49&lt;0,AF49-AE49,0)+IF(AF50-AE50&lt;0,AF50-AE50,0)+IF(AF51-AE51&lt;0,AF51-AE51,0)+IF(AF52-AE52&lt;0,AF52-AE52,0)+IF(AF53-AE53&lt;0,AF53-AE53,0)+IF(AF54-AE54&lt;0,AF54-AE54,0)+IF(AF55-AE55&lt;0,AF55-AE55,0)+IF(AF56-AE56&lt;0,AF56-AE56,0)+IF(AF57-AE57&lt;0,AF57-AE57,0)+IF(AF58-AE58&lt;0,AF58-AE58,0)+IF(AF59-AE59&lt;0,AF59-AE59,0)+IF(AF60-AE60&lt;0,AF60-AE60,0)+IF(AF61-AE61&lt;0,AF61-AE61,0)+IF(AF62-AE62&lt;0,AF62-AE62,0)+IF(AF63-AE63&lt;0,AF63-AE63,0)+IF(AF64-AE64&lt;0,AF64-AE64,0)+IF(AF65-AE65&lt;0,AF65-AE65,0)+IF(AF5-AE5&lt;0,AF5-AE5,0)+IF(AF7-AE7&lt;0,AF7-AE7,0)+IF(AF10-AE10&lt;0,AF10-AE10,0)+IF(AF20-AE20&lt;0,AF20-AE20,0)+IF(AF21-AE21&lt;0,AF21-AE21,0)+IF(AF22-AE22&lt;0,AF22-AE22,0)</f>
        <v>0</v>
      </c>
    </row>
    <row r="72" spans="1:35" s="26" customFormat="1">
      <c r="A72" s="12" t="str">
        <f>'Debt_Qtr '!A72</f>
        <v>Net New Debt/ (Repayment)</v>
      </c>
      <c r="B72" s="108"/>
      <c r="C72" s="108"/>
      <c r="D72" s="108"/>
      <c r="E72" s="108"/>
      <c r="F72" s="108"/>
      <c r="G72" s="108"/>
      <c r="H72" s="108"/>
      <c r="I72" s="108"/>
      <c r="J72" s="108"/>
      <c r="K72" s="108"/>
      <c r="L72" s="108"/>
      <c r="M72" s="108"/>
      <c r="N72" s="108"/>
      <c r="O72" s="108"/>
      <c r="P72" s="108"/>
      <c r="Q72" s="108"/>
      <c r="R72" s="108"/>
      <c r="S72" s="96"/>
      <c r="T72" s="96">
        <f t="shared" ref="T72:Z72" si="11">T71+T70</f>
        <v>3066</v>
      </c>
      <c r="U72" s="96">
        <f t="shared" si="11"/>
        <v>14092.716999999999</v>
      </c>
      <c r="V72" s="96">
        <f t="shared" si="11"/>
        <v>36281</v>
      </c>
      <c r="W72" s="96">
        <f t="shared" si="11"/>
        <v>7625</v>
      </c>
      <c r="X72" s="96">
        <f t="shared" si="11"/>
        <v>-1101</v>
      </c>
      <c r="Y72" s="96">
        <f t="shared" ref="Y72" si="12">Y71+Y70</f>
        <v>-3369</v>
      </c>
      <c r="Z72" s="96">
        <f t="shared" si="11"/>
        <v>1557</v>
      </c>
      <c r="AA72" s="96">
        <f t="shared" ref="AA72:AB72" si="13">AA71+AA70</f>
        <v>234</v>
      </c>
      <c r="AB72" s="96">
        <f t="shared" si="13"/>
        <v>-4450</v>
      </c>
      <c r="AC72" s="96">
        <f t="shared" ref="AC72:AD72" si="14">AC71+AC70</f>
        <v>-7800</v>
      </c>
      <c r="AD72" s="96">
        <f t="shared" si="14"/>
        <v>-1800</v>
      </c>
      <c r="AE72" s="96">
        <f t="shared" ref="AE72:AF72" si="15">AE71+AE70</f>
        <v>0</v>
      </c>
      <c r="AF72" s="96">
        <f t="shared" si="15"/>
        <v>0</v>
      </c>
    </row>
    <row r="73" spans="1:35" s="26" customFormat="1">
      <c r="A73" s="12"/>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c r="AA73" s="108"/>
      <c r="AB73" s="108"/>
      <c r="AC73" s="108"/>
      <c r="AD73" s="108"/>
      <c r="AE73" s="108"/>
      <c r="AF73" s="108"/>
    </row>
    <row r="74" spans="1:35" s="26" customFormat="1">
      <c r="A74" s="9" t="s">
        <v>202</v>
      </c>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c r="AA74" s="121"/>
      <c r="AB74" s="121"/>
      <c r="AC74" s="121"/>
      <c r="AD74" s="121"/>
      <c r="AE74" s="121"/>
      <c r="AF74" s="121"/>
    </row>
    <row r="75" spans="1:35" s="26" customFormat="1">
      <c r="A75" s="3" t="str">
        <f>'Debt_Qtr '!A75</f>
        <v>0.95% due May 2018</v>
      </c>
      <c r="B75" s="212"/>
      <c r="C75" s="212"/>
      <c r="D75" s="212"/>
      <c r="E75" s="212"/>
      <c r="F75" s="212"/>
      <c r="G75" s="212"/>
      <c r="H75" s="212"/>
      <c r="I75" s="212"/>
      <c r="J75" s="212"/>
      <c r="K75" s="212"/>
      <c r="L75" s="212"/>
      <c r="M75" s="212"/>
      <c r="N75" s="212"/>
      <c r="O75" s="212"/>
      <c r="P75" s="212"/>
      <c r="Q75" s="212"/>
      <c r="R75" s="212"/>
      <c r="S75" s="220">
        <f>'Debt_Qtr '!P75</f>
        <v>9.4999999999999998E-3</v>
      </c>
      <c r="T75" s="220">
        <f>'Debt_Qtr '!U75</f>
        <v>9.4999999999999998E-3</v>
      </c>
      <c r="U75" s="220">
        <f>'Debt_Qtr '!Z75</f>
        <v>9.4999999999999998E-3</v>
      </c>
      <c r="V75" s="220">
        <f>'Debt_Qtr '!AE75</f>
        <v>9.4999999999999998E-3</v>
      </c>
      <c r="W75" s="220">
        <f>'Debt_Qtr '!AJ75</f>
        <v>9.4999999999999998E-3</v>
      </c>
      <c r="X75" s="220">
        <f>'Debt_Qtr '!AO75</f>
        <v>9.4999999999999998E-3</v>
      </c>
      <c r="Y75" s="220">
        <f>'Debt_Qtr '!AT75</f>
        <v>9.4999999999999998E-3</v>
      </c>
      <c r="Z75" s="220">
        <f>'Debt_Qtr '!AY75</f>
        <v>9.4999999999999998E-3</v>
      </c>
      <c r="AA75" s="220">
        <f>'Debt_Qtr '!BD75</f>
        <v>9.4999999999999998E-3</v>
      </c>
      <c r="AB75" s="220">
        <f>'Debt_Qtr '!BI75</f>
        <v>9.4999999999999998E-3</v>
      </c>
      <c r="AC75" s="212">
        <f t="shared" ref="AC75:AF96" si="16">AB75</f>
        <v>9.4999999999999998E-3</v>
      </c>
      <c r="AD75" s="212">
        <f t="shared" si="16"/>
        <v>9.4999999999999998E-3</v>
      </c>
      <c r="AE75" s="212">
        <f t="shared" si="16"/>
        <v>9.4999999999999998E-3</v>
      </c>
      <c r="AF75" s="212">
        <f t="shared" si="16"/>
        <v>9.4999999999999998E-3</v>
      </c>
    </row>
    <row r="76" spans="1:35" s="26" customFormat="1">
      <c r="A76" s="3" t="s">
        <v>585</v>
      </c>
      <c r="B76" s="212"/>
      <c r="C76" s="212"/>
      <c r="D76" s="212"/>
      <c r="E76" s="212"/>
      <c r="F76" s="212"/>
      <c r="G76" s="212"/>
      <c r="H76" s="212"/>
      <c r="I76" s="212"/>
      <c r="J76" s="212"/>
      <c r="K76" s="212"/>
      <c r="L76" s="212"/>
      <c r="M76" s="212"/>
      <c r="N76" s="212"/>
      <c r="O76" s="212"/>
      <c r="P76" s="212"/>
      <c r="Q76" s="212"/>
      <c r="R76" s="212"/>
      <c r="S76" s="220"/>
      <c r="T76" s="220"/>
      <c r="U76" s="220"/>
      <c r="V76" s="220"/>
      <c r="W76" s="220">
        <v>1.4330000000000001E-2</v>
      </c>
      <c r="X76" s="220">
        <f>'Debt_Qtr '!AO76</f>
        <v>1.4330000000000001E-2</v>
      </c>
      <c r="Y76" s="220">
        <f>'Debt_Qtr '!AT76</f>
        <v>1.4330000000000001E-2</v>
      </c>
      <c r="Z76" s="220">
        <f>'Debt_Qtr '!AY76</f>
        <v>1.4330000000000001E-2</v>
      </c>
      <c r="AA76" s="220">
        <f>'Debt_Qtr '!BD76</f>
        <v>1.4330000000000001E-2</v>
      </c>
      <c r="AB76" s="220">
        <f>'Debt_Qtr '!BI76</f>
        <v>1.4330000000000001E-2</v>
      </c>
      <c r="AC76" s="212">
        <f>AB76</f>
        <v>1.4330000000000001E-2</v>
      </c>
      <c r="AD76" s="212">
        <f>AC76</f>
        <v>1.4330000000000001E-2</v>
      </c>
      <c r="AE76" s="212">
        <f>AD76</f>
        <v>1.4330000000000001E-2</v>
      </c>
      <c r="AF76" s="212">
        <f>AE76</f>
        <v>1.4330000000000001E-2</v>
      </c>
    </row>
    <row r="77" spans="1:35" s="26" customFormat="1">
      <c r="A77" s="3" t="str">
        <f>'Debt_Qtr '!A77</f>
        <v>1.65% due Oct 2020</v>
      </c>
      <c r="B77" s="212"/>
      <c r="C77" s="212"/>
      <c r="D77" s="212"/>
      <c r="E77" s="212"/>
      <c r="F77" s="212"/>
      <c r="G77" s="212"/>
      <c r="H77" s="212"/>
      <c r="I77" s="212"/>
      <c r="J77" s="212"/>
      <c r="K77" s="212"/>
      <c r="L77" s="212"/>
      <c r="M77" s="212"/>
      <c r="N77" s="212"/>
      <c r="O77" s="212"/>
      <c r="P77" s="212"/>
      <c r="Q77" s="212"/>
      <c r="R77" s="212"/>
      <c r="S77" s="220">
        <f>'Debt_Qtr '!P77</f>
        <v>1.6500000000000001E-2</v>
      </c>
      <c r="T77" s="220">
        <f>'Debt_Qtr '!U77</f>
        <v>1.6500000000000001E-2</v>
      </c>
      <c r="U77" s="220">
        <f>'Debt_Qtr '!Z77</f>
        <v>1.6500000000000001E-2</v>
      </c>
      <c r="V77" s="220">
        <f>'Debt_Qtr '!AE77</f>
        <v>1.6500000000000001E-2</v>
      </c>
      <c r="W77" s="220">
        <f>'Debt_Qtr '!AJ77</f>
        <v>1.6500000000000001E-2</v>
      </c>
      <c r="X77" s="220">
        <f>'Debt_Qtr '!AO77</f>
        <v>1.6500000000000001E-2</v>
      </c>
      <c r="Y77" s="220">
        <f>'Debt_Qtr '!AT77</f>
        <v>1.6500000000000001E-2</v>
      </c>
      <c r="Z77" s="220">
        <f>'Debt_Qtr '!AY77</f>
        <v>1.6500000000000001E-2</v>
      </c>
      <c r="AA77" s="220">
        <f>'Debt_Qtr '!BD77</f>
        <v>1.6500000000000001E-2</v>
      </c>
      <c r="AB77" s="220">
        <f>'Debt_Qtr '!BI77</f>
        <v>1.6500000000000001E-2</v>
      </c>
      <c r="AC77" s="212">
        <f t="shared" si="16"/>
        <v>1.6500000000000001E-2</v>
      </c>
      <c r="AD77" s="212">
        <f t="shared" si="16"/>
        <v>1.6500000000000001E-2</v>
      </c>
      <c r="AE77" s="212">
        <f t="shared" si="16"/>
        <v>1.6500000000000001E-2</v>
      </c>
      <c r="AF77" s="212">
        <f t="shared" si="16"/>
        <v>1.6500000000000001E-2</v>
      </c>
    </row>
    <row r="78" spans="1:35" s="26" customFormat="1">
      <c r="A78" s="428" t="s">
        <v>586</v>
      </c>
      <c r="B78" s="212"/>
      <c r="C78" s="212"/>
      <c r="D78" s="212"/>
      <c r="E78" s="212"/>
      <c r="F78" s="212"/>
      <c r="G78" s="212"/>
      <c r="H78" s="212"/>
      <c r="I78" s="212"/>
      <c r="J78" s="212"/>
      <c r="K78" s="212"/>
      <c r="L78" s="212"/>
      <c r="M78" s="212"/>
      <c r="N78" s="212"/>
      <c r="O78" s="212"/>
      <c r="P78" s="212"/>
      <c r="Q78" s="212"/>
      <c r="R78" s="212"/>
      <c r="S78" s="220"/>
      <c r="T78" s="220"/>
      <c r="U78" s="220"/>
      <c r="V78" s="220"/>
      <c r="W78" s="220">
        <v>1.167E-2</v>
      </c>
      <c r="X78" s="220">
        <f>'Debt_Qtr '!AO78</f>
        <v>1.167E-2</v>
      </c>
      <c r="Y78" s="220">
        <f>'Debt_Qtr '!AT78</f>
        <v>1.167E-2</v>
      </c>
      <c r="Z78" s="220">
        <f>'Debt_Qtr '!AY78</f>
        <v>1.167E-2</v>
      </c>
      <c r="AA78" s="220">
        <f>'Debt_Qtr '!BD78</f>
        <v>1.167E-2</v>
      </c>
      <c r="AB78" s="220">
        <f>'Debt_Qtr '!BI78</f>
        <v>1.167E-2</v>
      </c>
      <c r="AC78" s="212">
        <f t="shared" si="16"/>
        <v>1.167E-2</v>
      </c>
      <c r="AD78" s="212">
        <f t="shared" si="16"/>
        <v>1.167E-2</v>
      </c>
      <c r="AE78" s="212">
        <f t="shared" si="16"/>
        <v>1.167E-2</v>
      </c>
      <c r="AF78" s="212">
        <f t="shared" si="16"/>
        <v>1.167E-2</v>
      </c>
    </row>
    <row r="79" spans="1:35" s="26" customFormat="1">
      <c r="A79" s="3" t="str">
        <f>'Debt_Qtr '!A79</f>
        <v>1.875% due June 2023</v>
      </c>
      <c r="B79" s="212"/>
      <c r="C79" s="212"/>
      <c r="D79" s="212"/>
      <c r="E79" s="212"/>
      <c r="F79" s="212"/>
      <c r="G79" s="212"/>
      <c r="H79" s="212"/>
      <c r="I79" s="212"/>
      <c r="J79" s="212"/>
      <c r="K79" s="212"/>
      <c r="L79" s="212"/>
      <c r="M79" s="212"/>
      <c r="N79" s="212"/>
      <c r="O79" s="212"/>
      <c r="P79" s="212"/>
      <c r="Q79" s="212"/>
      <c r="R79" s="212"/>
      <c r="S79" s="220">
        <f>'Debt_Qtr '!P79</f>
        <v>1.8749999999999999E-2</v>
      </c>
      <c r="T79" s="220">
        <f>'Debt_Qtr '!U79</f>
        <v>1.8749999999999999E-2</v>
      </c>
      <c r="U79" s="220">
        <f>'Debt_Qtr '!Z79</f>
        <v>1.8749999999999999E-2</v>
      </c>
      <c r="V79" s="220">
        <f>'Debt_Qtr '!AE79</f>
        <v>1.8749999999999999E-2</v>
      </c>
      <c r="W79" s="220">
        <f>'Debt_Qtr '!AJ79</f>
        <v>1.8749999999999999E-2</v>
      </c>
      <c r="X79" s="220">
        <f>'Debt_Qtr '!AO79</f>
        <v>1.8749999999999999E-2</v>
      </c>
      <c r="Y79" s="220">
        <f>'Debt_Qtr '!AT79</f>
        <v>1.8749999999999999E-2</v>
      </c>
      <c r="Z79" s="220">
        <f>'Debt_Qtr '!AY79</f>
        <v>1.8749999999999999E-2</v>
      </c>
      <c r="AA79" s="220">
        <f>'Debt_Qtr '!BD79</f>
        <v>1.8749999999999999E-2</v>
      </c>
      <c r="AB79" s="220">
        <f>'Debt_Qtr '!BI79</f>
        <v>1.8749999999999999E-2</v>
      </c>
      <c r="AC79" s="212">
        <f t="shared" si="16"/>
        <v>1.8749999999999999E-2</v>
      </c>
      <c r="AD79" s="212">
        <f t="shared" si="16"/>
        <v>1.8749999999999999E-2</v>
      </c>
      <c r="AE79" s="212">
        <f t="shared" si="16"/>
        <v>1.8749999999999999E-2</v>
      </c>
      <c r="AF79" s="212">
        <f t="shared" si="16"/>
        <v>1.8749999999999999E-2</v>
      </c>
    </row>
    <row r="80" spans="1:35" s="26" customFormat="1">
      <c r="A80" s="3" t="str">
        <f>'Debt_Qtr '!A80</f>
        <v>2.125% due March 2022</v>
      </c>
      <c r="B80" s="212"/>
      <c r="C80" s="212"/>
      <c r="D80" s="212"/>
      <c r="E80" s="212"/>
      <c r="F80" s="212"/>
      <c r="G80" s="212"/>
      <c r="H80" s="212"/>
      <c r="I80" s="212"/>
      <c r="J80" s="212"/>
      <c r="K80" s="212"/>
      <c r="L80" s="212"/>
      <c r="M80" s="212"/>
      <c r="N80" s="212"/>
      <c r="O80" s="212"/>
      <c r="P80" s="212"/>
      <c r="Q80" s="212"/>
      <c r="R80" s="212"/>
      <c r="S80" s="220">
        <f>'Debt_Qtr '!P80</f>
        <v>2.1250000000000002E-2</v>
      </c>
      <c r="T80" s="220">
        <f>'Debt_Qtr '!U80</f>
        <v>2.1250000000000002E-2</v>
      </c>
      <c r="U80" s="220">
        <f>'Debt_Qtr '!Z80</f>
        <v>2.1250000000000002E-2</v>
      </c>
      <c r="V80" s="220">
        <f>'Debt_Qtr '!AE80</f>
        <v>2.1250000000000002E-2</v>
      </c>
      <c r="W80" s="220">
        <f>'Debt_Qtr '!AJ80</f>
        <v>2.1250000000000002E-2</v>
      </c>
      <c r="X80" s="220">
        <f>'Debt_Qtr '!AO80</f>
        <v>2.1250000000000002E-2</v>
      </c>
      <c r="Y80" s="220">
        <f>'Debt_Qtr '!AT80</f>
        <v>2.1250000000000002E-2</v>
      </c>
      <c r="Z80" s="220">
        <f>'Debt_Qtr '!AY80</f>
        <v>2.1250000000000002E-2</v>
      </c>
      <c r="AA80" s="220">
        <f>'Debt_Qtr '!BD80</f>
        <v>2.1250000000000002E-2</v>
      </c>
      <c r="AB80" s="220">
        <f>'Debt_Qtr '!BI80</f>
        <v>2.1250000000000002E-2</v>
      </c>
      <c r="AC80" s="212">
        <f t="shared" si="16"/>
        <v>2.1250000000000002E-2</v>
      </c>
      <c r="AD80" s="212">
        <f t="shared" si="16"/>
        <v>2.1250000000000002E-2</v>
      </c>
      <c r="AE80" s="212">
        <f t="shared" si="16"/>
        <v>2.1250000000000002E-2</v>
      </c>
      <c r="AF80" s="212">
        <f t="shared" si="16"/>
        <v>2.1250000000000002E-2</v>
      </c>
    </row>
    <row r="81" spans="1:32" s="26" customFormat="1">
      <c r="A81" s="3" t="s">
        <v>587</v>
      </c>
      <c r="B81" s="212"/>
      <c r="C81" s="212"/>
      <c r="D81" s="212"/>
      <c r="E81" s="212"/>
      <c r="F81" s="212"/>
      <c r="G81" s="212"/>
      <c r="H81" s="212"/>
      <c r="I81" s="212"/>
      <c r="J81" s="212"/>
      <c r="K81" s="212"/>
      <c r="L81" s="212"/>
      <c r="M81" s="212"/>
      <c r="N81" s="212"/>
      <c r="O81" s="212"/>
      <c r="P81" s="212"/>
      <c r="Q81" s="212"/>
      <c r="R81" s="212"/>
      <c r="S81" s="220"/>
      <c r="T81" s="220"/>
      <c r="U81" s="220"/>
      <c r="V81" s="220"/>
      <c r="W81" s="220">
        <v>2.196E-2</v>
      </c>
      <c r="X81" s="220">
        <f>'Debt_Qtr '!AO81</f>
        <v>2.196E-2</v>
      </c>
      <c r="Y81" s="220">
        <f>'Debt_Qtr '!AT81</f>
        <v>2.196E-2</v>
      </c>
      <c r="Z81" s="220">
        <f>'Debt_Qtr '!AY81</f>
        <v>2.196E-2</v>
      </c>
      <c r="AA81" s="220">
        <f>'Debt_Qtr '!BD81</f>
        <v>2.196E-2</v>
      </c>
      <c r="AB81" s="220">
        <f>'Debt_Qtr '!BI81</f>
        <v>2.196E-2</v>
      </c>
      <c r="AC81" s="212">
        <f t="shared" si="16"/>
        <v>2.196E-2</v>
      </c>
      <c r="AD81" s="212">
        <f t="shared" si="16"/>
        <v>2.196E-2</v>
      </c>
      <c r="AE81" s="212">
        <f t="shared" si="16"/>
        <v>2.196E-2</v>
      </c>
      <c r="AF81" s="212">
        <f t="shared" si="16"/>
        <v>2.196E-2</v>
      </c>
    </row>
    <row r="82" spans="1:32" s="26" customFormat="1">
      <c r="A82" s="3" t="str">
        <f>'Debt_Qtr '!A82</f>
        <v>2.2% due Oct 2022</v>
      </c>
      <c r="B82" s="212"/>
      <c r="C82" s="212"/>
      <c r="D82" s="212"/>
      <c r="E82" s="212"/>
      <c r="F82" s="212"/>
      <c r="G82" s="212"/>
      <c r="H82" s="212"/>
      <c r="I82" s="212"/>
      <c r="J82" s="212"/>
      <c r="K82" s="212"/>
      <c r="L82" s="212"/>
      <c r="M82" s="212"/>
      <c r="N82" s="212"/>
      <c r="O82" s="212"/>
      <c r="P82" s="212"/>
      <c r="Q82" s="212"/>
      <c r="R82" s="212"/>
      <c r="S82" s="220">
        <f>'Debt_Qtr '!P82</f>
        <v>2.1999999999999999E-2</v>
      </c>
      <c r="T82" s="220">
        <f>'Debt_Qtr '!U82</f>
        <v>2.1999999999999999E-2</v>
      </c>
      <c r="U82" s="220">
        <f>'Debt_Qtr '!Z82</f>
        <v>2.1999999999999999E-2</v>
      </c>
      <c r="V82" s="220">
        <f>'Debt_Qtr '!AE82</f>
        <v>2.1999999999999999E-2</v>
      </c>
      <c r="W82" s="220">
        <f>'Debt_Qtr '!AJ82</f>
        <v>2.1999999999999999E-2</v>
      </c>
      <c r="X82" s="220">
        <f>'Debt_Qtr '!AO82</f>
        <v>2.1999999999999999E-2</v>
      </c>
      <c r="Y82" s="220">
        <f>'Debt_Qtr '!AT82</f>
        <v>2.1999999999999999E-2</v>
      </c>
      <c r="Z82" s="220">
        <f>'Debt_Qtr '!AY82</f>
        <v>2.1999999999999999E-2</v>
      </c>
      <c r="AA82" s="220">
        <f>'Debt_Qtr '!BD82</f>
        <v>2.1999999999999999E-2</v>
      </c>
      <c r="AB82" s="220">
        <f>'Debt_Qtr '!BI82</f>
        <v>2.1999999999999999E-2</v>
      </c>
      <c r="AC82" s="212">
        <f t="shared" si="16"/>
        <v>2.1999999999999999E-2</v>
      </c>
      <c r="AD82" s="212">
        <f t="shared" si="16"/>
        <v>2.1999999999999999E-2</v>
      </c>
      <c r="AE82" s="212">
        <f t="shared" si="16"/>
        <v>2.1999999999999999E-2</v>
      </c>
      <c r="AF82" s="212">
        <f t="shared" si="16"/>
        <v>2.1999999999999999E-2</v>
      </c>
    </row>
    <row r="83" spans="1:32" s="26" customFormat="1">
      <c r="A83" s="3" t="str">
        <f>'Debt_Qtr '!A83</f>
        <v>2.25% due June 2026</v>
      </c>
      <c r="B83" s="212"/>
      <c r="C83" s="212"/>
      <c r="D83" s="212"/>
      <c r="E83" s="212"/>
      <c r="F83" s="212"/>
      <c r="G83" s="212"/>
      <c r="H83" s="212"/>
      <c r="I83" s="212"/>
      <c r="J83" s="212"/>
      <c r="K83" s="212"/>
      <c r="L83" s="212"/>
      <c r="M83" s="212"/>
      <c r="N83" s="212"/>
      <c r="O83" s="212"/>
      <c r="P83" s="212"/>
      <c r="Q83" s="212"/>
      <c r="R83" s="212"/>
      <c r="S83" s="220">
        <f>'Debt_Qtr '!P83</f>
        <v>2.2499999999999999E-2</v>
      </c>
      <c r="T83" s="220">
        <f>'Debt_Qtr '!U83</f>
        <v>2.2499999999999999E-2</v>
      </c>
      <c r="U83" s="220">
        <f>'Debt_Qtr '!Z83</f>
        <v>2.2499999999999999E-2</v>
      </c>
      <c r="V83" s="220">
        <f>'Debt_Qtr '!AE83</f>
        <v>2.2499999999999999E-2</v>
      </c>
      <c r="W83" s="220">
        <f>'Debt_Qtr '!AJ83</f>
        <v>2.2499999999999999E-2</v>
      </c>
      <c r="X83" s="220">
        <f>'Debt_Qtr '!AO83</f>
        <v>2.2499999999999999E-2</v>
      </c>
      <c r="Y83" s="220">
        <f>'Debt_Qtr '!AT83</f>
        <v>2.2499999999999999E-2</v>
      </c>
      <c r="Z83" s="220">
        <f>'Debt_Qtr '!AY83</f>
        <v>2.2499999999999999E-2</v>
      </c>
      <c r="AA83" s="220">
        <f>'Debt_Qtr '!BD83</f>
        <v>2.2499999999999999E-2</v>
      </c>
      <c r="AB83" s="220">
        <f>'Debt_Qtr '!BI83</f>
        <v>2.2499999999999999E-2</v>
      </c>
      <c r="AC83" s="212">
        <f t="shared" si="16"/>
        <v>2.2499999999999999E-2</v>
      </c>
      <c r="AD83" s="212">
        <f t="shared" si="16"/>
        <v>2.2499999999999999E-2</v>
      </c>
      <c r="AE83" s="212">
        <f t="shared" si="16"/>
        <v>2.2499999999999999E-2</v>
      </c>
      <c r="AF83" s="212">
        <f t="shared" si="16"/>
        <v>2.2499999999999999E-2</v>
      </c>
    </row>
    <row r="84" spans="1:32" s="26" customFormat="1">
      <c r="A84" s="3" t="str">
        <f>'Debt_Qtr '!A84</f>
        <v>2.3% due Aug 2021</v>
      </c>
      <c r="B84" s="212"/>
      <c r="C84" s="212"/>
      <c r="D84" s="212"/>
      <c r="E84" s="212"/>
      <c r="F84" s="212"/>
      <c r="G84" s="212"/>
      <c r="H84" s="212"/>
      <c r="I84" s="212"/>
      <c r="J84" s="212"/>
      <c r="K84" s="212"/>
      <c r="L84" s="212"/>
      <c r="M84" s="212"/>
      <c r="N84" s="212"/>
      <c r="O84" s="212"/>
      <c r="P84" s="212"/>
      <c r="Q84" s="212"/>
      <c r="R84" s="212"/>
      <c r="S84" s="220">
        <f>'Debt_Qtr '!P84</f>
        <v>2.3E-2</v>
      </c>
      <c r="T84" s="220">
        <f>'Debt_Qtr '!U84</f>
        <v>2.3E-2</v>
      </c>
      <c r="U84" s="220">
        <f>'Debt_Qtr '!Z84</f>
        <v>2.3E-2</v>
      </c>
      <c r="V84" s="220">
        <f>'Debt_Qtr '!AE84</f>
        <v>2.3E-2</v>
      </c>
      <c r="W84" s="220">
        <f>'Debt_Qtr '!AJ84</f>
        <v>2.3E-2</v>
      </c>
      <c r="X84" s="220">
        <f>'Debt_Qtr '!AO84</f>
        <v>2.3E-2</v>
      </c>
      <c r="Y84" s="220">
        <f>'Debt_Qtr '!AT84</f>
        <v>2.3E-2</v>
      </c>
      <c r="Z84" s="220">
        <f>'Debt_Qtr '!AY84</f>
        <v>2.3E-2</v>
      </c>
      <c r="AA84" s="220">
        <f>'Debt_Qtr '!BD84</f>
        <v>2.3E-2</v>
      </c>
      <c r="AB84" s="220">
        <f>'Debt_Qtr '!BI84</f>
        <v>2.3E-2</v>
      </c>
      <c r="AC84" s="212">
        <f t="shared" si="16"/>
        <v>2.3E-2</v>
      </c>
      <c r="AD84" s="212">
        <f t="shared" si="16"/>
        <v>2.3E-2</v>
      </c>
      <c r="AE84" s="212">
        <f t="shared" si="16"/>
        <v>2.3E-2</v>
      </c>
      <c r="AF84" s="212">
        <f t="shared" si="16"/>
        <v>2.3E-2</v>
      </c>
    </row>
    <row r="85" spans="1:32" s="26" customFormat="1">
      <c r="A85" s="3" t="str">
        <f>'Debt_Qtr '!A85</f>
        <v>2.35% due Oct 2021</v>
      </c>
      <c r="B85" s="212"/>
      <c r="C85" s="212"/>
      <c r="D85" s="212"/>
      <c r="E85" s="212"/>
      <c r="F85" s="212"/>
      <c r="G85" s="212"/>
      <c r="H85" s="212"/>
      <c r="I85" s="212"/>
      <c r="J85" s="212"/>
      <c r="K85" s="212"/>
      <c r="L85" s="212"/>
      <c r="M85" s="212"/>
      <c r="N85" s="212"/>
      <c r="O85" s="212"/>
      <c r="P85" s="212"/>
      <c r="Q85" s="212"/>
      <c r="R85" s="212"/>
      <c r="S85" s="220">
        <f>'Debt_Qtr '!P85</f>
        <v>2.35E-2</v>
      </c>
      <c r="T85" s="220">
        <f>'Debt_Qtr '!U85</f>
        <v>2.35E-2</v>
      </c>
      <c r="U85" s="220">
        <f>'Debt_Qtr '!Z85</f>
        <v>2.35E-2</v>
      </c>
      <c r="V85" s="220">
        <f>'Debt_Qtr '!AE85</f>
        <v>2.35E-2</v>
      </c>
      <c r="W85" s="220">
        <f>'Debt_Qtr '!AJ85</f>
        <v>2.35E-2</v>
      </c>
      <c r="X85" s="220">
        <f>'Debt_Qtr '!AO85</f>
        <v>2.35E-2</v>
      </c>
      <c r="Y85" s="220">
        <f>'Debt_Qtr '!AT85</f>
        <v>2.35E-2</v>
      </c>
      <c r="Z85" s="220">
        <f>'Debt_Qtr '!AY85</f>
        <v>2.35E-2</v>
      </c>
      <c r="AA85" s="220">
        <f>'Debt_Qtr '!BD85</f>
        <v>2.35E-2</v>
      </c>
      <c r="AB85" s="220">
        <f>'Debt_Qtr '!BI85</f>
        <v>2.35E-2</v>
      </c>
      <c r="AC85" s="212">
        <f t="shared" si="16"/>
        <v>2.35E-2</v>
      </c>
      <c r="AD85" s="212">
        <f t="shared" si="16"/>
        <v>2.35E-2</v>
      </c>
      <c r="AE85" s="212">
        <f t="shared" si="16"/>
        <v>2.35E-2</v>
      </c>
      <c r="AF85" s="212">
        <f t="shared" si="16"/>
        <v>2.35E-2</v>
      </c>
    </row>
    <row r="86" spans="1:32" s="26" customFormat="1">
      <c r="A86" s="3" t="str">
        <f>'Debt_Qtr '!A86</f>
        <v>2.5% due Mar 2025</v>
      </c>
      <c r="B86" s="212"/>
      <c r="C86" s="212"/>
      <c r="D86" s="212"/>
      <c r="E86" s="212"/>
      <c r="F86" s="212"/>
      <c r="G86" s="212"/>
      <c r="H86" s="212"/>
      <c r="I86" s="212"/>
      <c r="J86" s="212"/>
      <c r="K86" s="212"/>
      <c r="L86" s="212"/>
      <c r="M86" s="212"/>
      <c r="N86" s="212"/>
      <c r="O86" s="212"/>
      <c r="P86" s="212"/>
      <c r="Q86" s="212"/>
      <c r="R86" s="212"/>
      <c r="S86" s="220">
        <f>'Debt_Qtr '!P86</f>
        <v>2.5000000000000001E-2</v>
      </c>
      <c r="T86" s="220">
        <f>'Debt_Qtr '!U86</f>
        <v>2.5000000000000001E-2</v>
      </c>
      <c r="U86" s="220">
        <f>'Debt_Qtr '!Z86</f>
        <v>2.5000000000000001E-2</v>
      </c>
      <c r="V86" s="220">
        <f>'Debt_Qtr '!AE86</f>
        <v>2.5000000000000001E-2</v>
      </c>
      <c r="W86" s="220">
        <f>'Debt_Qtr '!AJ86</f>
        <v>2.5000000000000001E-2</v>
      </c>
      <c r="X86" s="220">
        <f>'Debt_Qtr '!AO86</f>
        <v>2.5000000000000001E-2</v>
      </c>
      <c r="Y86" s="220">
        <f>'Debt_Qtr '!AT86</f>
        <v>2.5000000000000001E-2</v>
      </c>
      <c r="Z86" s="220">
        <f>'Debt_Qtr '!AY86</f>
        <v>2.5000000000000001E-2</v>
      </c>
      <c r="AA86" s="220">
        <f>'Debt_Qtr '!BD86</f>
        <v>2.5000000000000001E-2</v>
      </c>
      <c r="AB86" s="220">
        <f>'Debt_Qtr '!BI86</f>
        <v>2.5000000000000001E-2</v>
      </c>
      <c r="AC86" s="212">
        <f t="shared" si="16"/>
        <v>2.5000000000000001E-2</v>
      </c>
      <c r="AD86" s="212">
        <f t="shared" si="16"/>
        <v>2.5000000000000001E-2</v>
      </c>
      <c r="AE86" s="212">
        <f t="shared" si="16"/>
        <v>2.5000000000000001E-2</v>
      </c>
      <c r="AF86" s="212">
        <f t="shared" si="16"/>
        <v>2.5000000000000001E-2</v>
      </c>
    </row>
    <row r="87" spans="1:32" s="26" customFormat="1">
      <c r="A87" s="3" t="str">
        <f>'Debt_Qtr '!A87</f>
        <v>2.6% due Oct 2025</v>
      </c>
      <c r="B87" s="212"/>
      <c r="C87" s="212"/>
      <c r="D87" s="212"/>
      <c r="E87" s="212"/>
      <c r="F87" s="212"/>
      <c r="G87" s="212"/>
      <c r="H87" s="212"/>
      <c r="I87" s="212"/>
      <c r="J87" s="212"/>
      <c r="K87" s="212"/>
      <c r="L87" s="212"/>
      <c r="M87" s="212"/>
      <c r="N87" s="212"/>
      <c r="O87" s="212"/>
      <c r="P87" s="212"/>
      <c r="Q87" s="212"/>
      <c r="R87" s="212"/>
      <c r="S87" s="220">
        <f>'Debt_Qtr '!P87</f>
        <v>2.5999999999999999E-2</v>
      </c>
      <c r="T87" s="220">
        <f>'Debt_Qtr '!U87</f>
        <v>2.5999999999999999E-2</v>
      </c>
      <c r="U87" s="220">
        <f>'Debt_Qtr '!Z87</f>
        <v>2.5999999999999999E-2</v>
      </c>
      <c r="V87" s="220">
        <f>'Debt_Qtr '!AE87</f>
        <v>2.5999999999999999E-2</v>
      </c>
      <c r="W87" s="220">
        <f>'Debt_Qtr '!AJ87</f>
        <v>2.5999999999999999E-2</v>
      </c>
      <c r="X87" s="220">
        <f>'Debt_Qtr '!AO87</f>
        <v>2.5999999999999999E-2</v>
      </c>
      <c r="Y87" s="220">
        <f>'Debt_Qtr '!AT87</f>
        <v>2.5999999999999999E-2</v>
      </c>
      <c r="Z87" s="220">
        <f>'Debt_Qtr '!AY87</f>
        <v>2.5999999999999999E-2</v>
      </c>
      <c r="AA87" s="220">
        <f>'Debt_Qtr '!BD87</f>
        <v>2.5999999999999999E-2</v>
      </c>
      <c r="AB87" s="220">
        <f>'Debt_Qtr '!BI87</f>
        <v>2.5999999999999999E-2</v>
      </c>
      <c r="AC87" s="212">
        <f t="shared" si="16"/>
        <v>2.5999999999999999E-2</v>
      </c>
      <c r="AD87" s="212">
        <f t="shared" si="16"/>
        <v>2.5999999999999999E-2</v>
      </c>
      <c r="AE87" s="212">
        <f t="shared" si="16"/>
        <v>2.5999999999999999E-2</v>
      </c>
      <c r="AF87" s="212">
        <f t="shared" si="16"/>
        <v>2.5999999999999999E-2</v>
      </c>
    </row>
    <row r="88" spans="1:32" s="26" customFormat="1">
      <c r="A88" s="3" t="str">
        <f>'Debt_Qtr '!A88</f>
        <v>2.7% due Feb 2027</v>
      </c>
      <c r="B88" s="212"/>
      <c r="C88" s="212"/>
      <c r="D88" s="212"/>
      <c r="E88" s="212"/>
      <c r="F88" s="212"/>
      <c r="G88" s="212"/>
      <c r="H88" s="212"/>
      <c r="I88" s="212"/>
      <c r="J88" s="212"/>
      <c r="K88" s="212"/>
      <c r="L88" s="212"/>
      <c r="M88" s="212"/>
      <c r="N88" s="212"/>
      <c r="O88" s="212"/>
      <c r="P88" s="212"/>
      <c r="Q88" s="212"/>
      <c r="R88" s="212"/>
      <c r="S88" s="220">
        <f>'Debt_Qtr '!P88</f>
        <v>2.7E-2</v>
      </c>
      <c r="T88" s="220">
        <f>'Debt_Qtr '!U88</f>
        <v>2.7E-2</v>
      </c>
      <c r="U88" s="220">
        <f>'Debt_Qtr '!Z88</f>
        <v>2.7E-2</v>
      </c>
      <c r="V88" s="220">
        <f>'Debt_Qtr '!AE88</f>
        <v>2.7E-2</v>
      </c>
      <c r="W88" s="220">
        <f>'Debt_Qtr '!AJ88</f>
        <v>2.7E-2</v>
      </c>
      <c r="X88" s="220">
        <f>'Debt_Qtr '!AO88</f>
        <v>2.7E-2</v>
      </c>
      <c r="Y88" s="220">
        <f>'Debt_Qtr '!AT88</f>
        <v>2.7E-2</v>
      </c>
      <c r="Z88" s="220">
        <f>'Debt_Qtr '!AY88</f>
        <v>2.7E-2</v>
      </c>
      <c r="AA88" s="220">
        <f>'Debt_Qtr '!BD88</f>
        <v>2.7E-2</v>
      </c>
      <c r="AB88" s="220">
        <f>'Debt_Qtr '!BI88</f>
        <v>2.7E-2</v>
      </c>
      <c r="AC88" s="212">
        <f t="shared" si="16"/>
        <v>2.7E-2</v>
      </c>
      <c r="AD88" s="212">
        <f t="shared" si="16"/>
        <v>2.7E-2</v>
      </c>
      <c r="AE88" s="212">
        <f t="shared" si="16"/>
        <v>2.7E-2</v>
      </c>
      <c r="AF88" s="212">
        <f t="shared" si="16"/>
        <v>2.7E-2</v>
      </c>
    </row>
    <row r="89" spans="1:32" s="26" customFormat="1">
      <c r="A89" s="3" t="str">
        <f>'Debt_Qtr '!A89</f>
        <v>2.7% due May 2022</v>
      </c>
      <c r="B89" s="212"/>
      <c r="C89" s="212"/>
      <c r="D89" s="212"/>
      <c r="E89" s="212"/>
      <c r="F89" s="212"/>
      <c r="G89" s="212"/>
      <c r="H89" s="212"/>
      <c r="I89" s="212"/>
      <c r="J89" s="212"/>
      <c r="K89" s="212"/>
      <c r="L89" s="212"/>
      <c r="M89" s="212"/>
      <c r="N89" s="212"/>
      <c r="O89" s="212"/>
      <c r="P89" s="212"/>
      <c r="Q89" s="212"/>
      <c r="R89" s="212"/>
      <c r="S89" s="220">
        <f>'Debt_Qtr '!P89</f>
        <v>2.7E-2</v>
      </c>
      <c r="T89" s="220">
        <f>'Debt_Qtr '!U89</f>
        <v>2.7E-2</v>
      </c>
      <c r="U89" s="220">
        <f>'Debt_Qtr '!Z89</f>
        <v>2.7E-2</v>
      </c>
      <c r="V89" s="220">
        <f>'Debt_Qtr '!AE89</f>
        <v>2.7E-2</v>
      </c>
      <c r="W89" s="220">
        <f>'Debt_Qtr '!AJ89</f>
        <v>2.7E-2</v>
      </c>
      <c r="X89" s="220">
        <f>'Debt_Qtr '!AO89</f>
        <v>2.7E-2</v>
      </c>
      <c r="Y89" s="220">
        <f>'Debt_Qtr '!AT89</f>
        <v>2.7E-2</v>
      </c>
      <c r="Z89" s="220">
        <f>'Debt_Qtr '!AY89</f>
        <v>2.7E-2</v>
      </c>
      <c r="AA89" s="220">
        <f>'Debt_Qtr '!BD89</f>
        <v>2.7E-2</v>
      </c>
      <c r="AB89" s="220">
        <f>'Debt_Qtr '!BI89</f>
        <v>2.7E-2</v>
      </c>
      <c r="AC89" s="212">
        <f t="shared" si="16"/>
        <v>2.7E-2</v>
      </c>
      <c r="AD89" s="212">
        <f t="shared" si="16"/>
        <v>2.7E-2</v>
      </c>
      <c r="AE89" s="212">
        <f t="shared" si="16"/>
        <v>2.7E-2</v>
      </c>
      <c r="AF89" s="212">
        <f t="shared" si="16"/>
        <v>2.7E-2</v>
      </c>
    </row>
    <row r="90" spans="1:32" s="26" customFormat="1">
      <c r="A90" s="3" t="str">
        <f>'Debt_Qtr '!A90</f>
        <v>2.8% due March 2024</v>
      </c>
      <c r="B90" s="212"/>
      <c r="C90" s="212"/>
      <c r="D90" s="212"/>
      <c r="E90" s="212"/>
      <c r="F90" s="212"/>
      <c r="G90" s="212"/>
      <c r="H90" s="212"/>
      <c r="I90" s="212"/>
      <c r="J90" s="212"/>
      <c r="K90" s="212"/>
      <c r="L90" s="212"/>
      <c r="M90" s="212"/>
      <c r="N90" s="212"/>
      <c r="O90" s="212"/>
      <c r="P90" s="212"/>
      <c r="Q90" s="212"/>
      <c r="R90" s="212"/>
      <c r="S90" s="220">
        <f>'Debt_Qtr '!P90</f>
        <v>2.8000000000000001E-2</v>
      </c>
      <c r="T90" s="220">
        <f>'Debt_Qtr '!U90</f>
        <v>2.8000000000000001E-2</v>
      </c>
      <c r="U90" s="220">
        <f>'Debt_Qtr '!Z90</f>
        <v>2.8000000000000001E-2</v>
      </c>
      <c r="V90" s="220">
        <f>'Debt_Qtr '!AE90</f>
        <v>2.8000000000000001E-2</v>
      </c>
      <c r="W90" s="220">
        <f>'Debt_Qtr '!AJ90</f>
        <v>2.8000000000000001E-2</v>
      </c>
      <c r="X90" s="220">
        <f>'Debt_Qtr '!AO90</f>
        <v>2.8000000000000001E-2</v>
      </c>
      <c r="Y90" s="220">
        <f>'Debt_Qtr '!AT90</f>
        <v>2.8000000000000001E-2</v>
      </c>
      <c r="Z90" s="220">
        <f>'Debt_Qtr '!AY90</f>
        <v>2.8000000000000001E-2</v>
      </c>
      <c r="AA90" s="220">
        <f>'Debt_Qtr '!BD90</f>
        <v>2.8000000000000001E-2</v>
      </c>
      <c r="AB90" s="220">
        <f>'Debt_Qtr '!BI90</f>
        <v>2.8000000000000001E-2</v>
      </c>
      <c r="AC90" s="212">
        <f t="shared" si="16"/>
        <v>2.8000000000000001E-2</v>
      </c>
      <c r="AD90" s="212">
        <f t="shared" si="16"/>
        <v>2.8000000000000001E-2</v>
      </c>
      <c r="AE90" s="212">
        <f t="shared" si="16"/>
        <v>2.8000000000000001E-2</v>
      </c>
      <c r="AF90" s="212">
        <f t="shared" si="16"/>
        <v>2.8000000000000001E-2</v>
      </c>
    </row>
    <row r="91" spans="1:32" s="26" customFormat="1">
      <c r="A91" s="3" t="str">
        <f>'Debt_Qtr '!A91</f>
        <v>1.167% notes due February 2023</v>
      </c>
      <c r="B91" s="212"/>
      <c r="C91" s="212"/>
      <c r="D91" s="212"/>
      <c r="E91" s="212"/>
      <c r="F91" s="212"/>
      <c r="G91" s="212"/>
      <c r="H91" s="212"/>
      <c r="I91" s="212"/>
      <c r="J91" s="212"/>
      <c r="K91" s="212"/>
      <c r="L91" s="212"/>
      <c r="M91" s="212"/>
      <c r="N91" s="212"/>
      <c r="O91" s="212"/>
      <c r="P91" s="212"/>
      <c r="Q91" s="212"/>
      <c r="R91" s="212"/>
      <c r="S91" s="220">
        <f>'Debt_Qtr '!P91</f>
        <v>0</v>
      </c>
      <c r="T91" s="220">
        <f>'Debt_Qtr '!U91</f>
        <v>0</v>
      </c>
      <c r="U91" s="220">
        <f>'Debt_Qtr '!Z91</f>
        <v>0</v>
      </c>
      <c r="V91" s="220">
        <f>'Debt_Qtr '!AE91</f>
        <v>0</v>
      </c>
      <c r="W91" s="220">
        <f>'Debt_Qtr '!AJ91</f>
        <v>1.167E-2</v>
      </c>
      <c r="X91" s="220">
        <f>'Debt_Qtr '!AO91</f>
        <v>1.167E-2</v>
      </c>
      <c r="Y91" s="220">
        <f>'Debt_Qtr '!AT91</f>
        <v>1.167E-2</v>
      </c>
      <c r="Z91" s="220">
        <f>'Debt_Qtr '!AY91</f>
        <v>1.167E-2</v>
      </c>
      <c r="AA91" s="220">
        <f>'Debt_Qtr '!BD91</f>
        <v>1.167E-2</v>
      </c>
      <c r="AB91" s="220">
        <f>'Debt_Qtr '!BI91</f>
        <v>1.167E-2</v>
      </c>
      <c r="AC91" s="212">
        <f t="shared" ref="AC91:AF93" si="17">AB91</f>
        <v>1.167E-2</v>
      </c>
      <c r="AD91" s="212">
        <f t="shared" si="17"/>
        <v>1.167E-2</v>
      </c>
      <c r="AE91" s="212">
        <f t="shared" si="17"/>
        <v>1.167E-2</v>
      </c>
      <c r="AF91" s="212">
        <f t="shared" si="17"/>
        <v>1.167E-2</v>
      </c>
    </row>
    <row r="92" spans="1:32" s="26" customFormat="1">
      <c r="A92" s="3" t="str">
        <f>'Debt_Qtr '!A92</f>
        <v>1.433% Notes due February 2024</v>
      </c>
      <c r="B92" s="212"/>
      <c r="C92" s="212"/>
      <c r="D92" s="212"/>
      <c r="E92" s="212"/>
      <c r="F92" s="212"/>
      <c r="G92" s="212"/>
      <c r="H92" s="212"/>
      <c r="I92" s="212"/>
      <c r="J92" s="212"/>
      <c r="K92" s="212"/>
      <c r="L92" s="212"/>
      <c r="M92" s="212"/>
      <c r="N92" s="212"/>
      <c r="O92" s="212"/>
      <c r="P92" s="212"/>
      <c r="Q92" s="212"/>
      <c r="R92" s="212"/>
      <c r="S92" s="220">
        <f>'Debt_Qtr '!P92</f>
        <v>0</v>
      </c>
      <c r="T92" s="220">
        <f>'Debt_Qtr '!U92</f>
        <v>0</v>
      </c>
      <c r="U92" s="220">
        <f>'Debt_Qtr '!Z92</f>
        <v>0</v>
      </c>
      <c r="V92" s="220">
        <f>'Debt_Qtr '!AE92</f>
        <v>0</v>
      </c>
      <c r="W92" s="220">
        <f>'Debt_Qtr '!AJ92</f>
        <v>1.4330000000000001E-2</v>
      </c>
      <c r="X92" s="220">
        <f>'Debt_Qtr '!AO92</f>
        <v>1.4330000000000001E-2</v>
      </c>
      <c r="Y92" s="220">
        <f>'Debt_Qtr '!AT92</f>
        <v>1.4330000000000001E-2</v>
      </c>
      <c r="Z92" s="220">
        <f>'Debt_Qtr '!AY92</f>
        <v>1.4330000000000001E-2</v>
      </c>
      <c r="AA92" s="220">
        <f>'Debt_Qtr '!BD92</f>
        <v>1.4330000000000001E-2</v>
      </c>
      <c r="AB92" s="220">
        <f>'Debt_Qtr '!BI92</f>
        <v>1.4330000000000001E-2</v>
      </c>
      <c r="AC92" s="212">
        <f t="shared" si="17"/>
        <v>1.4330000000000001E-2</v>
      </c>
      <c r="AD92" s="212">
        <f t="shared" si="17"/>
        <v>1.4330000000000001E-2</v>
      </c>
      <c r="AE92" s="212">
        <f t="shared" si="17"/>
        <v>1.4330000000000001E-2</v>
      </c>
      <c r="AF92" s="212">
        <f t="shared" si="17"/>
        <v>1.4330000000000001E-2</v>
      </c>
    </row>
    <row r="93" spans="1:32" s="26" customFormat="1">
      <c r="A93" s="3" t="str">
        <f>'Debt_Qtr '!A93</f>
        <v>2.196% Notes due February 2026</v>
      </c>
      <c r="B93" s="212"/>
      <c r="C93" s="212"/>
      <c r="D93" s="212"/>
      <c r="E93" s="212"/>
      <c r="F93" s="212"/>
      <c r="G93" s="212"/>
      <c r="H93" s="212"/>
      <c r="I93" s="212"/>
      <c r="J93" s="212"/>
      <c r="K93" s="212"/>
      <c r="L93" s="212"/>
      <c r="M93" s="212"/>
      <c r="N93" s="212"/>
      <c r="O93" s="212"/>
      <c r="P93" s="212"/>
      <c r="Q93" s="212"/>
      <c r="R93" s="212"/>
      <c r="S93" s="220">
        <f>'Debt_Qtr '!P93</f>
        <v>0</v>
      </c>
      <c r="T93" s="220">
        <f>'Debt_Qtr '!U93</f>
        <v>0</v>
      </c>
      <c r="U93" s="220">
        <f>'Debt_Qtr '!Z93</f>
        <v>0</v>
      </c>
      <c r="V93" s="220">
        <f>'Debt_Qtr '!AE93</f>
        <v>0</v>
      </c>
      <c r="W93" s="220">
        <f>'Debt_Qtr '!AJ93</f>
        <v>2.196E-2</v>
      </c>
      <c r="X93" s="220">
        <f>'Debt_Qtr '!AO93</f>
        <v>2.196E-2</v>
      </c>
      <c r="Y93" s="220">
        <f>'Debt_Qtr '!AT93</f>
        <v>2.196E-2</v>
      </c>
      <c r="Z93" s="220">
        <f>'Debt_Qtr '!AY93</f>
        <v>2.196E-2</v>
      </c>
      <c r="AA93" s="220">
        <f>'Debt_Qtr '!BD93</f>
        <v>2.196E-2</v>
      </c>
      <c r="AB93" s="220">
        <f>'Debt_Qtr '!BI93</f>
        <v>2.196E-2</v>
      </c>
      <c r="AC93" s="212">
        <f t="shared" si="17"/>
        <v>2.196E-2</v>
      </c>
      <c r="AD93" s="212">
        <f t="shared" si="17"/>
        <v>2.196E-2</v>
      </c>
      <c r="AE93" s="212">
        <f t="shared" si="17"/>
        <v>2.196E-2</v>
      </c>
      <c r="AF93" s="212">
        <f t="shared" si="17"/>
        <v>2.196E-2</v>
      </c>
    </row>
    <row r="94" spans="1:32" s="26" customFormat="1">
      <c r="A94" s="3" t="str">
        <f>'Debt_Qtr '!A94</f>
        <v>2.8% due March 2023</v>
      </c>
      <c r="B94" s="212"/>
      <c r="C94" s="212"/>
      <c r="D94" s="212"/>
      <c r="E94" s="212"/>
      <c r="F94" s="212"/>
      <c r="G94" s="212"/>
      <c r="H94" s="212"/>
      <c r="I94" s="212"/>
      <c r="J94" s="212"/>
      <c r="K94" s="212"/>
      <c r="L94" s="212"/>
      <c r="M94" s="212"/>
      <c r="N94" s="212"/>
      <c r="O94" s="212"/>
      <c r="P94" s="212"/>
      <c r="Q94" s="212"/>
      <c r="R94" s="212"/>
      <c r="S94" s="220">
        <f>'Debt_Qtr '!P94</f>
        <v>2.8000000000000001E-2</v>
      </c>
      <c r="T94" s="220">
        <f>'Debt_Qtr '!U94</f>
        <v>2.8000000000000001E-2</v>
      </c>
      <c r="U94" s="220">
        <f>'Debt_Qtr '!Z94</f>
        <v>2.8000000000000001E-2</v>
      </c>
      <c r="V94" s="220">
        <f>'Debt_Qtr '!AE94</f>
        <v>2.8000000000000001E-2</v>
      </c>
      <c r="W94" s="220">
        <f>'Debt_Qtr '!AJ94</f>
        <v>2.8000000000000001E-2</v>
      </c>
      <c r="X94" s="220">
        <f>'Debt_Qtr '!AO94</f>
        <v>2.8000000000000001E-2</v>
      </c>
      <c r="Y94" s="220">
        <f>'Debt_Qtr '!AT94</f>
        <v>2.8000000000000001E-2</v>
      </c>
      <c r="Z94" s="220">
        <f>'Debt_Qtr '!AY94</f>
        <v>2.8000000000000001E-2</v>
      </c>
      <c r="AA94" s="220">
        <f>'Debt_Qtr '!BD94</f>
        <v>2.8000000000000001E-2</v>
      </c>
      <c r="AB94" s="220">
        <f>'Debt_Qtr '!BI94</f>
        <v>2.8000000000000001E-2</v>
      </c>
      <c r="AC94" s="212">
        <f t="shared" si="16"/>
        <v>2.8000000000000001E-2</v>
      </c>
      <c r="AD94" s="212">
        <f t="shared" si="16"/>
        <v>2.8000000000000001E-2</v>
      </c>
      <c r="AE94" s="212">
        <f t="shared" si="16"/>
        <v>2.8000000000000001E-2</v>
      </c>
      <c r="AF94" s="212">
        <f t="shared" si="16"/>
        <v>2.8000000000000001E-2</v>
      </c>
    </row>
    <row r="95" spans="1:32" s="26" customFormat="1">
      <c r="A95" s="3" t="str">
        <f>'Debt_Qtr '!A95</f>
        <v>2.8% due March 2027</v>
      </c>
      <c r="B95" s="212"/>
      <c r="C95" s="212"/>
      <c r="D95" s="212"/>
      <c r="E95" s="212"/>
      <c r="F95" s="212"/>
      <c r="G95" s="212"/>
      <c r="H95" s="212"/>
      <c r="I95" s="212"/>
      <c r="J95" s="212"/>
      <c r="K95" s="212"/>
      <c r="L95" s="212"/>
      <c r="M95" s="212"/>
      <c r="N95" s="212"/>
      <c r="O95" s="212"/>
      <c r="P95" s="212"/>
      <c r="Q95" s="212"/>
      <c r="R95" s="212"/>
      <c r="S95" s="220">
        <f>'Debt_Qtr '!P95</f>
        <v>2.8000000000000001E-2</v>
      </c>
      <c r="T95" s="220">
        <f>'Debt_Qtr '!U95</f>
        <v>2.8000000000000001E-2</v>
      </c>
      <c r="U95" s="220">
        <f>'Debt_Qtr '!Z95</f>
        <v>2.8000000000000001E-2</v>
      </c>
      <c r="V95" s="220">
        <f>'Debt_Qtr '!AE95</f>
        <v>2.8000000000000001E-2</v>
      </c>
      <c r="W95" s="220">
        <f>'Debt_Qtr '!AJ95</f>
        <v>2.8000000000000001E-2</v>
      </c>
      <c r="X95" s="220">
        <f>'Debt_Qtr '!AO95</f>
        <v>2.8000000000000001E-2</v>
      </c>
      <c r="Y95" s="220">
        <f>'Debt_Qtr '!AT95</f>
        <v>2.8000000000000001E-2</v>
      </c>
      <c r="Z95" s="220">
        <f>'Debt_Qtr '!AY95</f>
        <v>2.8000000000000001E-2</v>
      </c>
      <c r="AA95" s="220">
        <f>'Debt_Qtr '!BD95</f>
        <v>2.8000000000000001E-2</v>
      </c>
      <c r="AB95" s="220">
        <f>'Debt_Qtr '!BI95</f>
        <v>2.8000000000000001E-2</v>
      </c>
      <c r="AC95" s="212">
        <f t="shared" si="16"/>
        <v>2.8000000000000001E-2</v>
      </c>
      <c r="AD95" s="212">
        <f t="shared" si="16"/>
        <v>2.8000000000000001E-2</v>
      </c>
      <c r="AE95" s="212">
        <f t="shared" si="16"/>
        <v>2.8000000000000001E-2</v>
      </c>
      <c r="AF95" s="212">
        <f t="shared" si="16"/>
        <v>2.8000000000000001E-2</v>
      </c>
    </row>
    <row r="96" spans="1:32" s="26" customFormat="1">
      <c r="A96" s="3" t="str">
        <f>'Debt_Qtr '!A96</f>
        <v>2.85% due Oct 2024</v>
      </c>
      <c r="B96" s="212"/>
      <c r="C96" s="212"/>
      <c r="D96" s="212"/>
      <c r="E96" s="212"/>
      <c r="F96" s="212"/>
      <c r="G96" s="212"/>
      <c r="H96" s="212"/>
      <c r="I96" s="212"/>
      <c r="J96" s="212"/>
      <c r="K96" s="212"/>
      <c r="L96" s="212"/>
      <c r="M96" s="212"/>
      <c r="N96" s="212"/>
      <c r="O96" s="212"/>
      <c r="P96" s="212"/>
      <c r="Q96" s="212"/>
      <c r="R96" s="212"/>
      <c r="S96" s="220">
        <f>'Debt_Qtr '!P96</f>
        <v>2.8500000000000001E-2</v>
      </c>
      <c r="T96" s="220">
        <f>'Debt_Qtr '!U96</f>
        <v>2.8500000000000001E-2</v>
      </c>
      <c r="U96" s="220">
        <f>'Debt_Qtr '!Z96</f>
        <v>2.8500000000000001E-2</v>
      </c>
      <c r="V96" s="220">
        <f>'Debt_Qtr '!AE96</f>
        <v>2.8500000000000001E-2</v>
      </c>
      <c r="W96" s="220">
        <f>'Debt_Qtr '!AJ96</f>
        <v>2.8500000000000001E-2</v>
      </c>
      <c r="X96" s="220">
        <f>'Debt_Qtr '!AO96</f>
        <v>2.8500000000000001E-2</v>
      </c>
      <c r="Y96" s="220">
        <f>'Debt_Qtr '!AT96</f>
        <v>2.8500000000000001E-2</v>
      </c>
      <c r="Z96" s="220">
        <f>'Debt_Qtr '!AY96</f>
        <v>2.8500000000000001E-2</v>
      </c>
      <c r="AA96" s="220">
        <f>'Debt_Qtr '!BD96</f>
        <v>2.8500000000000001E-2</v>
      </c>
      <c r="AB96" s="220">
        <f>'Debt_Qtr '!BI96</f>
        <v>2.8500000000000001E-2</v>
      </c>
      <c r="AC96" s="212">
        <f t="shared" si="16"/>
        <v>2.8500000000000001E-2</v>
      </c>
      <c r="AD96" s="212">
        <f t="shared" si="16"/>
        <v>2.8500000000000001E-2</v>
      </c>
      <c r="AE96" s="212">
        <f t="shared" si="16"/>
        <v>2.8500000000000001E-2</v>
      </c>
      <c r="AF96" s="212">
        <f t="shared" si="16"/>
        <v>2.8500000000000001E-2</v>
      </c>
    </row>
    <row r="97" spans="1:32" s="26" customFormat="1">
      <c r="A97" s="3" t="str">
        <f>'Debt_Qtr '!A97</f>
        <v>2.95% due Feb 2030</v>
      </c>
      <c r="B97" s="212"/>
      <c r="C97" s="212"/>
      <c r="D97" s="212"/>
      <c r="E97" s="212"/>
      <c r="F97" s="212"/>
      <c r="G97" s="212"/>
      <c r="H97" s="212"/>
      <c r="I97" s="212"/>
      <c r="J97" s="212"/>
      <c r="K97" s="212"/>
      <c r="L97" s="212"/>
      <c r="M97" s="212"/>
      <c r="N97" s="212"/>
      <c r="O97" s="212"/>
      <c r="P97" s="212"/>
      <c r="Q97" s="212"/>
      <c r="R97" s="212"/>
      <c r="S97" s="220">
        <f>'Debt_Qtr '!P97</f>
        <v>2.9499999999999998E-2</v>
      </c>
      <c r="T97" s="220">
        <f>'Debt_Qtr '!U97</f>
        <v>2.9499999999999998E-2</v>
      </c>
      <c r="U97" s="220">
        <f>'Debt_Qtr '!Z97</f>
        <v>2.9499999999999998E-2</v>
      </c>
      <c r="V97" s="220">
        <f>'Debt_Qtr '!AE97</f>
        <v>2.9499999999999998E-2</v>
      </c>
      <c r="W97" s="220">
        <f>'Debt_Qtr '!AJ97</f>
        <v>2.9499999999999998E-2</v>
      </c>
      <c r="X97" s="220">
        <f>'Debt_Qtr '!AO97</f>
        <v>2.9499999999999998E-2</v>
      </c>
      <c r="Y97" s="220">
        <f>'Debt_Qtr '!AT97</f>
        <v>2.9499999999999998E-2</v>
      </c>
      <c r="Z97" s="220">
        <f>'Debt_Qtr '!AY97</f>
        <v>2.9499999999999998E-2</v>
      </c>
      <c r="AA97" s="220">
        <f>'Debt_Qtr '!BD97</f>
        <v>2.9499999999999998E-2</v>
      </c>
      <c r="AB97" s="220">
        <f>'Debt_Qtr '!BI97</f>
        <v>2.9499999999999998E-2</v>
      </c>
      <c r="AC97" s="212">
        <f t="shared" ref="AC97:AF134" si="18">AB97</f>
        <v>2.9499999999999998E-2</v>
      </c>
      <c r="AD97" s="212">
        <f t="shared" si="18"/>
        <v>2.9499999999999998E-2</v>
      </c>
      <c r="AE97" s="212">
        <f t="shared" si="18"/>
        <v>2.9499999999999998E-2</v>
      </c>
      <c r="AF97" s="212">
        <f t="shared" si="18"/>
        <v>2.9499999999999998E-2</v>
      </c>
    </row>
    <row r="98" spans="1:32" s="26" customFormat="1">
      <c r="A98" s="3" t="str">
        <f>'Debt_Qtr '!A98</f>
        <v>3.1% due May 2026</v>
      </c>
      <c r="B98" s="212"/>
      <c r="C98" s="212"/>
      <c r="D98" s="212"/>
      <c r="E98" s="212"/>
      <c r="F98" s="212"/>
      <c r="G98" s="212"/>
      <c r="H98" s="212"/>
      <c r="I98" s="212"/>
      <c r="J98" s="212"/>
      <c r="K98" s="212"/>
      <c r="L98" s="212"/>
      <c r="M98" s="212"/>
      <c r="N98" s="212"/>
      <c r="O98" s="212"/>
      <c r="P98" s="212"/>
      <c r="Q98" s="212"/>
      <c r="R98" s="212"/>
      <c r="S98" s="220">
        <f>'Debt_Qtr '!P98</f>
        <v>3.1E-2</v>
      </c>
      <c r="T98" s="220">
        <f>'Debt_Qtr '!U98</f>
        <v>3.1E-2</v>
      </c>
      <c r="U98" s="220">
        <f>'Debt_Qtr '!Z98</f>
        <v>3.1E-2</v>
      </c>
      <c r="V98" s="220">
        <f>'Debt_Qtr '!AE98</f>
        <v>3.1E-2</v>
      </c>
      <c r="W98" s="220">
        <f>'Debt_Qtr '!AJ98</f>
        <v>3.1E-2</v>
      </c>
      <c r="X98" s="220">
        <f>'Debt_Qtr '!AO98</f>
        <v>3.1E-2</v>
      </c>
      <c r="Y98" s="220">
        <f>'Debt_Qtr '!AT98</f>
        <v>3.1E-2</v>
      </c>
      <c r="Z98" s="220">
        <f>'Debt_Qtr '!AY98</f>
        <v>3.1E-2</v>
      </c>
      <c r="AA98" s="220">
        <f>'Debt_Qtr '!BD98</f>
        <v>3.1E-2</v>
      </c>
      <c r="AB98" s="220">
        <f>'Debt_Qtr '!BI98</f>
        <v>3.1E-2</v>
      </c>
      <c r="AC98" s="212">
        <f t="shared" si="18"/>
        <v>3.1E-2</v>
      </c>
      <c r="AD98" s="212">
        <f t="shared" si="18"/>
        <v>3.1E-2</v>
      </c>
      <c r="AE98" s="212">
        <f t="shared" si="18"/>
        <v>3.1E-2</v>
      </c>
      <c r="AF98" s="212">
        <f t="shared" si="18"/>
        <v>3.1E-2</v>
      </c>
    </row>
    <row r="99" spans="1:32" s="26" customFormat="1">
      <c r="A99" s="3" t="str">
        <f>'Debt_Qtr '!A99</f>
        <v>3.2% due March 2029</v>
      </c>
      <c r="B99" s="212"/>
      <c r="C99" s="212"/>
      <c r="D99" s="212"/>
      <c r="E99" s="212"/>
      <c r="F99" s="212"/>
      <c r="G99" s="212"/>
      <c r="H99" s="212"/>
      <c r="I99" s="212"/>
      <c r="J99" s="212"/>
      <c r="K99" s="212"/>
      <c r="L99" s="212"/>
      <c r="M99" s="212"/>
      <c r="N99" s="212"/>
      <c r="O99" s="212"/>
      <c r="P99" s="212"/>
      <c r="Q99" s="212"/>
      <c r="R99" s="212"/>
      <c r="S99" s="220">
        <f>'Debt_Qtr '!P99</f>
        <v>3.2000000000000001E-2</v>
      </c>
      <c r="T99" s="220">
        <f>'Debt_Qtr '!U99</f>
        <v>3.2000000000000001E-2</v>
      </c>
      <c r="U99" s="220">
        <f>'Debt_Qtr '!Z99</f>
        <v>3.2000000000000001E-2</v>
      </c>
      <c r="V99" s="220">
        <f>'Debt_Qtr '!AE99</f>
        <v>3.2000000000000001E-2</v>
      </c>
      <c r="W99" s="220">
        <f>'Debt_Qtr '!AJ99</f>
        <v>3.2000000000000001E-2</v>
      </c>
      <c r="X99" s="220">
        <f>'Debt_Qtr '!AO99</f>
        <v>3.2000000000000001E-2</v>
      </c>
      <c r="Y99" s="220">
        <f>'Debt_Qtr '!AT99</f>
        <v>3.2000000000000001E-2</v>
      </c>
      <c r="Z99" s="220">
        <f>'Debt_Qtr '!AY99</f>
        <v>3.2000000000000001E-2</v>
      </c>
      <c r="AA99" s="220">
        <f>'Debt_Qtr '!BD99</f>
        <v>3.2000000000000001E-2</v>
      </c>
      <c r="AB99" s="220">
        <f>'Debt_Qtr '!BI99</f>
        <v>3.2000000000000001E-2</v>
      </c>
      <c r="AC99" s="212">
        <f t="shared" si="18"/>
        <v>3.2000000000000001E-2</v>
      </c>
      <c r="AD99" s="212">
        <f t="shared" si="18"/>
        <v>3.2000000000000001E-2</v>
      </c>
      <c r="AE99" s="212">
        <f t="shared" si="18"/>
        <v>3.2000000000000001E-2</v>
      </c>
      <c r="AF99" s="212">
        <f t="shared" si="18"/>
        <v>3.2000000000000001E-2</v>
      </c>
    </row>
    <row r="100" spans="1:32" s="26" customFormat="1">
      <c r="A100" s="3" t="str">
        <f>'Debt_Qtr '!A100</f>
        <v>3.25% due Feb 2035</v>
      </c>
      <c r="B100" s="212"/>
      <c r="C100" s="212"/>
      <c r="D100" s="212"/>
      <c r="E100" s="212"/>
      <c r="F100" s="212"/>
      <c r="G100" s="212"/>
      <c r="H100" s="212"/>
      <c r="I100" s="212"/>
      <c r="J100" s="212"/>
      <c r="K100" s="212"/>
      <c r="L100" s="212"/>
      <c r="M100" s="212"/>
      <c r="N100" s="212"/>
      <c r="O100" s="212"/>
      <c r="P100" s="212"/>
      <c r="Q100" s="212"/>
      <c r="R100" s="212"/>
      <c r="S100" s="220">
        <f>'Debt_Qtr '!P100</f>
        <v>3.2500000000000001E-2</v>
      </c>
      <c r="T100" s="220">
        <f>'Debt_Qtr '!U100</f>
        <v>3.2500000000000001E-2</v>
      </c>
      <c r="U100" s="220">
        <f>'Debt_Qtr '!Z100</f>
        <v>3.2500000000000001E-2</v>
      </c>
      <c r="V100" s="220">
        <f>'Debt_Qtr '!AE100</f>
        <v>3.2500000000000001E-2</v>
      </c>
      <c r="W100" s="220">
        <f>'Debt_Qtr '!AJ100</f>
        <v>3.2500000000000001E-2</v>
      </c>
      <c r="X100" s="220">
        <f>'Debt_Qtr '!AO100</f>
        <v>3.2500000000000001E-2</v>
      </c>
      <c r="Y100" s="220">
        <f>'Debt_Qtr '!AT100</f>
        <v>3.2500000000000001E-2</v>
      </c>
      <c r="Z100" s="220">
        <f>'Debt_Qtr '!AY100</f>
        <v>3.2500000000000001E-2</v>
      </c>
      <c r="AA100" s="220">
        <f>'Debt_Qtr '!BD100</f>
        <v>3.2500000000000001E-2</v>
      </c>
      <c r="AB100" s="220">
        <f>'Debt_Qtr '!BI100</f>
        <v>3.2500000000000001E-2</v>
      </c>
      <c r="AC100" s="212">
        <f t="shared" si="18"/>
        <v>3.2500000000000001E-2</v>
      </c>
      <c r="AD100" s="212">
        <f t="shared" si="18"/>
        <v>3.2500000000000001E-2</v>
      </c>
      <c r="AE100" s="212">
        <f t="shared" si="18"/>
        <v>3.2500000000000001E-2</v>
      </c>
      <c r="AF100" s="212">
        <f t="shared" si="18"/>
        <v>3.2500000000000001E-2</v>
      </c>
    </row>
    <row r="101" spans="1:32" s="26" customFormat="1">
      <c r="A101" s="3" t="str">
        <f>'Debt_Qtr '!A101</f>
        <v>3.25% due March 2028</v>
      </c>
      <c r="B101" s="212"/>
      <c r="C101" s="212"/>
      <c r="D101" s="212"/>
      <c r="E101" s="212"/>
      <c r="F101" s="212"/>
      <c r="G101" s="212"/>
      <c r="H101" s="212"/>
      <c r="I101" s="212"/>
      <c r="J101" s="212"/>
      <c r="K101" s="212"/>
      <c r="L101" s="212"/>
      <c r="M101" s="212"/>
      <c r="N101" s="212"/>
      <c r="O101" s="212"/>
      <c r="P101" s="212"/>
      <c r="Q101" s="212"/>
      <c r="R101" s="212"/>
      <c r="S101" s="220">
        <f>'Debt_Qtr '!P101</f>
        <v>3.2500000000000001E-2</v>
      </c>
      <c r="T101" s="220">
        <f>'Debt_Qtr '!U101</f>
        <v>3.2500000000000001E-2</v>
      </c>
      <c r="U101" s="220">
        <f>'Debt_Qtr '!Z101</f>
        <v>3.2500000000000001E-2</v>
      </c>
      <c r="V101" s="220">
        <f>'Debt_Qtr '!AE101</f>
        <v>3.2500000000000001E-2</v>
      </c>
      <c r="W101" s="220">
        <f>'Debt_Qtr '!AJ101</f>
        <v>3.2500000000000001E-2</v>
      </c>
      <c r="X101" s="220">
        <f>'Debt_Qtr '!AO101</f>
        <v>3.2500000000000001E-2</v>
      </c>
      <c r="Y101" s="220">
        <f>'Debt_Qtr '!AT101</f>
        <v>3.2500000000000001E-2</v>
      </c>
      <c r="Z101" s="220">
        <f>'Debt_Qtr '!AY101</f>
        <v>3.2500000000000001E-2</v>
      </c>
      <c r="AA101" s="220">
        <f>'Debt_Qtr '!BD101</f>
        <v>3.2500000000000001E-2</v>
      </c>
      <c r="AB101" s="220">
        <f>'Debt_Qtr '!BI101</f>
        <v>3.2500000000000001E-2</v>
      </c>
      <c r="AC101" s="212">
        <f t="shared" si="18"/>
        <v>3.2500000000000001E-2</v>
      </c>
      <c r="AD101" s="212">
        <f t="shared" si="18"/>
        <v>3.2500000000000001E-2</v>
      </c>
      <c r="AE101" s="212">
        <f t="shared" si="18"/>
        <v>3.2500000000000001E-2</v>
      </c>
      <c r="AF101" s="212">
        <f t="shared" si="18"/>
        <v>3.2500000000000001E-2</v>
      </c>
    </row>
    <row r="102" spans="1:32" s="26" customFormat="1">
      <c r="A102" s="3" t="str">
        <f>'Debt_Qtr '!A102</f>
        <v>3.3% due March 2035</v>
      </c>
      <c r="B102" s="212"/>
      <c r="C102" s="212"/>
      <c r="D102" s="212"/>
      <c r="E102" s="212"/>
      <c r="F102" s="212"/>
      <c r="G102" s="212"/>
      <c r="H102" s="212"/>
      <c r="I102" s="212"/>
      <c r="J102" s="212"/>
      <c r="K102" s="212"/>
      <c r="L102" s="212"/>
      <c r="M102" s="212"/>
      <c r="N102" s="212"/>
      <c r="O102" s="212"/>
      <c r="P102" s="212"/>
      <c r="Q102" s="212"/>
      <c r="R102" s="212"/>
      <c r="S102" s="220">
        <f>'Debt_Qtr '!P102</f>
        <v>3.3000000000000002E-2</v>
      </c>
      <c r="T102" s="220">
        <f>'Debt_Qtr '!U102</f>
        <v>3.3000000000000002E-2</v>
      </c>
      <c r="U102" s="220">
        <f>'Debt_Qtr '!Z102</f>
        <v>3.3000000000000002E-2</v>
      </c>
      <c r="V102" s="220">
        <f>'Debt_Qtr '!AE102</f>
        <v>3.3000000000000002E-2</v>
      </c>
      <c r="W102" s="220">
        <f>'Debt_Qtr '!AJ102</f>
        <v>3.3000000000000002E-2</v>
      </c>
      <c r="X102" s="220">
        <f>'Debt_Qtr '!AO102</f>
        <v>3.3000000000000002E-2</v>
      </c>
      <c r="Y102" s="220">
        <f>'Debt_Qtr '!AT102</f>
        <v>3.3000000000000002E-2</v>
      </c>
      <c r="Z102" s="220">
        <f>'Debt_Qtr '!AY102</f>
        <v>3.3000000000000002E-2</v>
      </c>
      <c r="AA102" s="220">
        <f>'Debt_Qtr '!BD102</f>
        <v>3.3000000000000002E-2</v>
      </c>
      <c r="AB102" s="220">
        <f>'Debt_Qtr '!BI102</f>
        <v>3.3000000000000002E-2</v>
      </c>
      <c r="AC102" s="212">
        <f t="shared" si="18"/>
        <v>3.3000000000000002E-2</v>
      </c>
      <c r="AD102" s="212">
        <f t="shared" si="18"/>
        <v>3.3000000000000002E-2</v>
      </c>
      <c r="AE102" s="212">
        <f t="shared" si="18"/>
        <v>3.3000000000000002E-2</v>
      </c>
      <c r="AF102" s="212">
        <f t="shared" si="18"/>
        <v>3.3000000000000002E-2</v>
      </c>
    </row>
    <row r="103" spans="1:32" s="26" customFormat="1">
      <c r="A103" s="3" t="str">
        <f>'Debt_Qtr '!A103</f>
        <v>3.375% due June 2046</v>
      </c>
      <c r="B103" s="212"/>
      <c r="C103" s="212"/>
      <c r="D103" s="212"/>
      <c r="E103" s="212"/>
      <c r="F103" s="212"/>
      <c r="G103" s="212"/>
      <c r="H103" s="212"/>
      <c r="I103" s="212"/>
      <c r="J103" s="212"/>
      <c r="K103" s="212"/>
      <c r="L103" s="212"/>
      <c r="M103" s="212"/>
      <c r="N103" s="212"/>
      <c r="O103" s="212"/>
      <c r="P103" s="212"/>
      <c r="Q103" s="212"/>
      <c r="R103" s="212"/>
      <c r="S103" s="220">
        <f>'Debt_Qtr '!P103</f>
        <v>3.3750000000000002E-2</v>
      </c>
      <c r="T103" s="220">
        <f>'Debt_Qtr '!U103</f>
        <v>3.3750000000000002E-2</v>
      </c>
      <c r="U103" s="220">
        <f>'Debt_Qtr '!Z103</f>
        <v>3.3750000000000002E-2</v>
      </c>
      <c r="V103" s="220">
        <f>'Debt_Qtr '!AE103</f>
        <v>3.3750000000000002E-2</v>
      </c>
      <c r="W103" s="220">
        <f>'Debt_Qtr '!AJ103</f>
        <v>3.3750000000000002E-2</v>
      </c>
      <c r="X103" s="220">
        <f>'Debt_Qtr '!AO103</f>
        <v>3.3750000000000002E-2</v>
      </c>
      <c r="Y103" s="220">
        <f>'Debt_Qtr '!AT103</f>
        <v>3.3750000000000002E-2</v>
      </c>
      <c r="Z103" s="220">
        <f>'Debt_Qtr '!AY103</f>
        <v>3.3750000000000002E-2</v>
      </c>
      <c r="AA103" s="220">
        <f>'Debt_Qtr '!BD103</f>
        <v>3.3750000000000002E-2</v>
      </c>
      <c r="AB103" s="220">
        <f>'Debt_Qtr '!BI103</f>
        <v>3.3750000000000002E-2</v>
      </c>
      <c r="AC103" s="212">
        <f t="shared" si="18"/>
        <v>3.3750000000000002E-2</v>
      </c>
      <c r="AD103" s="212">
        <f t="shared" si="18"/>
        <v>3.3750000000000002E-2</v>
      </c>
      <c r="AE103" s="212">
        <f t="shared" si="18"/>
        <v>3.3750000000000002E-2</v>
      </c>
      <c r="AF103" s="212">
        <f t="shared" si="18"/>
        <v>3.3750000000000002E-2</v>
      </c>
    </row>
    <row r="104" spans="1:32" s="26" customFormat="1">
      <c r="A104" s="3" t="str">
        <f>'Debt_Qtr '!A104</f>
        <v>3.45% due Nov 2028</v>
      </c>
      <c r="B104" s="212"/>
      <c r="C104" s="212"/>
      <c r="D104" s="212"/>
      <c r="E104" s="212"/>
      <c r="F104" s="212"/>
      <c r="G104" s="212"/>
      <c r="H104" s="212"/>
      <c r="I104" s="212"/>
      <c r="J104" s="212"/>
      <c r="K104" s="212"/>
      <c r="L104" s="212"/>
      <c r="M104" s="212"/>
      <c r="N104" s="212"/>
      <c r="O104" s="212"/>
      <c r="P104" s="212"/>
      <c r="Q104" s="212"/>
      <c r="R104" s="212"/>
      <c r="S104" s="220">
        <f>'Debt_Qtr '!P104</f>
        <v>3.4500000000000003E-2</v>
      </c>
      <c r="T104" s="220">
        <f>'Debt_Qtr '!U104</f>
        <v>3.4500000000000003E-2</v>
      </c>
      <c r="U104" s="220">
        <f>'Debt_Qtr '!Z104</f>
        <v>3.4500000000000003E-2</v>
      </c>
      <c r="V104" s="220">
        <f>'Debt_Qtr '!AE104</f>
        <v>3.4500000000000003E-2</v>
      </c>
      <c r="W104" s="220">
        <f>'Debt_Qtr '!AJ104</f>
        <v>3.4500000000000003E-2</v>
      </c>
      <c r="X104" s="220">
        <f>'Debt_Qtr '!AO104</f>
        <v>3.4500000000000003E-2</v>
      </c>
      <c r="Y104" s="220">
        <f>'Debt_Qtr '!AT104</f>
        <v>3.4500000000000003E-2</v>
      </c>
      <c r="Z104" s="220">
        <f>'Debt_Qtr '!AY104</f>
        <v>3.4500000000000003E-2</v>
      </c>
      <c r="AA104" s="220">
        <f>'Debt_Qtr '!BD104</f>
        <v>3.4500000000000003E-2</v>
      </c>
      <c r="AB104" s="220">
        <f>'Debt_Qtr '!BI104</f>
        <v>3.4500000000000003E-2</v>
      </c>
      <c r="AC104" s="212">
        <f t="shared" si="18"/>
        <v>3.4500000000000003E-2</v>
      </c>
      <c r="AD104" s="212">
        <f t="shared" si="18"/>
        <v>3.4500000000000003E-2</v>
      </c>
      <c r="AE104" s="212">
        <f t="shared" si="18"/>
        <v>3.4500000000000003E-2</v>
      </c>
      <c r="AF104" s="212">
        <f t="shared" si="18"/>
        <v>3.4500000000000003E-2</v>
      </c>
    </row>
    <row r="105" spans="1:32" s="26" customFormat="1">
      <c r="A105" s="3" t="str">
        <f>'Debt_Qtr '!A105</f>
        <v>3.5% due March 2039</v>
      </c>
      <c r="B105" s="212"/>
      <c r="C105" s="212"/>
      <c r="D105" s="212"/>
      <c r="E105" s="212"/>
      <c r="F105" s="212"/>
      <c r="G105" s="212"/>
      <c r="H105" s="212"/>
      <c r="I105" s="212"/>
      <c r="J105" s="212"/>
      <c r="K105" s="212"/>
      <c r="L105" s="212"/>
      <c r="M105" s="212"/>
      <c r="N105" s="212"/>
      <c r="O105" s="212"/>
      <c r="P105" s="212"/>
      <c r="Q105" s="212"/>
      <c r="R105" s="212"/>
      <c r="S105" s="220">
        <f>'Debt_Qtr '!P105</f>
        <v>3.5000000000000003E-2</v>
      </c>
      <c r="T105" s="220">
        <f>'Debt_Qtr '!U105</f>
        <v>3.5000000000000003E-2</v>
      </c>
      <c r="U105" s="220">
        <f>'Debt_Qtr '!Z105</f>
        <v>3.5000000000000003E-2</v>
      </c>
      <c r="V105" s="220">
        <f>'Debt_Qtr '!AE105</f>
        <v>3.5000000000000003E-2</v>
      </c>
      <c r="W105" s="220">
        <f>'Debt_Qtr '!AJ105</f>
        <v>3.5000000000000003E-2</v>
      </c>
      <c r="X105" s="220">
        <f>'Debt_Qtr '!AO105</f>
        <v>3.5000000000000003E-2</v>
      </c>
      <c r="Y105" s="220">
        <f>'Debt_Qtr '!AT105</f>
        <v>3.5000000000000003E-2</v>
      </c>
      <c r="Z105" s="220">
        <f>'Debt_Qtr '!AY105</f>
        <v>3.5000000000000003E-2</v>
      </c>
      <c r="AA105" s="220">
        <f>'Debt_Qtr '!BD105</f>
        <v>3.5000000000000003E-2</v>
      </c>
      <c r="AB105" s="220">
        <f>'Debt_Qtr '!BI105</f>
        <v>3.5000000000000003E-2</v>
      </c>
      <c r="AC105" s="212">
        <f t="shared" si="18"/>
        <v>3.5000000000000003E-2</v>
      </c>
      <c r="AD105" s="212">
        <f t="shared" si="18"/>
        <v>3.5000000000000003E-2</v>
      </c>
      <c r="AE105" s="212">
        <f t="shared" si="18"/>
        <v>3.5000000000000003E-2</v>
      </c>
      <c r="AF105" s="212">
        <f t="shared" si="18"/>
        <v>3.5000000000000003E-2</v>
      </c>
    </row>
    <row r="106" spans="1:32" s="26" customFormat="1">
      <c r="A106" s="3" t="str">
        <f>'Debt_Qtr '!A106</f>
        <v>3.5% due March 2045</v>
      </c>
      <c r="B106" s="212"/>
      <c r="C106" s="212"/>
      <c r="D106" s="212"/>
      <c r="E106" s="212"/>
      <c r="F106" s="212"/>
      <c r="G106" s="212"/>
      <c r="H106" s="212"/>
      <c r="I106" s="212"/>
      <c r="J106" s="212"/>
      <c r="K106" s="212"/>
      <c r="L106" s="212"/>
      <c r="M106" s="212"/>
      <c r="N106" s="212"/>
      <c r="O106" s="212"/>
      <c r="P106" s="212"/>
      <c r="Q106" s="212"/>
      <c r="R106" s="212"/>
      <c r="S106" s="220">
        <f>'Debt_Qtr '!P106</f>
        <v>3.5000000000000003E-2</v>
      </c>
      <c r="T106" s="220">
        <f>'Debt_Qtr '!U106</f>
        <v>3.5000000000000003E-2</v>
      </c>
      <c r="U106" s="220">
        <f>'Debt_Qtr '!Z106</f>
        <v>3.5000000000000003E-2</v>
      </c>
      <c r="V106" s="220">
        <f>'Debt_Qtr '!AE106</f>
        <v>3.5000000000000003E-2</v>
      </c>
      <c r="W106" s="220">
        <f>'Debt_Qtr '!AJ106</f>
        <v>3.5000000000000003E-2</v>
      </c>
      <c r="X106" s="220">
        <f>'Debt_Qtr '!AO106</f>
        <v>3.5000000000000003E-2</v>
      </c>
      <c r="Y106" s="220">
        <f>'Debt_Qtr '!AT106</f>
        <v>3.5000000000000003E-2</v>
      </c>
      <c r="Z106" s="220">
        <f>'Debt_Qtr '!AY106</f>
        <v>3.5000000000000003E-2</v>
      </c>
      <c r="AA106" s="220">
        <f>'Debt_Qtr '!BD106</f>
        <v>3.5000000000000003E-2</v>
      </c>
      <c r="AB106" s="220">
        <f>'Debt_Qtr '!BI106</f>
        <v>3.5000000000000003E-2</v>
      </c>
      <c r="AC106" s="212">
        <f t="shared" si="18"/>
        <v>3.5000000000000003E-2</v>
      </c>
      <c r="AD106" s="212">
        <f t="shared" si="18"/>
        <v>3.5000000000000003E-2</v>
      </c>
      <c r="AE106" s="212">
        <f t="shared" si="18"/>
        <v>3.5000000000000003E-2</v>
      </c>
      <c r="AF106" s="212">
        <f t="shared" si="18"/>
        <v>3.5000000000000003E-2</v>
      </c>
    </row>
    <row r="107" spans="1:32" s="26" customFormat="1">
      <c r="A107" s="3" t="str">
        <f>'Debt_Qtr '!A107</f>
        <v>3.55% due March 2038</v>
      </c>
      <c r="B107" s="212"/>
      <c r="C107" s="212"/>
      <c r="D107" s="212"/>
      <c r="E107" s="212"/>
      <c r="F107" s="212"/>
      <c r="G107" s="212"/>
      <c r="H107" s="212"/>
      <c r="I107" s="212"/>
      <c r="J107" s="212"/>
      <c r="K107" s="212"/>
      <c r="L107" s="212"/>
      <c r="M107" s="212"/>
      <c r="N107" s="212"/>
      <c r="O107" s="212"/>
      <c r="P107" s="212"/>
      <c r="Q107" s="212"/>
      <c r="R107" s="212"/>
      <c r="S107" s="220">
        <f>'Debt_Qtr '!P107</f>
        <v>3.5499999999999997E-2</v>
      </c>
      <c r="T107" s="220">
        <f>'Debt_Qtr '!U107</f>
        <v>3.5499999999999997E-2</v>
      </c>
      <c r="U107" s="220">
        <f>'Debt_Qtr '!Z107</f>
        <v>3.5499999999999997E-2</v>
      </c>
      <c r="V107" s="220">
        <f>'Debt_Qtr '!AE107</f>
        <v>3.5499999999999997E-2</v>
      </c>
      <c r="W107" s="220">
        <f>'Debt_Qtr '!AJ107</f>
        <v>3.5499999999999997E-2</v>
      </c>
      <c r="X107" s="220">
        <f>'Debt_Qtr '!AO107</f>
        <v>3.5499999999999997E-2</v>
      </c>
      <c r="Y107" s="220">
        <f>'Debt_Qtr '!AT107</f>
        <v>3.5499999999999997E-2</v>
      </c>
      <c r="Z107" s="220">
        <f>'Debt_Qtr '!AY107</f>
        <v>3.5499999999999997E-2</v>
      </c>
      <c r="AA107" s="220">
        <f>'Debt_Qtr '!BD107</f>
        <v>3.5499999999999997E-2</v>
      </c>
      <c r="AB107" s="220">
        <f>'Debt_Qtr '!BI107</f>
        <v>3.5499999999999997E-2</v>
      </c>
      <c r="AC107" s="212">
        <f t="shared" si="18"/>
        <v>3.5499999999999997E-2</v>
      </c>
      <c r="AD107" s="212">
        <f t="shared" si="18"/>
        <v>3.5499999999999997E-2</v>
      </c>
      <c r="AE107" s="212">
        <f t="shared" si="18"/>
        <v>3.5499999999999997E-2</v>
      </c>
      <c r="AF107" s="212">
        <f t="shared" si="18"/>
        <v>3.5499999999999997E-2</v>
      </c>
    </row>
    <row r="108" spans="1:32" s="26" customFormat="1">
      <c r="A108" s="3" t="str">
        <f>'Debt_Qtr '!A108</f>
        <v>3.6% due May 2034</v>
      </c>
      <c r="B108" s="212"/>
      <c r="C108" s="212"/>
      <c r="D108" s="212"/>
      <c r="E108" s="212"/>
      <c r="F108" s="212"/>
      <c r="G108" s="212"/>
      <c r="H108" s="212"/>
      <c r="I108" s="212"/>
      <c r="J108" s="212"/>
      <c r="K108" s="212"/>
      <c r="L108" s="212"/>
      <c r="M108" s="212"/>
      <c r="N108" s="212"/>
      <c r="O108" s="212"/>
      <c r="P108" s="212"/>
      <c r="Q108" s="212"/>
      <c r="R108" s="212"/>
      <c r="S108" s="220">
        <f>'Debt_Qtr '!P108</f>
        <v>3.5999999999999997E-2</v>
      </c>
      <c r="T108" s="220">
        <f>'Debt_Qtr '!U108</f>
        <v>3.5999999999999997E-2</v>
      </c>
      <c r="U108" s="220">
        <f>'Debt_Qtr '!Z108</f>
        <v>3.5999999999999997E-2</v>
      </c>
      <c r="V108" s="220">
        <f>'Debt_Qtr '!AE108</f>
        <v>3.5999999999999997E-2</v>
      </c>
      <c r="W108" s="220">
        <f>'Debt_Qtr '!AJ108</f>
        <v>3.5999999999999997E-2</v>
      </c>
      <c r="X108" s="220">
        <f>'Debt_Qtr '!AO108</f>
        <v>3.5999999999999997E-2</v>
      </c>
      <c r="Y108" s="220">
        <f>'Debt_Qtr '!AT108</f>
        <v>3.5999999999999997E-2</v>
      </c>
      <c r="Z108" s="220">
        <f>'Debt_Qtr '!AY108</f>
        <v>3.5999999999999997E-2</v>
      </c>
      <c r="AA108" s="220">
        <f>'Debt_Qtr '!BD108</f>
        <v>3.5999999999999997E-2</v>
      </c>
      <c r="AB108" s="220">
        <f>'Debt_Qtr '!BI108</f>
        <v>3.5999999999999997E-2</v>
      </c>
      <c r="AC108" s="212">
        <f t="shared" si="18"/>
        <v>3.5999999999999997E-2</v>
      </c>
      <c r="AD108" s="212">
        <f t="shared" si="18"/>
        <v>3.5999999999999997E-2</v>
      </c>
      <c r="AE108" s="212">
        <f t="shared" si="18"/>
        <v>3.5999999999999997E-2</v>
      </c>
      <c r="AF108" s="212">
        <f t="shared" si="18"/>
        <v>3.5999999999999997E-2</v>
      </c>
    </row>
    <row r="109" spans="1:32" s="26" customFormat="1">
      <c r="A109" s="3" t="str">
        <f>'Debt_Qtr '!A109</f>
        <v>3.625% due March 2048</v>
      </c>
      <c r="B109" s="212"/>
      <c r="C109" s="212"/>
      <c r="D109" s="212"/>
      <c r="E109" s="212"/>
      <c r="F109" s="212"/>
      <c r="G109" s="212"/>
      <c r="H109" s="212"/>
      <c r="I109" s="212"/>
      <c r="J109" s="212"/>
      <c r="K109" s="212"/>
      <c r="L109" s="212"/>
      <c r="M109" s="212"/>
      <c r="N109" s="212"/>
      <c r="O109" s="212"/>
      <c r="P109" s="212"/>
      <c r="Q109" s="212"/>
      <c r="R109" s="212"/>
      <c r="S109" s="220">
        <f>'Debt_Qtr '!P109</f>
        <v>3.6249999999999998E-2</v>
      </c>
      <c r="T109" s="220">
        <f>'Debt_Qtr '!U109</f>
        <v>3.6249999999999998E-2</v>
      </c>
      <c r="U109" s="220">
        <f>'Debt_Qtr '!Z109</f>
        <v>3.6249999999999998E-2</v>
      </c>
      <c r="V109" s="220">
        <f>'Debt_Qtr '!AE109</f>
        <v>3.6249999999999998E-2</v>
      </c>
      <c r="W109" s="220">
        <f>'Debt_Qtr '!AJ109</f>
        <v>3.6249999999999998E-2</v>
      </c>
      <c r="X109" s="220">
        <f>'Debt_Qtr '!AO109</f>
        <v>3.6249999999999998E-2</v>
      </c>
      <c r="Y109" s="220">
        <f>'Debt_Qtr '!AT109</f>
        <v>3.6249999999999998E-2</v>
      </c>
      <c r="Z109" s="220">
        <f>'Debt_Qtr '!AY109</f>
        <v>3.6249999999999998E-2</v>
      </c>
      <c r="AA109" s="220">
        <f>'Debt_Qtr '!BD109</f>
        <v>3.6249999999999998E-2</v>
      </c>
      <c r="AB109" s="220">
        <f>'Debt_Qtr '!BI109</f>
        <v>3.6249999999999998E-2</v>
      </c>
      <c r="AC109" s="212">
        <f t="shared" si="18"/>
        <v>3.6249999999999998E-2</v>
      </c>
      <c r="AD109" s="212">
        <f t="shared" si="18"/>
        <v>3.6249999999999998E-2</v>
      </c>
      <c r="AE109" s="212">
        <f t="shared" si="18"/>
        <v>3.6249999999999998E-2</v>
      </c>
      <c r="AF109" s="212">
        <f t="shared" si="18"/>
        <v>3.6249999999999998E-2</v>
      </c>
    </row>
    <row r="110" spans="1:32" s="26" customFormat="1">
      <c r="A110" s="3" t="str">
        <f>'Debt_Qtr '!A110</f>
        <v>3.65% due March 2047</v>
      </c>
      <c r="B110" s="212"/>
      <c r="C110" s="212"/>
      <c r="D110" s="212"/>
      <c r="E110" s="212"/>
      <c r="F110" s="212"/>
      <c r="G110" s="212"/>
      <c r="H110" s="212"/>
      <c r="I110" s="212"/>
      <c r="J110" s="212"/>
      <c r="K110" s="212"/>
      <c r="L110" s="212"/>
      <c r="M110" s="212"/>
      <c r="N110" s="212"/>
      <c r="O110" s="212"/>
      <c r="P110" s="212"/>
      <c r="Q110" s="212"/>
      <c r="R110" s="212"/>
      <c r="S110" s="220">
        <f>'Debt_Qtr '!P110</f>
        <v>3.6499999999999998E-2</v>
      </c>
      <c r="T110" s="220">
        <f>'Debt_Qtr '!U110</f>
        <v>3.6499999999999998E-2</v>
      </c>
      <c r="U110" s="220">
        <f>'Debt_Qtr '!Z110</f>
        <v>3.6499999999999998E-2</v>
      </c>
      <c r="V110" s="220">
        <f>'Debt_Qtr '!AE110</f>
        <v>3.6499999999999998E-2</v>
      </c>
      <c r="W110" s="220">
        <f>'Debt_Qtr '!AJ110</f>
        <v>3.6499999999999998E-2</v>
      </c>
      <c r="X110" s="220">
        <f>'Debt_Qtr '!AO110</f>
        <v>3.6499999999999998E-2</v>
      </c>
      <c r="Y110" s="220">
        <f>'Debt_Qtr '!AT110</f>
        <v>3.6499999999999998E-2</v>
      </c>
      <c r="Z110" s="220">
        <f>'Debt_Qtr '!AY110</f>
        <v>3.6499999999999998E-2</v>
      </c>
      <c r="AA110" s="220">
        <f>'Debt_Qtr '!BD110</f>
        <v>3.6499999999999998E-2</v>
      </c>
      <c r="AB110" s="220">
        <f>'Debt_Qtr '!BI110</f>
        <v>3.6499999999999998E-2</v>
      </c>
      <c r="AC110" s="212">
        <f t="shared" si="18"/>
        <v>3.6499999999999998E-2</v>
      </c>
      <c r="AD110" s="212">
        <f t="shared" si="18"/>
        <v>3.6499999999999998E-2</v>
      </c>
      <c r="AE110" s="212">
        <f t="shared" si="18"/>
        <v>3.6499999999999998E-2</v>
      </c>
      <c r="AF110" s="212">
        <f t="shared" si="18"/>
        <v>3.6499999999999998E-2</v>
      </c>
    </row>
    <row r="111" spans="1:32" s="26" customFormat="1">
      <c r="A111" s="3" t="str">
        <f>'Debt_Qtr '!A111</f>
        <v>3.75% due Feb 2050</v>
      </c>
      <c r="B111" s="212"/>
      <c r="C111" s="212"/>
      <c r="D111" s="212"/>
      <c r="E111" s="212"/>
      <c r="F111" s="212"/>
      <c r="G111" s="212"/>
      <c r="H111" s="212"/>
      <c r="I111" s="212"/>
      <c r="J111" s="212"/>
      <c r="K111" s="212"/>
      <c r="L111" s="212"/>
      <c r="M111" s="212"/>
      <c r="N111" s="212"/>
      <c r="O111" s="212"/>
      <c r="P111" s="212"/>
      <c r="Q111" s="212"/>
      <c r="R111" s="212"/>
      <c r="S111" s="220">
        <f>'Debt_Qtr '!P111</f>
        <v>3.7499999999999999E-2</v>
      </c>
      <c r="T111" s="220">
        <f>'Debt_Qtr '!U111</f>
        <v>3.7499999999999999E-2</v>
      </c>
      <c r="U111" s="220">
        <f>'Debt_Qtr '!Z111</f>
        <v>3.7499999999999999E-2</v>
      </c>
      <c r="V111" s="220">
        <f>'Debt_Qtr '!AE111</f>
        <v>3.7499999999999999E-2</v>
      </c>
      <c r="W111" s="220">
        <f>'Debt_Qtr '!AJ111</f>
        <v>3.7499999999999999E-2</v>
      </c>
      <c r="X111" s="220">
        <f>'Debt_Qtr '!AO111</f>
        <v>3.7499999999999999E-2</v>
      </c>
      <c r="Y111" s="220">
        <f>'Debt_Qtr '!AT111</f>
        <v>3.7499999999999999E-2</v>
      </c>
      <c r="Z111" s="220">
        <f>'Debt_Qtr '!AY111</f>
        <v>3.7499999999999999E-2</v>
      </c>
      <c r="AA111" s="220">
        <f>'Debt_Qtr '!BD111</f>
        <v>3.7499999999999999E-2</v>
      </c>
      <c r="AB111" s="220">
        <f>'Debt_Qtr '!BI111</f>
        <v>3.7499999999999999E-2</v>
      </c>
      <c r="AC111" s="212">
        <f t="shared" si="18"/>
        <v>3.7499999999999999E-2</v>
      </c>
      <c r="AD111" s="212">
        <f t="shared" si="18"/>
        <v>3.7499999999999999E-2</v>
      </c>
      <c r="AE111" s="212">
        <f t="shared" si="18"/>
        <v>3.7499999999999999E-2</v>
      </c>
      <c r="AF111" s="212">
        <f t="shared" si="18"/>
        <v>3.7499999999999999E-2</v>
      </c>
    </row>
    <row r="112" spans="1:32" s="26" customFormat="1">
      <c r="A112" s="3" t="str">
        <f>'Debt_Qtr '!A112</f>
        <v>3.825% due March 2059</v>
      </c>
      <c r="B112" s="212"/>
      <c r="C112" s="212"/>
      <c r="D112" s="212"/>
      <c r="E112" s="212"/>
      <c r="F112" s="212"/>
      <c r="G112" s="212"/>
      <c r="H112" s="212"/>
      <c r="I112" s="212"/>
      <c r="J112" s="212"/>
      <c r="K112" s="212"/>
      <c r="L112" s="212"/>
      <c r="M112" s="212"/>
      <c r="N112" s="212"/>
      <c r="O112" s="212"/>
      <c r="P112" s="212"/>
      <c r="Q112" s="212"/>
      <c r="R112" s="212"/>
      <c r="S112" s="220">
        <f>'Debt_Qtr '!P112</f>
        <v>3.8249999999999999E-2</v>
      </c>
      <c r="T112" s="220">
        <f>'Debt_Qtr '!U112</f>
        <v>3.8249999999999999E-2</v>
      </c>
      <c r="U112" s="220">
        <f>'Debt_Qtr '!Z112</f>
        <v>3.8249999999999999E-2</v>
      </c>
      <c r="V112" s="220">
        <f>'Debt_Qtr '!AE112</f>
        <v>3.8249999999999999E-2</v>
      </c>
      <c r="W112" s="220">
        <f>'Debt_Qtr '!AJ112</f>
        <v>3.8249999999999999E-2</v>
      </c>
      <c r="X112" s="220">
        <f>'Debt_Qtr '!AO112</f>
        <v>3.8249999999999999E-2</v>
      </c>
      <c r="Y112" s="220">
        <f>'Debt_Qtr '!AT112</f>
        <v>3.8249999999999999E-2</v>
      </c>
      <c r="Z112" s="220">
        <f>'Debt_Qtr '!AY112</f>
        <v>3.8249999999999999E-2</v>
      </c>
      <c r="AA112" s="220">
        <f>'Debt_Qtr '!BD112</f>
        <v>3.8249999999999999E-2</v>
      </c>
      <c r="AB112" s="220">
        <f>'Debt_Qtr '!BI112</f>
        <v>3.8249999999999999E-2</v>
      </c>
      <c r="AC112" s="212">
        <f t="shared" si="18"/>
        <v>3.8249999999999999E-2</v>
      </c>
      <c r="AD112" s="212">
        <f t="shared" si="18"/>
        <v>3.8249999999999999E-2</v>
      </c>
      <c r="AE112" s="212">
        <f t="shared" si="18"/>
        <v>3.8249999999999999E-2</v>
      </c>
      <c r="AF112" s="212">
        <f t="shared" si="18"/>
        <v>3.8249999999999999E-2</v>
      </c>
    </row>
    <row r="113" spans="1:32" s="26" customFormat="1">
      <c r="A113" s="3" t="str">
        <f>'Debt_Qtr '!A113</f>
        <v>3.85% due Nov 2048</v>
      </c>
      <c r="B113" s="212"/>
      <c r="C113" s="212"/>
      <c r="D113" s="212"/>
      <c r="E113" s="212"/>
      <c r="F113" s="212"/>
      <c r="G113" s="212"/>
      <c r="H113" s="212"/>
      <c r="I113" s="212"/>
      <c r="J113" s="212"/>
      <c r="K113" s="212"/>
      <c r="L113" s="212"/>
      <c r="M113" s="212"/>
      <c r="N113" s="212"/>
      <c r="O113" s="212"/>
      <c r="P113" s="212"/>
      <c r="Q113" s="212"/>
      <c r="R113" s="212"/>
      <c r="S113" s="220">
        <f>'Debt_Qtr '!P113</f>
        <v>3.85E-2</v>
      </c>
      <c r="T113" s="220">
        <f>'Debt_Qtr '!U113</f>
        <v>3.85E-2</v>
      </c>
      <c r="U113" s="220">
        <f>'Debt_Qtr '!Z113</f>
        <v>3.85E-2</v>
      </c>
      <c r="V113" s="220">
        <f>'Debt_Qtr '!AE113</f>
        <v>3.85E-2</v>
      </c>
      <c r="W113" s="220">
        <f>'Debt_Qtr '!AJ113</f>
        <v>3.85E-2</v>
      </c>
      <c r="X113" s="220">
        <f>'Debt_Qtr '!AO113</f>
        <v>3.85E-2</v>
      </c>
      <c r="Y113" s="220">
        <f>'Debt_Qtr '!AT113</f>
        <v>3.85E-2</v>
      </c>
      <c r="Z113" s="220">
        <f>'Debt_Qtr '!AY113</f>
        <v>3.85E-2</v>
      </c>
      <c r="AA113" s="220">
        <f>'Debt_Qtr '!BD113</f>
        <v>3.85E-2</v>
      </c>
      <c r="AB113" s="220">
        <f>'Debt_Qtr '!BI113</f>
        <v>3.85E-2</v>
      </c>
      <c r="AC113" s="212">
        <f t="shared" si="18"/>
        <v>3.85E-2</v>
      </c>
      <c r="AD113" s="212">
        <f t="shared" si="18"/>
        <v>3.85E-2</v>
      </c>
      <c r="AE113" s="212">
        <f t="shared" si="18"/>
        <v>3.85E-2</v>
      </c>
      <c r="AF113" s="212">
        <f t="shared" si="18"/>
        <v>3.85E-2</v>
      </c>
    </row>
    <row r="114" spans="1:32" s="26" customFormat="1">
      <c r="A114" s="3" t="str">
        <f>'Debt_Qtr '!A114</f>
        <v>3.9% due May 2049</v>
      </c>
      <c r="B114" s="212"/>
      <c r="C114" s="212"/>
      <c r="D114" s="212"/>
      <c r="E114" s="212"/>
      <c r="F114" s="212"/>
      <c r="G114" s="212"/>
      <c r="H114" s="212"/>
      <c r="I114" s="212"/>
      <c r="J114" s="212"/>
      <c r="K114" s="212"/>
      <c r="L114" s="212"/>
      <c r="M114" s="212"/>
      <c r="N114" s="212"/>
      <c r="O114" s="212"/>
      <c r="P114" s="212"/>
      <c r="Q114" s="212"/>
      <c r="R114" s="212"/>
      <c r="S114" s="220">
        <f>'Debt_Qtr '!P114</f>
        <v>3.9E-2</v>
      </c>
      <c r="T114" s="220">
        <f>'Debt_Qtr '!U114</f>
        <v>3.9E-2</v>
      </c>
      <c r="U114" s="220">
        <f>'Debt_Qtr '!Z114</f>
        <v>3.9E-2</v>
      </c>
      <c r="V114" s="220">
        <f>'Debt_Qtr '!AE114</f>
        <v>3.9E-2</v>
      </c>
      <c r="W114" s="220">
        <f>'Debt_Qtr '!AJ114</f>
        <v>3.9E-2</v>
      </c>
      <c r="X114" s="220">
        <f>'Debt_Qtr '!AO114</f>
        <v>3.9E-2</v>
      </c>
      <c r="Y114" s="220">
        <f>'Debt_Qtr '!AT114</f>
        <v>3.9E-2</v>
      </c>
      <c r="Z114" s="220">
        <f>'Debt_Qtr '!AY114</f>
        <v>3.9E-2</v>
      </c>
      <c r="AA114" s="220">
        <f>'Debt_Qtr '!BD114</f>
        <v>3.9E-2</v>
      </c>
      <c r="AB114" s="220">
        <f>'Debt_Qtr '!BI114</f>
        <v>3.9E-2</v>
      </c>
      <c r="AC114" s="212">
        <f t="shared" si="18"/>
        <v>3.9E-2</v>
      </c>
      <c r="AD114" s="212">
        <f t="shared" si="18"/>
        <v>3.9E-2</v>
      </c>
      <c r="AE114" s="212">
        <f t="shared" si="18"/>
        <v>3.9E-2</v>
      </c>
      <c r="AF114" s="212">
        <f t="shared" si="18"/>
        <v>3.9E-2</v>
      </c>
    </row>
    <row r="115" spans="1:32" s="26" customFormat="1">
      <c r="A115" s="3" t="str">
        <f>'Debt_Qtr '!A115</f>
        <v>3.95% due Aug 2059</v>
      </c>
      <c r="B115" s="212"/>
      <c r="C115" s="212"/>
      <c r="D115" s="212"/>
      <c r="E115" s="212"/>
      <c r="F115" s="212"/>
      <c r="G115" s="212"/>
      <c r="H115" s="212"/>
      <c r="I115" s="212"/>
      <c r="J115" s="212"/>
      <c r="K115" s="212"/>
      <c r="L115" s="212"/>
      <c r="M115" s="212"/>
      <c r="N115" s="212"/>
      <c r="O115" s="212"/>
      <c r="P115" s="212"/>
      <c r="Q115" s="212"/>
      <c r="R115" s="212"/>
      <c r="S115" s="220">
        <f>'Debt_Qtr '!P115</f>
        <v>3.95E-2</v>
      </c>
      <c r="T115" s="220">
        <f>'Debt_Qtr '!U115</f>
        <v>3.95E-2</v>
      </c>
      <c r="U115" s="220">
        <f>'Debt_Qtr '!Z115</f>
        <v>3.95E-2</v>
      </c>
      <c r="V115" s="220">
        <f>'Debt_Qtr '!AE115</f>
        <v>3.95E-2</v>
      </c>
      <c r="W115" s="220">
        <f>'Debt_Qtr '!AJ115</f>
        <v>3.95E-2</v>
      </c>
      <c r="X115" s="220">
        <f>'Debt_Qtr '!AO115</f>
        <v>3.95E-2</v>
      </c>
      <c r="Y115" s="220">
        <f>'Debt_Qtr '!AT115</f>
        <v>3.95E-2</v>
      </c>
      <c r="Z115" s="220">
        <f>'Debt_Qtr '!AY115</f>
        <v>3.95E-2</v>
      </c>
      <c r="AA115" s="220">
        <f>'Debt_Qtr '!BD115</f>
        <v>3.95E-2</v>
      </c>
      <c r="AB115" s="220">
        <f>'Debt_Qtr '!BI115</f>
        <v>3.95E-2</v>
      </c>
      <c r="AC115" s="212">
        <f t="shared" si="18"/>
        <v>3.95E-2</v>
      </c>
      <c r="AD115" s="212">
        <f t="shared" si="18"/>
        <v>3.95E-2</v>
      </c>
      <c r="AE115" s="212">
        <f t="shared" si="18"/>
        <v>3.95E-2</v>
      </c>
      <c r="AF115" s="212">
        <f t="shared" si="18"/>
        <v>3.95E-2</v>
      </c>
    </row>
    <row r="116" spans="1:32" s="26" customFormat="1">
      <c r="A116" s="3" t="str">
        <f>'Debt_Qtr '!A116</f>
        <v>4.875% due Feb 2020</v>
      </c>
      <c r="B116" s="212"/>
      <c r="C116" s="212"/>
      <c r="D116" s="212"/>
      <c r="E116" s="212"/>
      <c r="F116" s="212"/>
      <c r="G116" s="212"/>
      <c r="H116" s="212"/>
      <c r="I116" s="212"/>
      <c r="J116" s="212"/>
      <c r="K116" s="212"/>
      <c r="L116" s="212"/>
      <c r="M116" s="212"/>
      <c r="N116" s="212"/>
      <c r="O116" s="212"/>
      <c r="P116" s="212"/>
      <c r="Q116" s="212"/>
      <c r="R116" s="212"/>
      <c r="S116" s="220">
        <f>'Debt_Qtr '!P116</f>
        <v>4.8750000000000002E-2</v>
      </c>
      <c r="T116" s="220">
        <f>'Debt_Qtr '!U116</f>
        <v>4.8750000000000002E-2</v>
      </c>
      <c r="U116" s="220">
        <f>'Debt_Qtr '!Z116</f>
        <v>4.8750000000000002E-2</v>
      </c>
      <c r="V116" s="220">
        <f>'Debt_Qtr '!AE116</f>
        <v>4.8750000000000002E-2</v>
      </c>
      <c r="W116" s="220">
        <f>'Debt_Qtr '!AJ116</f>
        <v>4.8750000000000002E-2</v>
      </c>
      <c r="X116" s="220">
        <f>'Debt_Qtr '!AO116</f>
        <v>4.8750000000000002E-2</v>
      </c>
      <c r="Y116" s="220">
        <f>'Debt_Qtr '!AT116</f>
        <v>4.8750000000000002E-2</v>
      </c>
      <c r="Z116" s="220">
        <f>'Debt_Qtr '!AY116</f>
        <v>4.8750000000000002E-2</v>
      </c>
      <c r="AA116" s="220">
        <f>'Debt_Qtr '!BD116</f>
        <v>4.8750000000000002E-2</v>
      </c>
      <c r="AB116" s="220">
        <f>'Debt_Qtr '!BI116</f>
        <v>4.8750000000000002E-2</v>
      </c>
      <c r="AC116" s="212">
        <f t="shared" si="18"/>
        <v>4.8750000000000002E-2</v>
      </c>
      <c r="AD116" s="212">
        <f t="shared" si="18"/>
        <v>4.8750000000000002E-2</v>
      </c>
      <c r="AE116" s="212">
        <f t="shared" si="18"/>
        <v>4.8750000000000002E-2</v>
      </c>
      <c r="AF116" s="212">
        <f t="shared" si="18"/>
        <v>4.8750000000000002E-2</v>
      </c>
    </row>
    <row r="117" spans="1:32" s="26" customFormat="1">
      <c r="A117" s="3" t="str">
        <f>'Debt_Qtr '!A117</f>
        <v>5.875% due Feb 2040</v>
      </c>
      <c r="B117" s="212"/>
      <c r="C117" s="212"/>
      <c r="D117" s="212"/>
      <c r="E117" s="212"/>
      <c r="F117" s="212"/>
      <c r="G117" s="212"/>
      <c r="H117" s="212"/>
      <c r="I117" s="212"/>
      <c r="J117" s="212"/>
      <c r="K117" s="212"/>
      <c r="L117" s="212"/>
      <c r="M117" s="212"/>
      <c r="N117" s="212"/>
      <c r="O117" s="212"/>
      <c r="P117" s="212"/>
      <c r="Q117" s="212"/>
      <c r="R117" s="212"/>
      <c r="S117" s="220">
        <f>'Debt_Qtr '!P117</f>
        <v>5.8749999999999997E-2</v>
      </c>
      <c r="T117" s="220">
        <f>'Debt_Qtr '!U117</f>
        <v>5.8749999999999997E-2</v>
      </c>
      <c r="U117" s="220">
        <f>'Debt_Qtr '!Z117</f>
        <v>5.8749999999999997E-2</v>
      </c>
      <c r="V117" s="220">
        <f>'Debt_Qtr '!AE117</f>
        <v>5.8749999999999997E-2</v>
      </c>
      <c r="W117" s="220">
        <f>'Debt_Qtr '!AJ117</f>
        <v>5.8749999999999997E-2</v>
      </c>
      <c r="X117" s="220">
        <f>'Debt_Qtr '!AO117</f>
        <v>5.8749999999999997E-2</v>
      </c>
      <c r="Y117" s="220">
        <f>'Debt_Qtr '!AT117</f>
        <v>5.8749999999999997E-2</v>
      </c>
      <c r="Z117" s="220">
        <f>'Debt_Qtr '!AY117</f>
        <v>5.8749999999999997E-2</v>
      </c>
      <c r="AA117" s="220">
        <f>'Debt_Qtr '!BD117</f>
        <v>5.8749999999999997E-2</v>
      </c>
      <c r="AB117" s="220">
        <f>'Debt_Qtr '!BI117</f>
        <v>5.8749999999999997E-2</v>
      </c>
      <c r="AC117" s="212">
        <f t="shared" si="18"/>
        <v>5.8749999999999997E-2</v>
      </c>
      <c r="AD117" s="212">
        <f t="shared" si="18"/>
        <v>5.8749999999999997E-2</v>
      </c>
      <c r="AE117" s="212">
        <f t="shared" si="18"/>
        <v>5.8749999999999997E-2</v>
      </c>
      <c r="AF117" s="212">
        <f t="shared" si="18"/>
        <v>5.8749999999999997E-2</v>
      </c>
    </row>
    <row r="118" spans="1:32" s="26" customFormat="1">
      <c r="A118" s="3" t="str">
        <f>'Debt_Qtr '!A118</f>
        <v>6% due March 2019</v>
      </c>
      <c r="B118" s="212"/>
      <c r="C118" s="212"/>
      <c r="D118" s="212"/>
      <c r="E118" s="212"/>
      <c r="F118" s="212"/>
      <c r="G118" s="212"/>
      <c r="H118" s="212"/>
      <c r="I118" s="212"/>
      <c r="J118" s="212"/>
      <c r="K118" s="212"/>
      <c r="L118" s="212"/>
      <c r="M118" s="212"/>
      <c r="N118" s="212"/>
      <c r="O118" s="212"/>
      <c r="P118" s="212"/>
      <c r="Q118" s="212"/>
      <c r="R118" s="212"/>
      <c r="S118" s="220">
        <f>'Debt_Qtr '!P118</f>
        <v>0.06</v>
      </c>
      <c r="T118" s="220">
        <f>'Debt_Qtr '!U118</f>
        <v>0.06</v>
      </c>
      <c r="U118" s="220">
        <f>'Debt_Qtr '!Z118</f>
        <v>0.06</v>
      </c>
      <c r="V118" s="220">
        <f>'Debt_Qtr '!AE118</f>
        <v>0.06</v>
      </c>
      <c r="W118" s="220">
        <f>'Debt_Qtr '!AJ118</f>
        <v>0.06</v>
      </c>
      <c r="X118" s="220">
        <f>'Debt_Qtr '!AO118</f>
        <v>0.06</v>
      </c>
      <c r="Y118" s="220">
        <f>'Debt_Qtr '!AT118</f>
        <v>0.06</v>
      </c>
      <c r="Z118" s="220">
        <f>'Debt_Qtr '!AY118</f>
        <v>0.06</v>
      </c>
      <c r="AA118" s="220">
        <f>'Debt_Qtr '!BD118</f>
        <v>0.06</v>
      </c>
      <c r="AB118" s="220">
        <f>'Debt_Qtr '!BI118</f>
        <v>0.06</v>
      </c>
      <c r="AC118" s="212">
        <f t="shared" si="18"/>
        <v>0.06</v>
      </c>
      <c r="AD118" s="212">
        <f t="shared" si="18"/>
        <v>0.06</v>
      </c>
      <c r="AE118" s="212">
        <f t="shared" si="18"/>
        <v>0.06</v>
      </c>
      <c r="AF118" s="212">
        <f t="shared" si="18"/>
        <v>0.06</v>
      </c>
    </row>
    <row r="119" spans="1:32" s="26" customFormat="1">
      <c r="A119" s="3" t="str">
        <f>'Debt_Qtr '!A119</f>
        <v>6.125% due Feb 2033</v>
      </c>
      <c r="B119" s="212"/>
      <c r="C119" s="212"/>
      <c r="D119" s="212"/>
      <c r="E119" s="212"/>
      <c r="F119" s="212"/>
      <c r="G119" s="212"/>
      <c r="H119" s="212"/>
      <c r="I119" s="212"/>
      <c r="J119" s="212"/>
      <c r="K119" s="212"/>
      <c r="L119" s="212"/>
      <c r="M119" s="212"/>
      <c r="N119" s="212"/>
      <c r="O119" s="212"/>
      <c r="P119" s="212"/>
      <c r="Q119" s="212"/>
      <c r="R119" s="212"/>
      <c r="S119" s="220">
        <f>'Debt_Qtr '!P119</f>
        <v>6.1249999999999999E-2</v>
      </c>
      <c r="T119" s="220">
        <f>'Debt_Qtr '!U119</f>
        <v>6.1249999999999999E-2</v>
      </c>
      <c r="U119" s="220">
        <f>'Debt_Qtr '!Z119</f>
        <v>6.1249999999999999E-2</v>
      </c>
      <c r="V119" s="220">
        <f>'Debt_Qtr '!AE119</f>
        <v>6.1249999999999999E-2</v>
      </c>
      <c r="W119" s="220">
        <f>'Debt_Qtr '!AJ119</f>
        <v>6.1249999999999999E-2</v>
      </c>
      <c r="X119" s="220">
        <f>'Debt_Qtr '!AO119</f>
        <v>6.1249999999999999E-2</v>
      </c>
      <c r="Y119" s="220">
        <f>'Debt_Qtr '!AT119</f>
        <v>6.1249999999999999E-2</v>
      </c>
      <c r="Z119" s="220">
        <f>'Debt_Qtr '!AY119</f>
        <v>6.1249999999999999E-2</v>
      </c>
      <c r="AA119" s="220">
        <f>'Debt_Qtr '!BD119</f>
        <v>6.1249999999999999E-2</v>
      </c>
      <c r="AB119" s="220">
        <f>'Debt_Qtr '!BI119</f>
        <v>6.1249999999999999E-2</v>
      </c>
      <c r="AC119" s="212">
        <f t="shared" si="18"/>
        <v>6.1249999999999999E-2</v>
      </c>
      <c r="AD119" s="212">
        <f t="shared" si="18"/>
        <v>6.1249999999999999E-2</v>
      </c>
      <c r="AE119" s="212">
        <f t="shared" si="18"/>
        <v>6.1249999999999999E-2</v>
      </c>
      <c r="AF119" s="212">
        <f t="shared" si="18"/>
        <v>6.1249999999999999E-2</v>
      </c>
    </row>
    <row r="120" spans="1:32" s="26" customFormat="1">
      <c r="A120" s="3" t="str">
        <f>'Debt_Qtr '!A120</f>
        <v>6.625% due Feb 2038</v>
      </c>
      <c r="B120" s="212"/>
      <c r="C120" s="212"/>
      <c r="D120" s="212"/>
      <c r="E120" s="212"/>
      <c r="F120" s="212"/>
      <c r="G120" s="212"/>
      <c r="H120" s="212"/>
      <c r="I120" s="212"/>
      <c r="J120" s="212"/>
      <c r="K120" s="212"/>
      <c r="L120" s="212"/>
      <c r="M120" s="212"/>
      <c r="N120" s="212"/>
      <c r="O120" s="212"/>
      <c r="P120" s="212"/>
      <c r="Q120" s="212"/>
      <c r="R120" s="212"/>
      <c r="S120" s="220">
        <f>'Debt_Qtr '!P120</f>
        <v>6.6250000000000003E-2</v>
      </c>
      <c r="T120" s="220">
        <f>'Debt_Qtr '!U120</f>
        <v>6.6250000000000003E-2</v>
      </c>
      <c r="U120" s="220">
        <f>'Debt_Qtr '!Z120</f>
        <v>6.6250000000000003E-2</v>
      </c>
      <c r="V120" s="220">
        <f>'Debt_Qtr '!AE120</f>
        <v>6.6250000000000003E-2</v>
      </c>
      <c r="W120" s="220">
        <f>'Debt_Qtr '!AJ120</f>
        <v>6.6250000000000003E-2</v>
      </c>
      <c r="X120" s="220">
        <f>'Debt_Qtr '!AO120</f>
        <v>6.6250000000000003E-2</v>
      </c>
      <c r="Y120" s="220">
        <f>'Debt_Qtr '!AT120</f>
        <v>6.6250000000000003E-2</v>
      </c>
      <c r="Z120" s="220">
        <f>'Debt_Qtr '!AY120</f>
        <v>6.6250000000000003E-2</v>
      </c>
      <c r="AA120" s="220">
        <f>'Debt_Qtr '!BD120</f>
        <v>6.6250000000000003E-2</v>
      </c>
      <c r="AB120" s="220">
        <f>'Debt_Qtr '!BI120</f>
        <v>6.6250000000000003E-2</v>
      </c>
      <c r="AC120" s="212">
        <f t="shared" si="18"/>
        <v>6.6250000000000003E-2</v>
      </c>
      <c r="AD120" s="212">
        <f t="shared" si="18"/>
        <v>6.6250000000000003E-2</v>
      </c>
      <c r="AE120" s="212">
        <f t="shared" si="18"/>
        <v>6.6250000000000003E-2</v>
      </c>
      <c r="AF120" s="212">
        <f t="shared" si="18"/>
        <v>6.6250000000000003E-2</v>
      </c>
    </row>
    <row r="121" spans="1:32" s="26" customFormat="1">
      <c r="A121" s="3" t="str">
        <f>'Debt_Qtr '!A121</f>
        <v>6.875% due March 2039</v>
      </c>
      <c r="B121" s="212"/>
      <c r="C121" s="212"/>
      <c r="D121" s="212"/>
      <c r="E121" s="212"/>
      <c r="F121" s="212"/>
      <c r="G121" s="212"/>
      <c r="H121" s="212"/>
      <c r="I121" s="212"/>
      <c r="J121" s="212"/>
      <c r="K121" s="212"/>
      <c r="L121" s="212"/>
      <c r="M121" s="212"/>
      <c r="N121" s="212"/>
      <c r="O121" s="212"/>
      <c r="P121" s="212"/>
      <c r="Q121" s="212"/>
      <c r="R121" s="212"/>
      <c r="S121" s="220">
        <f>'Debt_Qtr '!P121</f>
        <v>6.8750000000000006E-2</v>
      </c>
      <c r="T121" s="220">
        <f>'Debt_Qtr '!U121</f>
        <v>6.8750000000000006E-2</v>
      </c>
      <c r="U121" s="220">
        <f>'Debt_Qtr '!Z121</f>
        <v>6.8750000000000006E-2</v>
      </c>
      <c r="V121" s="220">
        <f>'Debt_Qtr '!AE121</f>
        <v>6.8750000000000006E-2</v>
      </c>
      <c r="W121" s="220">
        <f>'Debt_Qtr '!AJ121</f>
        <v>6.8750000000000006E-2</v>
      </c>
      <c r="X121" s="220">
        <f>'Debt_Qtr '!AO121</f>
        <v>6.8750000000000006E-2</v>
      </c>
      <c r="Y121" s="220">
        <f>'Debt_Qtr '!AT121</f>
        <v>6.8750000000000006E-2</v>
      </c>
      <c r="Z121" s="220">
        <f>'Debt_Qtr '!AY121</f>
        <v>6.8750000000000006E-2</v>
      </c>
      <c r="AA121" s="220">
        <f>'Debt_Qtr '!BD121</f>
        <v>6.8750000000000006E-2</v>
      </c>
      <c r="AB121" s="220">
        <f>'Debt_Qtr '!BI121</f>
        <v>6.8750000000000006E-2</v>
      </c>
      <c r="AC121" s="212">
        <f t="shared" si="18"/>
        <v>6.8750000000000006E-2</v>
      </c>
      <c r="AD121" s="212">
        <f t="shared" si="18"/>
        <v>6.8750000000000006E-2</v>
      </c>
      <c r="AE121" s="212">
        <f t="shared" si="18"/>
        <v>6.8750000000000006E-2</v>
      </c>
      <c r="AF121" s="212">
        <f t="shared" si="18"/>
        <v>6.8750000000000006E-2</v>
      </c>
    </row>
    <row r="122" spans="1:32" s="26" customFormat="1">
      <c r="A122" s="3" t="str">
        <f>'Debt_Qtr '!A122</f>
        <v>6.875% due Oct 2043</v>
      </c>
      <c r="B122" s="212"/>
      <c r="C122" s="212"/>
      <c r="D122" s="212"/>
      <c r="E122" s="212"/>
      <c r="F122" s="212"/>
      <c r="G122" s="212"/>
      <c r="H122" s="212"/>
      <c r="I122" s="212"/>
      <c r="J122" s="212"/>
      <c r="K122" s="212"/>
      <c r="L122" s="212"/>
      <c r="M122" s="212"/>
      <c r="N122" s="212"/>
      <c r="O122" s="212"/>
      <c r="P122" s="212"/>
      <c r="Q122" s="212"/>
      <c r="R122" s="212"/>
      <c r="S122" s="220">
        <f>'Debt_Qtr '!P122</f>
        <v>6.8750000000000006E-2</v>
      </c>
      <c r="T122" s="220">
        <f>'Debt_Qtr '!U122</f>
        <v>6.8750000000000006E-2</v>
      </c>
      <c r="U122" s="220">
        <f>'Debt_Qtr '!Z122</f>
        <v>6.8750000000000006E-2</v>
      </c>
      <c r="V122" s="220">
        <f>'Debt_Qtr '!AE122</f>
        <v>6.8750000000000006E-2</v>
      </c>
      <c r="W122" s="220">
        <f>'Debt_Qtr '!AJ122</f>
        <v>6.8750000000000006E-2</v>
      </c>
      <c r="X122" s="220">
        <f>'Debt_Qtr '!AO122</f>
        <v>6.8750000000000006E-2</v>
      </c>
      <c r="Y122" s="220">
        <f>'Debt_Qtr '!AT122</f>
        <v>6.8750000000000006E-2</v>
      </c>
      <c r="Z122" s="220">
        <f>'Debt_Qtr '!AY122</f>
        <v>6.8750000000000006E-2</v>
      </c>
      <c r="AA122" s="220">
        <f>'Debt_Qtr '!BD122</f>
        <v>6.8750000000000006E-2</v>
      </c>
      <c r="AB122" s="220">
        <f>'Debt_Qtr '!BI122</f>
        <v>6.8750000000000006E-2</v>
      </c>
      <c r="AC122" s="212">
        <f t="shared" si="18"/>
        <v>6.8750000000000006E-2</v>
      </c>
      <c r="AD122" s="212">
        <f t="shared" si="18"/>
        <v>6.8750000000000006E-2</v>
      </c>
      <c r="AE122" s="212">
        <f t="shared" si="18"/>
        <v>6.8750000000000006E-2</v>
      </c>
      <c r="AF122" s="212">
        <f t="shared" si="18"/>
        <v>6.8750000000000006E-2</v>
      </c>
    </row>
    <row r="123" spans="1:32" s="26" customFormat="1">
      <c r="A123" s="3" t="str">
        <f>'Debt_Qtr '!A123</f>
        <v>7.25% due June 2025</v>
      </c>
      <c r="B123" s="212"/>
      <c r="C123" s="212"/>
      <c r="D123" s="212"/>
      <c r="E123" s="212"/>
      <c r="F123" s="212"/>
      <c r="G123" s="212"/>
      <c r="H123" s="212"/>
      <c r="I123" s="212"/>
      <c r="J123" s="212"/>
      <c r="K123" s="212"/>
      <c r="L123" s="212"/>
      <c r="M123" s="212"/>
      <c r="N123" s="212"/>
      <c r="O123" s="212"/>
      <c r="P123" s="212"/>
      <c r="Q123" s="212"/>
      <c r="R123" s="212"/>
      <c r="S123" s="220">
        <f>'Debt_Qtr '!P123</f>
        <v>7.2499999999999995E-2</v>
      </c>
      <c r="T123" s="220">
        <f>'Debt_Qtr '!U123</f>
        <v>7.2499999999999995E-2</v>
      </c>
      <c r="U123" s="220">
        <f>'Debt_Qtr '!Z123</f>
        <v>7.2499999999999995E-2</v>
      </c>
      <c r="V123" s="220">
        <f>'Debt_Qtr '!AE123</f>
        <v>7.2499999999999995E-2</v>
      </c>
      <c r="W123" s="220">
        <f>'Debt_Qtr '!AJ123</f>
        <v>7.2499999999999995E-2</v>
      </c>
      <c r="X123" s="220">
        <f>'Debt_Qtr '!AO123</f>
        <v>7.2499999999999995E-2</v>
      </c>
      <c r="Y123" s="220">
        <f>'Debt_Qtr '!AT123</f>
        <v>7.2499999999999995E-2</v>
      </c>
      <c r="Z123" s="220">
        <f>'Debt_Qtr '!AY123</f>
        <v>7.2499999999999995E-2</v>
      </c>
      <c r="AA123" s="220">
        <f>'Debt_Qtr '!BD123</f>
        <v>7.2499999999999995E-2</v>
      </c>
      <c r="AB123" s="220">
        <f>'Debt_Qtr '!BI123</f>
        <v>7.2499999999999995E-2</v>
      </c>
      <c r="AC123" s="212">
        <f t="shared" si="18"/>
        <v>7.2499999999999995E-2</v>
      </c>
      <c r="AD123" s="212">
        <f t="shared" si="18"/>
        <v>7.2499999999999995E-2</v>
      </c>
      <c r="AE123" s="212">
        <f t="shared" si="18"/>
        <v>7.2499999999999995E-2</v>
      </c>
      <c r="AF123" s="212">
        <f t="shared" si="18"/>
        <v>7.2499999999999995E-2</v>
      </c>
    </row>
    <row r="124" spans="1:32" s="26" customFormat="1">
      <c r="A124" s="3" t="str">
        <f>'Debt_Qtr '!A124</f>
        <v>7.5% due Aug 2042</v>
      </c>
      <c r="B124" s="212"/>
      <c r="C124" s="212"/>
      <c r="D124" s="212"/>
      <c r="E124" s="212"/>
      <c r="F124" s="212"/>
      <c r="G124" s="212"/>
      <c r="H124" s="212"/>
      <c r="I124" s="212"/>
      <c r="J124" s="212"/>
      <c r="K124" s="212"/>
      <c r="L124" s="212"/>
      <c r="M124" s="212"/>
      <c r="N124" s="212"/>
      <c r="O124" s="212"/>
      <c r="P124" s="212"/>
      <c r="Q124" s="212"/>
      <c r="R124" s="212"/>
      <c r="S124" s="220">
        <f>'Debt_Qtr '!P124</f>
        <v>7.4999999999999997E-2</v>
      </c>
      <c r="T124" s="220">
        <f>'Debt_Qtr '!U124</f>
        <v>7.4999999999999997E-2</v>
      </c>
      <c r="U124" s="220">
        <f>'Debt_Qtr '!Z124</f>
        <v>7.4999999999999997E-2</v>
      </c>
      <c r="V124" s="220">
        <f>'Debt_Qtr '!AE124</f>
        <v>7.4999999999999997E-2</v>
      </c>
      <c r="W124" s="220">
        <f>'Debt_Qtr '!AJ124</f>
        <v>7.4999999999999997E-2</v>
      </c>
      <c r="X124" s="220">
        <f>'Debt_Qtr '!AO124</f>
        <v>7.4999999999999997E-2</v>
      </c>
      <c r="Y124" s="220">
        <f>'Debt_Qtr '!AT124</f>
        <v>7.4999999999999997E-2</v>
      </c>
      <c r="Z124" s="220">
        <f>'Debt_Qtr '!AY124</f>
        <v>7.4999999999999997E-2</v>
      </c>
      <c r="AA124" s="220">
        <f>'Debt_Qtr '!BD124</f>
        <v>7.4999999999999997E-2</v>
      </c>
      <c r="AB124" s="220">
        <f>'Debt_Qtr '!BI124</f>
        <v>7.4999999999999997E-2</v>
      </c>
      <c r="AC124" s="212">
        <f t="shared" si="18"/>
        <v>7.4999999999999997E-2</v>
      </c>
      <c r="AD124" s="212">
        <f t="shared" si="18"/>
        <v>7.4999999999999997E-2</v>
      </c>
      <c r="AE124" s="212">
        <f t="shared" si="18"/>
        <v>7.4999999999999997E-2</v>
      </c>
      <c r="AF124" s="212">
        <f t="shared" si="18"/>
        <v>7.4999999999999997E-2</v>
      </c>
    </row>
    <row r="125" spans="1:32" s="26" customFormat="1">
      <c r="A125" s="3" t="str">
        <f>'Debt_Qtr '!A125</f>
        <v>7.875% due April 2043</v>
      </c>
      <c r="B125" s="212"/>
      <c r="C125" s="212"/>
      <c r="D125" s="212"/>
      <c r="E125" s="212"/>
      <c r="F125" s="212"/>
      <c r="G125" s="212"/>
      <c r="H125" s="212"/>
      <c r="I125" s="212"/>
      <c r="J125" s="212"/>
      <c r="K125" s="212"/>
      <c r="L125" s="212"/>
      <c r="M125" s="212"/>
      <c r="N125" s="212"/>
      <c r="O125" s="212"/>
      <c r="P125" s="212"/>
      <c r="Q125" s="212"/>
      <c r="R125" s="212"/>
      <c r="S125" s="220">
        <f>'Debt_Qtr '!P125</f>
        <v>7.8750000000000001E-2</v>
      </c>
      <c r="T125" s="220">
        <f>'Debt_Qtr '!U125</f>
        <v>7.8750000000000001E-2</v>
      </c>
      <c r="U125" s="220">
        <f>'Debt_Qtr '!Z125</f>
        <v>7.8750000000000001E-2</v>
      </c>
      <c r="V125" s="220">
        <f>'Debt_Qtr '!AE125</f>
        <v>7.8750000000000001E-2</v>
      </c>
      <c r="W125" s="220">
        <f>'Debt_Qtr '!AJ125</f>
        <v>7.8750000000000001E-2</v>
      </c>
      <c r="X125" s="220">
        <f>'Debt_Qtr '!AO125</f>
        <v>7.8750000000000001E-2</v>
      </c>
      <c r="Y125" s="220">
        <f>'Debt_Qtr '!AT125</f>
        <v>7.8750000000000001E-2</v>
      </c>
      <c r="Z125" s="220">
        <f>'Debt_Qtr '!AY125</f>
        <v>7.8750000000000001E-2</v>
      </c>
      <c r="AA125" s="220">
        <f>'Debt_Qtr '!BD125</f>
        <v>7.8750000000000001E-2</v>
      </c>
      <c r="AB125" s="220">
        <f>'Debt_Qtr '!BI125</f>
        <v>7.8750000000000001E-2</v>
      </c>
      <c r="AC125" s="212">
        <f t="shared" si="18"/>
        <v>7.8750000000000001E-2</v>
      </c>
      <c r="AD125" s="212">
        <f t="shared" si="18"/>
        <v>7.8750000000000001E-2</v>
      </c>
      <c r="AE125" s="212">
        <f t="shared" si="18"/>
        <v>7.8750000000000001E-2</v>
      </c>
      <c r="AF125" s="212">
        <f t="shared" si="18"/>
        <v>7.8750000000000001E-2</v>
      </c>
    </row>
    <row r="126" spans="1:32" s="26" customFormat="1">
      <c r="A126" s="3" t="str">
        <f>'Debt_Qtr '!A126</f>
        <v>7.95% due Aug 2024</v>
      </c>
      <c r="B126" s="212"/>
      <c r="C126" s="212"/>
      <c r="D126" s="212"/>
      <c r="E126" s="212"/>
      <c r="F126" s="212"/>
      <c r="G126" s="212"/>
      <c r="H126" s="212"/>
      <c r="I126" s="212"/>
      <c r="J126" s="212"/>
      <c r="K126" s="212"/>
      <c r="L126" s="212"/>
      <c r="M126" s="212"/>
      <c r="N126" s="212"/>
      <c r="O126" s="212"/>
      <c r="P126" s="212"/>
      <c r="Q126" s="212"/>
      <c r="R126" s="212"/>
      <c r="S126" s="220">
        <f>'Debt_Qtr '!P126</f>
        <v>7.9500000000000001E-2</v>
      </c>
      <c r="T126" s="220">
        <f>'Debt_Qtr '!U126</f>
        <v>7.9500000000000001E-2</v>
      </c>
      <c r="U126" s="220">
        <f>'Debt_Qtr '!Z126</f>
        <v>7.9500000000000001E-2</v>
      </c>
      <c r="V126" s="220">
        <f>'Debt_Qtr '!AE126</f>
        <v>7.9500000000000001E-2</v>
      </c>
      <c r="W126" s="220">
        <f>'Debt_Qtr '!AJ126</f>
        <v>7.9500000000000001E-2</v>
      </c>
      <c r="X126" s="220">
        <f>'Debt_Qtr '!AO126</f>
        <v>7.9500000000000001E-2</v>
      </c>
      <c r="Y126" s="220">
        <f>'Debt_Qtr '!AT126</f>
        <v>7.9500000000000001E-2</v>
      </c>
      <c r="Z126" s="220">
        <f>'Debt_Qtr '!AY126</f>
        <v>7.9500000000000001E-2</v>
      </c>
      <c r="AA126" s="220">
        <f>'Debt_Qtr '!BD126</f>
        <v>7.9500000000000001E-2</v>
      </c>
      <c r="AB126" s="220">
        <f>'Debt_Qtr '!BI126</f>
        <v>7.9500000000000001E-2</v>
      </c>
      <c r="AC126" s="212">
        <f t="shared" si="18"/>
        <v>7.9500000000000001E-2</v>
      </c>
      <c r="AD126" s="212">
        <f t="shared" si="18"/>
        <v>7.9500000000000001E-2</v>
      </c>
      <c r="AE126" s="212">
        <f t="shared" si="18"/>
        <v>7.9500000000000001E-2</v>
      </c>
      <c r="AF126" s="212">
        <f t="shared" si="18"/>
        <v>7.9500000000000001E-2</v>
      </c>
    </row>
    <row r="127" spans="1:32" s="26" customFormat="1">
      <c r="A127" s="3" t="str">
        <f>'Debt_Qtr '!A127</f>
        <v>8.625% due Nov 2031</v>
      </c>
      <c r="B127" s="212"/>
      <c r="C127" s="212"/>
      <c r="D127" s="212"/>
      <c r="E127" s="212"/>
      <c r="F127" s="212"/>
      <c r="G127" s="212"/>
      <c r="H127" s="212"/>
      <c r="I127" s="212"/>
      <c r="J127" s="212"/>
      <c r="K127" s="212"/>
      <c r="L127" s="212"/>
      <c r="M127" s="212"/>
      <c r="N127" s="212"/>
      <c r="O127" s="212"/>
      <c r="P127" s="212"/>
      <c r="Q127" s="212"/>
      <c r="R127" s="212"/>
      <c r="S127" s="220">
        <f>'Debt_Qtr '!P127</f>
        <v>8.6249999999999993E-2</v>
      </c>
      <c r="T127" s="220">
        <f>'Debt_Qtr '!U127</f>
        <v>8.6249999999999993E-2</v>
      </c>
      <c r="U127" s="220">
        <f>'Debt_Qtr '!Z127</f>
        <v>8.6249999999999993E-2</v>
      </c>
      <c r="V127" s="220">
        <f>'Debt_Qtr '!AE127</f>
        <v>8.6249999999999993E-2</v>
      </c>
      <c r="W127" s="220">
        <f>'Debt_Qtr '!AJ127</f>
        <v>8.6249999999999993E-2</v>
      </c>
      <c r="X127" s="220">
        <f>'Debt_Qtr '!AO127</f>
        <v>8.6249999999999993E-2</v>
      </c>
      <c r="Y127" s="220">
        <f>'Debt_Qtr '!AT127</f>
        <v>8.6249999999999993E-2</v>
      </c>
      <c r="Z127" s="220">
        <f>'Debt_Qtr '!AY127</f>
        <v>8.6249999999999993E-2</v>
      </c>
      <c r="AA127" s="220">
        <f>'Debt_Qtr '!BD127</f>
        <v>8.6249999999999993E-2</v>
      </c>
      <c r="AB127" s="220">
        <f>'Debt_Qtr '!BI127</f>
        <v>8.6249999999999993E-2</v>
      </c>
      <c r="AC127" s="212">
        <f t="shared" si="18"/>
        <v>8.6249999999999993E-2</v>
      </c>
      <c r="AD127" s="212">
        <f t="shared" si="18"/>
        <v>8.6249999999999993E-2</v>
      </c>
      <c r="AE127" s="212">
        <f t="shared" si="18"/>
        <v>8.6249999999999993E-2</v>
      </c>
      <c r="AF127" s="212">
        <f t="shared" si="18"/>
        <v>8.6249999999999993E-2</v>
      </c>
    </row>
    <row r="128" spans="1:32" s="26" customFormat="1">
      <c r="A128" s="3" t="str">
        <f>'Debt_Qtr '!A128</f>
        <v>8.75% due Sep 2031</v>
      </c>
      <c r="B128" s="212"/>
      <c r="C128" s="212"/>
      <c r="D128" s="212"/>
      <c r="E128" s="212"/>
      <c r="F128" s="212"/>
      <c r="G128" s="212"/>
      <c r="H128" s="212"/>
      <c r="I128" s="212"/>
      <c r="J128" s="212"/>
      <c r="K128" s="212"/>
      <c r="L128" s="212"/>
      <c r="M128" s="212"/>
      <c r="N128" s="212"/>
      <c r="O128" s="212"/>
      <c r="P128" s="212"/>
      <c r="Q128" s="212"/>
      <c r="R128" s="212"/>
      <c r="S128" s="220">
        <f>'Debt_Qtr '!P128</f>
        <v>8.7499999999999994E-2</v>
      </c>
      <c r="T128" s="220">
        <f>'Debt_Qtr '!U128</f>
        <v>8.7499999999999994E-2</v>
      </c>
      <c r="U128" s="220">
        <f>'Debt_Qtr '!Z128</f>
        <v>8.7499999999999994E-2</v>
      </c>
      <c r="V128" s="220">
        <f>'Debt_Qtr '!AE128</f>
        <v>8.7499999999999994E-2</v>
      </c>
      <c r="W128" s="220">
        <f>'Debt_Qtr '!AJ128</f>
        <v>8.7499999999999994E-2</v>
      </c>
      <c r="X128" s="220">
        <f>'Debt_Qtr '!AO128</f>
        <v>8.7499999999999994E-2</v>
      </c>
      <c r="Y128" s="220">
        <f>'Debt_Qtr '!AT128</f>
        <v>8.7499999999999994E-2</v>
      </c>
      <c r="Z128" s="220">
        <f>'Debt_Qtr '!AY128</f>
        <v>8.7499999999999994E-2</v>
      </c>
      <c r="AA128" s="220">
        <f>'Debt_Qtr '!BD128</f>
        <v>8.7499999999999994E-2</v>
      </c>
      <c r="AB128" s="220">
        <f>'Debt_Qtr '!BI128</f>
        <v>8.7499999999999994E-2</v>
      </c>
      <c r="AC128" s="212">
        <f t="shared" si="18"/>
        <v>8.7499999999999994E-2</v>
      </c>
      <c r="AD128" s="212">
        <f t="shared" si="18"/>
        <v>8.7499999999999994E-2</v>
      </c>
      <c r="AE128" s="212">
        <f t="shared" si="18"/>
        <v>8.7499999999999994E-2</v>
      </c>
      <c r="AF128" s="212">
        <f t="shared" si="18"/>
        <v>8.7499999999999994E-2</v>
      </c>
    </row>
    <row r="129" spans="1:32" s="26" customFormat="1">
      <c r="A129" s="3" t="str">
        <f>'Debt_Qtr '!A129</f>
        <v>8.75% due Aug 2021</v>
      </c>
      <c r="B129" s="212"/>
      <c r="C129" s="212"/>
      <c r="D129" s="212"/>
      <c r="E129" s="212"/>
      <c r="F129" s="212"/>
      <c r="G129" s="212"/>
      <c r="H129" s="212"/>
      <c r="I129" s="212"/>
      <c r="J129" s="212"/>
      <c r="K129" s="212"/>
      <c r="L129" s="212"/>
      <c r="M129" s="212"/>
      <c r="N129" s="212"/>
      <c r="O129" s="212"/>
      <c r="P129" s="212"/>
      <c r="Q129" s="212"/>
      <c r="R129" s="212"/>
      <c r="S129" s="220">
        <f>'Debt_Qtr '!P129</f>
        <v>8.7499999999999994E-2</v>
      </c>
      <c r="T129" s="220">
        <f>'Debt_Qtr '!U129</f>
        <v>8.7499999999999994E-2</v>
      </c>
      <c r="U129" s="220">
        <f>'Debt_Qtr '!Z129</f>
        <v>8.7499999999999994E-2</v>
      </c>
      <c r="V129" s="220">
        <f>'Debt_Qtr '!AE129</f>
        <v>8.7499999999999994E-2</v>
      </c>
      <c r="W129" s="220">
        <f>'Debt_Qtr '!AJ129</f>
        <v>8.7499999999999994E-2</v>
      </c>
      <c r="X129" s="220">
        <f>'Debt_Qtr '!AO129</f>
        <v>8.7499999999999994E-2</v>
      </c>
      <c r="Y129" s="220">
        <f>'Debt_Qtr '!AT129</f>
        <v>8.7499999999999994E-2</v>
      </c>
      <c r="Z129" s="220">
        <f>'Debt_Qtr '!AY129</f>
        <v>8.7499999999999994E-2</v>
      </c>
      <c r="AA129" s="220">
        <f>'Debt_Qtr '!BD129</f>
        <v>8.7499999999999994E-2</v>
      </c>
      <c r="AB129" s="220">
        <f>'Debt_Qtr '!BI129</f>
        <v>8.7499999999999994E-2</v>
      </c>
      <c r="AC129" s="212">
        <f t="shared" si="18"/>
        <v>8.7499999999999994E-2</v>
      </c>
      <c r="AD129" s="212">
        <f t="shared" si="18"/>
        <v>8.7499999999999994E-2</v>
      </c>
      <c r="AE129" s="212">
        <f t="shared" si="18"/>
        <v>8.7499999999999994E-2</v>
      </c>
      <c r="AF129" s="212">
        <f t="shared" si="18"/>
        <v>8.7499999999999994E-2</v>
      </c>
    </row>
    <row r="130" spans="1:32" s="26" customFormat="1">
      <c r="A130" s="3" t="str">
        <f>'Debt_Qtr '!A130</f>
        <v>Term loan facility Due Feb 2022</v>
      </c>
      <c r="B130" s="212"/>
      <c r="C130" s="212"/>
      <c r="D130" s="212"/>
      <c r="E130" s="212"/>
      <c r="F130" s="212"/>
      <c r="G130" s="212"/>
      <c r="H130" s="212"/>
      <c r="I130" s="212"/>
      <c r="J130" s="212"/>
      <c r="K130" s="212"/>
      <c r="L130" s="212"/>
      <c r="M130" s="212"/>
      <c r="N130" s="212"/>
      <c r="O130" s="212"/>
      <c r="P130" s="212"/>
      <c r="Q130" s="212"/>
      <c r="R130" s="212"/>
      <c r="S130" s="220">
        <f>'Debt_Qtr '!P130</f>
        <v>1.985E-2</v>
      </c>
      <c r="T130" s="220">
        <f>'Debt_Qtr '!U130</f>
        <v>1.985E-2</v>
      </c>
      <c r="U130" s="220">
        <f>'Debt_Qtr '!Z130</f>
        <v>1.985E-2</v>
      </c>
      <c r="V130" s="220">
        <f>'Debt_Qtr '!AE130</f>
        <v>1.8378316666666665E-2</v>
      </c>
      <c r="W130" s="220">
        <f>'Debt_Qtr '!AJ130</f>
        <v>1.8378316666666665E-2</v>
      </c>
      <c r="X130" s="220">
        <f>'Debt_Qtr '!AO130</f>
        <v>1.8378316666666665E-2</v>
      </c>
      <c r="Y130" s="220">
        <f>'Debt_Qtr '!AT130</f>
        <v>4.0689158333333336E-2</v>
      </c>
      <c r="Z130" s="220">
        <f>'Debt_Qtr '!AY130</f>
        <v>4.0689158333333336E-2</v>
      </c>
      <c r="AA130" s="220">
        <f>'Debt_Qtr '!BD130</f>
        <v>4.0689158333333336E-2</v>
      </c>
      <c r="AB130" s="220">
        <f>'Debt_Qtr '!BI130</f>
        <v>4.0689158333333336E-2</v>
      </c>
      <c r="AC130" s="212">
        <f>AC137+(AVERAGE(0.75%,1.25%))</f>
        <v>4.0689158333333336E-2</v>
      </c>
      <c r="AD130" s="212">
        <f>AD137+(AVERAGE(0.75%,1.25%))</f>
        <v>4.0689158333333336E-2</v>
      </c>
      <c r="AE130" s="212">
        <f>AE137+(AVERAGE(0.75%,1.25%))</f>
        <v>4.0689158333333336E-2</v>
      </c>
      <c r="AF130" s="212">
        <f>AF137+(AVERAGE(0.75%,1.25%))</f>
        <v>4.0689158333333336E-2</v>
      </c>
    </row>
    <row r="131" spans="1:32" s="26" customFormat="1">
      <c r="A131" s="3" t="str">
        <f>'Debt_Qtr '!A131</f>
        <v>Commercial Paper</v>
      </c>
      <c r="B131" s="212"/>
      <c r="C131" s="212"/>
      <c r="D131" s="212"/>
      <c r="E131" s="212"/>
      <c r="F131" s="212"/>
      <c r="G131" s="212"/>
      <c r="H131" s="212"/>
      <c r="I131" s="212"/>
      <c r="J131" s="212"/>
      <c r="K131" s="212"/>
      <c r="L131" s="212"/>
      <c r="M131" s="212"/>
      <c r="N131" s="212"/>
      <c r="O131" s="212"/>
      <c r="P131" s="212"/>
      <c r="Q131" s="212"/>
      <c r="R131" s="212"/>
      <c r="S131" s="220">
        <f>'Debt_Qtr '!P131</f>
        <v>0.02</v>
      </c>
      <c r="T131" s="220">
        <f>'Debt_Qtr '!U131</f>
        <v>0.02</v>
      </c>
      <c r="U131" s="220">
        <f>'Debt_Qtr '!Z131</f>
        <v>0.02</v>
      </c>
      <c r="V131" s="220">
        <f>'Debt_Qtr '!AE131</f>
        <v>0.02</v>
      </c>
      <c r="W131" s="220">
        <f>'Debt_Qtr '!AJ131</f>
        <v>0.02</v>
      </c>
      <c r="X131" s="220">
        <f>'Debt_Qtr '!AO131</f>
        <v>0.02</v>
      </c>
      <c r="Y131" s="220">
        <f>'Debt_Qtr '!AT131</f>
        <v>0.02</v>
      </c>
      <c r="Z131" s="220">
        <f>'Debt_Qtr '!AY131</f>
        <v>0.02</v>
      </c>
      <c r="AA131" s="220">
        <f>'Debt_Qtr '!BD131</f>
        <v>0.02</v>
      </c>
      <c r="AB131" s="220">
        <f>'Debt_Qtr '!BI131</f>
        <v>0.02</v>
      </c>
      <c r="AC131" s="212">
        <f t="shared" si="18"/>
        <v>0.02</v>
      </c>
      <c r="AD131" s="212">
        <f t="shared" si="18"/>
        <v>0.02</v>
      </c>
      <c r="AE131" s="212">
        <f t="shared" si="18"/>
        <v>0.02</v>
      </c>
      <c r="AF131" s="212">
        <f t="shared" si="18"/>
        <v>0.02</v>
      </c>
    </row>
    <row r="132" spans="1:32" s="26" customFormat="1">
      <c r="A132" s="3" t="str">
        <f>'Debt_Qtr '!A132</f>
        <v>6.98% to 7.38% due through 2021</v>
      </c>
      <c r="B132" s="212"/>
      <c r="C132" s="212"/>
      <c r="D132" s="212"/>
      <c r="E132" s="212"/>
      <c r="F132" s="212"/>
      <c r="G132" s="212"/>
      <c r="H132" s="212"/>
      <c r="I132" s="212"/>
      <c r="J132" s="212"/>
      <c r="K132" s="212"/>
      <c r="L132" s="212"/>
      <c r="M132" s="212"/>
      <c r="N132" s="212"/>
      <c r="O132" s="212"/>
      <c r="P132" s="212"/>
      <c r="Q132" s="212"/>
      <c r="R132" s="212"/>
      <c r="S132" s="220">
        <f>'Debt_Qtr '!P132</f>
        <v>7.1800000000000003E-2</v>
      </c>
      <c r="T132" s="220">
        <f>'Debt_Qtr '!U132</f>
        <v>6.9800000000000001E-2</v>
      </c>
      <c r="U132" s="220">
        <f>'Debt_Qtr '!Z132</f>
        <v>6.9800000000000001E-2</v>
      </c>
      <c r="V132" s="220">
        <f>'Debt_Qtr '!AE132</f>
        <v>6.9800000000000001E-2</v>
      </c>
      <c r="W132" s="220">
        <f>'Debt_Qtr '!AJ132</f>
        <v>6.9800000000000001E-2</v>
      </c>
      <c r="X132" s="220">
        <f>'Debt_Qtr '!AO132</f>
        <v>6.9800000000000001E-2</v>
      </c>
      <c r="Y132" s="220">
        <f>'Debt_Qtr '!AT132</f>
        <v>6.9800000000000001E-2</v>
      </c>
      <c r="Z132" s="220">
        <f>'Debt_Qtr '!AY132</f>
        <v>6.9800000000000001E-2</v>
      </c>
      <c r="AA132" s="220">
        <f>'Debt_Qtr '!BD132</f>
        <v>6.9800000000000001E-2</v>
      </c>
      <c r="AB132" s="220">
        <f>'Debt_Qtr '!BI132</f>
        <v>6.9800000000000001E-2</v>
      </c>
      <c r="AC132" s="212">
        <f t="shared" si="18"/>
        <v>6.9800000000000001E-2</v>
      </c>
      <c r="AD132" s="212">
        <f t="shared" si="18"/>
        <v>6.9800000000000001E-2</v>
      </c>
      <c r="AE132" s="212">
        <f t="shared" si="18"/>
        <v>6.9800000000000001E-2</v>
      </c>
      <c r="AF132" s="212">
        <f t="shared" si="18"/>
        <v>6.9800000000000001E-2</v>
      </c>
    </row>
    <row r="133" spans="1:32" s="26" customFormat="1">
      <c r="A133" s="3" t="str">
        <f>'Debt_Qtr '!A133</f>
        <v>Finance lease obligations due through 2034</v>
      </c>
      <c r="B133" s="212"/>
      <c r="C133" s="212"/>
      <c r="D133" s="212"/>
      <c r="E133" s="212"/>
      <c r="F133" s="212"/>
      <c r="G133" s="212"/>
      <c r="H133" s="212"/>
      <c r="I133" s="212"/>
      <c r="J133" s="212"/>
      <c r="K133" s="212"/>
      <c r="L133" s="212"/>
      <c r="M133" s="212"/>
      <c r="N133" s="212"/>
      <c r="O133" s="212"/>
      <c r="P133" s="212"/>
      <c r="Q133" s="212"/>
      <c r="R133" s="212"/>
      <c r="S133" s="220">
        <f>'Debt_Qtr '!P133</f>
        <v>4.4999999999999998E-2</v>
      </c>
      <c r="T133" s="220">
        <f>'Debt_Qtr '!U133</f>
        <v>4.4999999999999998E-2</v>
      </c>
      <c r="U133" s="220">
        <f>'Debt_Qtr '!Z133</f>
        <v>4.4999999999999998E-2</v>
      </c>
      <c r="V133" s="220">
        <f>'Debt_Qtr '!AE133</f>
        <v>4.4999999999999998E-2</v>
      </c>
      <c r="W133" s="220">
        <f>'Debt_Qtr '!AJ133</f>
        <v>4.4999999999999998E-2</v>
      </c>
      <c r="X133" s="220">
        <f>'Debt_Qtr '!AO133</f>
        <v>4.4999999999999998E-2</v>
      </c>
      <c r="Y133" s="220">
        <f>'Debt_Qtr '!AT133</f>
        <v>4.4999999999999998E-2</v>
      </c>
      <c r="Z133" s="220">
        <f>'Debt_Qtr '!AY133</f>
        <v>4.4999999999999998E-2</v>
      </c>
      <c r="AA133" s="220">
        <f>'Debt_Qtr '!BD133</f>
        <v>4.4999999999999998E-2</v>
      </c>
      <c r="AB133" s="220">
        <f>'Debt_Qtr '!BI133</f>
        <v>4.4999999999999998E-2</v>
      </c>
      <c r="AC133" s="212">
        <f t="shared" si="18"/>
        <v>4.4999999999999998E-2</v>
      </c>
      <c r="AD133" s="212">
        <f t="shared" si="18"/>
        <v>4.4999999999999998E-2</v>
      </c>
      <c r="AE133" s="212">
        <f t="shared" si="18"/>
        <v>4.4999999999999998E-2</v>
      </c>
      <c r="AF133" s="212">
        <f t="shared" si="18"/>
        <v>4.4999999999999998E-2</v>
      </c>
    </row>
    <row r="134" spans="1:32" s="26" customFormat="1">
      <c r="A134" s="3" t="str">
        <f>'Debt_Qtr '!A134</f>
        <v>Other Notes</v>
      </c>
      <c r="B134" s="212"/>
      <c r="C134" s="212"/>
      <c r="D134" s="212"/>
      <c r="E134" s="212"/>
      <c r="F134" s="212"/>
      <c r="G134" s="212"/>
      <c r="H134" s="212"/>
      <c r="I134" s="212"/>
      <c r="J134" s="212"/>
      <c r="K134" s="212"/>
      <c r="L134" s="212"/>
      <c r="M134" s="212"/>
      <c r="N134" s="212"/>
      <c r="O134" s="212"/>
      <c r="P134" s="212"/>
      <c r="Q134" s="212"/>
      <c r="R134" s="212"/>
      <c r="S134" s="220">
        <f>'Debt_Qtr '!P134</f>
        <v>0.02</v>
      </c>
      <c r="T134" s="220">
        <f>'Debt_Qtr '!U134</f>
        <v>0.02</v>
      </c>
      <c r="U134" s="220">
        <f>'Debt_Qtr '!Z134</f>
        <v>0.02</v>
      </c>
      <c r="V134" s="220">
        <f>'Debt_Qtr '!AE134</f>
        <v>0.02</v>
      </c>
      <c r="W134" s="220">
        <f>'Debt_Qtr '!AJ134</f>
        <v>0.02</v>
      </c>
      <c r="X134" s="220">
        <f>'Debt_Qtr '!AO134</f>
        <v>0.02</v>
      </c>
      <c r="Y134" s="220">
        <f>'Debt_Qtr '!AT134</f>
        <v>0.02</v>
      </c>
      <c r="Z134" s="220">
        <f>'Debt_Qtr '!AY134</f>
        <v>0.02</v>
      </c>
      <c r="AA134" s="220">
        <f>'Debt_Qtr '!BD134</f>
        <v>0.02</v>
      </c>
      <c r="AB134" s="220">
        <f>'Debt_Qtr '!BI134</f>
        <v>0.02</v>
      </c>
      <c r="AC134" s="212">
        <f t="shared" si="18"/>
        <v>0.02</v>
      </c>
      <c r="AD134" s="212">
        <f t="shared" si="18"/>
        <v>0.02</v>
      </c>
      <c r="AE134" s="212">
        <f t="shared" si="18"/>
        <v>0.02</v>
      </c>
      <c r="AF134" s="212">
        <f t="shared" si="18"/>
        <v>0.02</v>
      </c>
    </row>
    <row r="135" spans="1:32" s="26" customFormat="1">
      <c r="A135" s="3" t="str">
        <f>'Debt_Qtr '!A135</f>
        <v>Additional Debt</v>
      </c>
      <c r="B135" s="212"/>
      <c r="C135" s="212"/>
      <c r="D135" s="212"/>
      <c r="E135" s="212"/>
      <c r="F135" s="212"/>
      <c r="G135" s="212"/>
      <c r="H135" s="212"/>
      <c r="I135" s="212"/>
      <c r="J135" s="212"/>
      <c r="K135" s="212"/>
      <c r="L135" s="212"/>
      <c r="M135" s="212"/>
      <c r="N135" s="212"/>
      <c r="O135" s="212"/>
      <c r="P135" s="212"/>
      <c r="Q135" s="212"/>
      <c r="R135" s="212"/>
      <c r="S135" s="220">
        <f>'Debt_Qtr '!P135</f>
        <v>0</v>
      </c>
      <c r="T135" s="220">
        <f>'Debt_Qtr '!U135</f>
        <v>0</v>
      </c>
      <c r="U135" s="220">
        <f>'Debt_Qtr '!Z135</f>
        <v>0</v>
      </c>
      <c r="V135" s="220">
        <f>'Debt_Qtr '!AE135</f>
        <v>5.5E-2</v>
      </c>
      <c r="W135" s="220">
        <f>'Debt_Qtr '!AJ135</f>
        <v>5.5E-2</v>
      </c>
      <c r="X135" s="220">
        <f>'Debt_Qtr '!AO135</f>
        <v>5.0500000000000003E-2</v>
      </c>
      <c r="Y135" s="220">
        <f>'Debt_Qtr '!AT135</f>
        <v>5.0999999999999997E-2</v>
      </c>
      <c r="Z135" s="220">
        <f>'Debt_Qtr '!AY135</f>
        <v>6.5000000000000002E-2</v>
      </c>
      <c r="AA135" s="220">
        <f>'Debt_Qtr '!BD135</f>
        <v>6.25E-2</v>
      </c>
      <c r="AB135" s="220">
        <f>'Debt_Qtr '!BI135</f>
        <v>6.25E-2</v>
      </c>
      <c r="AC135" s="212">
        <f>AB135-0.0025</f>
        <v>0.06</v>
      </c>
      <c r="AD135" s="212">
        <f>AC135-0.0025</f>
        <v>5.7499999999999996E-2</v>
      </c>
      <c r="AE135" s="212">
        <f>AD135-0.0025</f>
        <v>5.4999999999999993E-2</v>
      </c>
      <c r="AF135" s="212">
        <f>AE135-0.0025</f>
        <v>5.2499999999999991E-2</v>
      </c>
    </row>
    <row r="136" spans="1:32" s="26" customFormat="1">
      <c r="A136" s="3"/>
      <c r="B136" s="43"/>
      <c r="C136" s="43"/>
      <c r="D136" s="43"/>
      <c r="E136" s="43"/>
      <c r="F136" s="43"/>
      <c r="G136" s="43"/>
      <c r="H136" s="43"/>
      <c r="I136" s="43"/>
      <c r="J136" s="43"/>
      <c r="K136" s="43"/>
      <c r="L136" s="43"/>
      <c r="M136" s="43"/>
      <c r="N136" s="43"/>
      <c r="O136" s="43"/>
      <c r="P136" s="43"/>
      <c r="Q136" s="43"/>
      <c r="R136" s="43"/>
      <c r="S136" s="43"/>
      <c r="T136" s="43"/>
      <c r="U136" s="43"/>
      <c r="V136" s="43"/>
      <c r="W136" s="43"/>
      <c r="X136" s="212"/>
      <c r="Y136" s="212"/>
      <c r="Z136" s="220"/>
      <c r="AA136" s="220"/>
      <c r="AB136" s="220"/>
      <c r="AC136" s="212"/>
      <c r="AD136" s="212"/>
      <c r="AE136" s="212"/>
      <c r="AF136" s="212"/>
    </row>
    <row r="137" spans="1:32" s="26" customFormat="1">
      <c r="A137" s="3" t="str">
        <f>'Debt_Qtr '!A137</f>
        <v>3-Months LIBOR rate</v>
      </c>
      <c r="B137" s="43"/>
      <c r="C137" s="43"/>
      <c r="D137" s="43"/>
      <c r="E137" s="43"/>
      <c r="F137" s="43"/>
      <c r="G137" s="43"/>
      <c r="H137" s="43"/>
      <c r="I137" s="43"/>
      <c r="J137" s="43"/>
      <c r="K137" s="43"/>
      <c r="L137" s="43"/>
      <c r="M137" s="43"/>
      <c r="N137" s="43"/>
      <c r="O137" s="43"/>
      <c r="P137" s="43"/>
      <c r="Q137" s="43"/>
      <c r="R137" s="43"/>
      <c r="S137" s="220">
        <f>'Debt_Qtr '!P137</f>
        <v>2.0490000000000001E-2</v>
      </c>
      <c r="T137" s="220">
        <f>'Debt_Qtr '!U137</f>
        <v>2.3093333333333334E-2</v>
      </c>
      <c r="U137" s="220">
        <f>'Debt_Qtr '!Z137</f>
        <v>2.329666666666667E-2</v>
      </c>
      <c r="V137" s="220">
        <f>'Debt_Qtr '!AE137</f>
        <v>8.3783166666666666E-3</v>
      </c>
      <c r="W137" s="220">
        <f>'Debt_Qtr '!AJ137</f>
        <v>8.3783166666666666E-3</v>
      </c>
      <c r="X137" s="220">
        <f>'Debt_Qtr '!AO137</f>
        <v>8.3783166666666666E-3</v>
      </c>
      <c r="Y137" s="220">
        <f>'Debt_Qtr '!AT137</f>
        <v>3.0689158333333334E-2</v>
      </c>
      <c r="Z137" s="220">
        <f>'Debt_Qtr '!AY137</f>
        <v>3.0689158333333334E-2</v>
      </c>
      <c r="AA137" s="220">
        <f>'Debt_Qtr '!BD137</f>
        <v>3.0689158333333334E-2</v>
      </c>
      <c r="AB137" s="220">
        <f>'Debt_Qtr '!BI137</f>
        <v>3.0689158333333334E-2</v>
      </c>
      <c r="AC137" s="212">
        <f>AB137</f>
        <v>3.0689158333333334E-2</v>
      </c>
      <c r="AD137" s="212">
        <f>AC137</f>
        <v>3.0689158333333334E-2</v>
      </c>
      <c r="AE137" s="212">
        <f>AD137</f>
        <v>3.0689158333333334E-2</v>
      </c>
      <c r="AF137" s="212">
        <f>AE137</f>
        <v>3.0689158333333334E-2</v>
      </c>
    </row>
    <row r="138" spans="1:32" s="26" customFormat="1">
      <c r="A138" s="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row>
    <row r="139" spans="1:32" s="26" customFormat="1">
      <c r="A139" s="9" t="s">
        <v>46</v>
      </c>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c r="AA139" s="121"/>
      <c r="AB139" s="121"/>
      <c r="AC139" s="121"/>
      <c r="AD139" s="121"/>
      <c r="AE139" s="121"/>
      <c r="AF139" s="121"/>
    </row>
    <row r="140" spans="1:32" s="26" customFormat="1">
      <c r="A140" s="3" t="str">
        <f>'Debt_Qtr '!A140</f>
        <v>0.95% due May 2018</v>
      </c>
      <c r="B140" s="43"/>
      <c r="C140" s="43"/>
      <c r="D140" s="43"/>
      <c r="E140" s="43"/>
      <c r="F140" s="43"/>
      <c r="G140" s="43"/>
      <c r="H140" s="43"/>
      <c r="I140" s="43"/>
      <c r="J140" s="43"/>
      <c r="K140" s="43"/>
      <c r="L140" s="43"/>
      <c r="M140" s="43"/>
      <c r="N140" s="43"/>
      <c r="O140" s="43"/>
      <c r="P140" s="43"/>
      <c r="Q140" s="43"/>
      <c r="R140" s="43"/>
      <c r="S140" s="38">
        <f>'Debt_Qtr '!P140</f>
        <v>3.3249999999999997</v>
      </c>
      <c r="T140" s="38">
        <f>'Debt_Qtr '!U140</f>
        <v>1.246875</v>
      </c>
      <c r="U140" s="38">
        <f>'Debt_Qtr '!Z140</f>
        <v>0</v>
      </c>
      <c r="V140" s="38">
        <f>'Debt_Qtr '!AE140</f>
        <v>0</v>
      </c>
      <c r="W140" s="38">
        <f>'Debt_Qtr '!AJ140</f>
        <v>0</v>
      </c>
      <c r="X140" s="38">
        <f>'Debt_Qtr '!AO140</f>
        <v>0</v>
      </c>
      <c r="Y140" s="38">
        <f>'Debt_Qtr '!AT140</f>
        <v>0</v>
      </c>
      <c r="Z140" s="38">
        <f>'Debt_Qtr '!AY140</f>
        <v>0</v>
      </c>
      <c r="AA140" s="38">
        <f>'Debt_Qtr '!BD140</f>
        <v>0</v>
      </c>
      <c r="AB140" s="38">
        <f>'Debt_Qtr '!BI140</f>
        <v>0</v>
      </c>
      <c r="AC140" s="23">
        <f>+AVERAGE(AC4,AB4)*AC75</f>
        <v>0</v>
      </c>
      <c r="AD140" s="23">
        <f>+AVERAGE(AD4,AC4)*AD75</f>
        <v>0</v>
      </c>
      <c r="AE140" s="23">
        <f>+AVERAGE(AE4,AD4)*AE75</f>
        <v>0</v>
      </c>
      <c r="AF140" s="23">
        <f>+AVERAGE(AF4,AE4)*AF75</f>
        <v>0</v>
      </c>
    </row>
    <row r="141" spans="1:32" s="26" customFormat="1">
      <c r="A141" s="3" t="s">
        <v>585</v>
      </c>
      <c r="B141" s="43"/>
      <c r="C141" s="43"/>
      <c r="D141" s="43"/>
      <c r="E141" s="43"/>
      <c r="F141" s="43"/>
      <c r="G141" s="43"/>
      <c r="H141" s="43"/>
      <c r="I141" s="43"/>
      <c r="J141" s="43"/>
      <c r="K141" s="43"/>
      <c r="L141" s="43"/>
      <c r="M141" s="43"/>
      <c r="N141" s="43"/>
      <c r="O141" s="43"/>
      <c r="P141" s="43"/>
      <c r="Q141" s="43"/>
      <c r="R141" s="43"/>
      <c r="S141" s="38"/>
      <c r="T141" s="38"/>
      <c r="U141" s="38"/>
      <c r="V141" s="38"/>
      <c r="W141" s="38">
        <v>42.99</v>
      </c>
      <c r="X141" s="38">
        <f>'Debt_Qtr '!AO141</f>
        <v>42.99</v>
      </c>
      <c r="Y141" s="38">
        <f>'Debt_Qtr '!AT141</f>
        <v>37.616250000000001</v>
      </c>
      <c r="Z141" s="38">
        <f>'Debt_Qtr '!AY141</f>
        <v>0</v>
      </c>
      <c r="AA141" s="38">
        <f>'Debt_Qtr '!BD141</f>
        <v>0</v>
      </c>
      <c r="AB141" s="38">
        <f>'Debt_Qtr '!BI141</f>
        <v>0</v>
      </c>
      <c r="AC141" s="23">
        <f>IFERROR(+AVERAGE(AC5,AB5)*AC76,0)</f>
        <v>0</v>
      </c>
      <c r="AD141" s="23">
        <f>IFERROR(+AVERAGE(AD5,AC5)*AD76,0)</f>
        <v>0</v>
      </c>
      <c r="AE141" s="23">
        <f>IFERROR(+AVERAGE(AE5,AD5)*AE76,0)</f>
        <v>0</v>
      </c>
      <c r="AF141" s="23">
        <f>IFERROR(+AVERAGE(AF5,AE5)*AF76,0)</f>
        <v>0</v>
      </c>
    </row>
    <row r="142" spans="1:32" s="26" customFormat="1">
      <c r="A142" s="3" t="str">
        <f>'Debt_Qtr '!A142</f>
        <v>1.65% due Oct 2020</v>
      </c>
      <c r="B142" s="43"/>
      <c r="C142" s="43"/>
      <c r="D142" s="43"/>
      <c r="E142" s="43"/>
      <c r="F142" s="43"/>
      <c r="G142" s="43"/>
      <c r="H142" s="43"/>
      <c r="I142" s="43"/>
      <c r="J142" s="43"/>
      <c r="K142" s="43"/>
      <c r="L142" s="43"/>
      <c r="M142" s="43"/>
      <c r="N142" s="43"/>
      <c r="O142" s="43"/>
      <c r="P142" s="43"/>
      <c r="Q142" s="43"/>
      <c r="R142" s="43"/>
      <c r="S142" s="38">
        <f>'Debt_Qtr '!P142</f>
        <v>5.7750000000000004</v>
      </c>
      <c r="T142" s="38">
        <f>'Debt_Qtr '!U142</f>
        <v>5.7750000000000004</v>
      </c>
      <c r="U142" s="38">
        <f>'Debt_Qtr '!Z142</f>
        <v>5.7750000000000004</v>
      </c>
      <c r="V142" s="38">
        <f>'Debt_Qtr '!AE142</f>
        <v>5.0531250000000005</v>
      </c>
      <c r="W142" s="38">
        <f>'Debt_Qtr '!AJ142</f>
        <v>0</v>
      </c>
      <c r="X142" s="38">
        <f>'Debt_Qtr '!AO142</f>
        <v>0</v>
      </c>
      <c r="Y142" s="38">
        <f>'Debt_Qtr '!AT142</f>
        <v>0</v>
      </c>
      <c r="Z142" s="38">
        <f>'Debt_Qtr '!AY142</f>
        <v>0</v>
      </c>
      <c r="AA142" s="38">
        <f>'Debt_Qtr '!BD142</f>
        <v>0</v>
      </c>
      <c r="AB142" s="38">
        <f>'Debt_Qtr '!BI142</f>
        <v>0</v>
      </c>
      <c r="AC142" s="23">
        <f t="shared" ref="AC142:AF200" si="19">+AVERAGE(AC6,AB6)*AC77</f>
        <v>0</v>
      </c>
      <c r="AD142" s="23">
        <f t="shared" si="19"/>
        <v>0</v>
      </c>
      <c r="AE142" s="23">
        <f t="shared" si="19"/>
        <v>0</v>
      </c>
      <c r="AF142" s="23">
        <f t="shared" si="19"/>
        <v>0</v>
      </c>
    </row>
    <row r="143" spans="1:32" s="26" customFormat="1">
      <c r="A143" s="428" t="s">
        <v>586</v>
      </c>
      <c r="B143" s="43"/>
      <c r="C143" s="43"/>
      <c r="D143" s="43"/>
      <c r="E143" s="43"/>
      <c r="F143" s="43"/>
      <c r="G143" s="43"/>
      <c r="H143" s="43"/>
      <c r="I143" s="43"/>
      <c r="J143" s="43"/>
      <c r="K143" s="43"/>
      <c r="L143" s="43"/>
      <c r="M143" s="43"/>
      <c r="N143" s="43"/>
      <c r="O143" s="43"/>
      <c r="P143" s="43"/>
      <c r="Q143" s="43"/>
      <c r="R143" s="43"/>
      <c r="S143" s="38"/>
      <c r="T143" s="38"/>
      <c r="U143" s="38"/>
      <c r="V143" s="38"/>
      <c r="W143" s="38">
        <v>15.46275</v>
      </c>
      <c r="X143" s="38">
        <f>'Debt_Qtr '!AO143</f>
        <v>15.46275</v>
      </c>
      <c r="Y143" s="38">
        <f>'Debt_Qtr '!AT143</f>
        <v>1.93284375</v>
      </c>
      <c r="Z143" s="38">
        <f>'Debt_Qtr '!AY143</f>
        <v>0</v>
      </c>
      <c r="AA143" s="38">
        <f>'Debt_Qtr '!BD143</f>
        <v>0</v>
      </c>
      <c r="AB143" s="38">
        <f>'Debt_Qtr '!BI143</f>
        <v>0</v>
      </c>
      <c r="AC143" s="23">
        <f t="shared" si="19"/>
        <v>0</v>
      </c>
      <c r="AD143" s="23">
        <f t="shared" si="19"/>
        <v>0</v>
      </c>
      <c r="AE143" s="23">
        <f t="shared" si="19"/>
        <v>0</v>
      </c>
      <c r="AF143" s="23">
        <f t="shared" si="19"/>
        <v>0</v>
      </c>
    </row>
    <row r="144" spans="1:32" s="26" customFormat="1">
      <c r="A144" s="3" t="str">
        <f>'Debt_Qtr '!A144</f>
        <v>1.875% due June 2023</v>
      </c>
      <c r="B144" s="43"/>
      <c r="C144" s="43"/>
      <c r="D144" s="43"/>
      <c r="E144" s="43"/>
      <c r="F144" s="43"/>
      <c r="G144" s="43"/>
      <c r="H144" s="43"/>
      <c r="I144" s="43"/>
      <c r="J144" s="43"/>
      <c r="K144" s="43"/>
      <c r="L144" s="43"/>
      <c r="M144" s="43"/>
      <c r="N144" s="43"/>
      <c r="O144" s="43"/>
      <c r="P144" s="43"/>
      <c r="Q144" s="43"/>
      <c r="R144" s="43"/>
      <c r="S144" s="38">
        <f>'Debt_Qtr '!P144</f>
        <v>7.5</v>
      </c>
      <c r="T144" s="38">
        <f>'Debt_Qtr '!U144</f>
        <v>7.5</v>
      </c>
      <c r="U144" s="38">
        <f>'Debt_Qtr '!Z144</f>
        <v>7.5</v>
      </c>
      <c r="V144" s="38">
        <f>'Debt_Qtr '!AE144</f>
        <v>7.5</v>
      </c>
      <c r="W144" s="38">
        <f>'Debt_Qtr '!AJ144</f>
        <v>7.5</v>
      </c>
      <c r="X144" s="38">
        <f>'Debt_Qtr '!AO144</f>
        <v>7.5</v>
      </c>
      <c r="Y144" s="38">
        <f>'Debt_Qtr '!AT144</f>
        <v>3.75</v>
      </c>
      <c r="Z144" s="38">
        <f>'Debt_Qtr '!AY144</f>
        <v>0</v>
      </c>
      <c r="AA144" s="38">
        <f>'Debt_Qtr '!BD144</f>
        <v>0</v>
      </c>
      <c r="AB144" s="38">
        <f>'Debt_Qtr '!BI144</f>
        <v>0</v>
      </c>
      <c r="AC144" s="23">
        <f t="shared" si="19"/>
        <v>0</v>
      </c>
      <c r="AD144" s="23">
        <f t="shared" si="19"/>
        <v>0</v>
      </c>
      <c r="AE144" s="23">
        <f t="shared" si="19"/>
        <v>0</v>
      </c>
      <c r="AF144" s="23">
        <f t="shared" si="19"/>
        <v>0</v>
      </c>
    </row>
    <row r="145" spans="1:32" s="26" customFormat="1">
      <c r="A145" s="3" t="str">
        <f>'Debt_Qtr '!A145</f>
        <v>2.125% due March 2022</v>
      </c>
      <c r="B145" s="43"/>
      <c r="C145" s="43"/>
      <c r="D145" s="43"/>
      <c r="E145" s="43"/>
      <c r="F145" s="43"/>
      <c r="G145" s="43"/>
      <c r="H145" s="43"/>
      <c r="I145" s="43"/>
      <c r="J145" s="43"/>
      <c r="K145" s="43"/>
      <c r="L145" s="43"/>
      <c r="M145" s="43"/>
      <c r="N145" s="43"/>
      <c r="O145" s="43"/>
      <c r="P145" s="43"/>
      <c r="Q145" s="43"/>
      <c r="R145" s="43"/>
      <c r="S145" s="38">
        <f>'Debt_Qtr '!P145</f>
        <v>6.3750000000000009</v>
      </c>
      <c r="T145" s="38">
        <f>'Debt_Qtr '!U145</f>
        <v>6.3750000000000009</v>
      </c>
      <c r="U145" s="38">
        <f>'Debt_Qtr '!Z145</f>
        <v>6.3750000000000009</v>
      </c>
      <c r="V145" s="38">
        <f>'Debt_Qtr '!AE145</f>
        <v>6.3750000000000009</v>
      </c>
      <c r="W145" s="38">
        <f>'Debt_Qtr '!AJ145</f>
        <v>6.3750000000000009</v>
      </c>
      <c r="X145" s="38">
        <f>'Debt_Qtr '!AO145</f>
        <v>0.79687500000000011</v>
      </c>
      <c r="Y145" s="38">
        <f>'Debt_Qtr '!AT145</f>
        <v>0</v>
      </c>
      <c r="Z145" s="38">
        <f>'Debt_Qtr '!AY145</f>
        <v>0</v>
      </c>
      <c r="AA145" s="38">
        <f>'Debt_Qtr '!BD145</f>
        <v>0</v>
      </c>
      <c r="AB145" s="38">
        <f>'Debt_Qtr '!BI145</f>
        <v>0</v>
      </c>
      <c r="AC145" s="23">
        <f t="shared" si="19"/>
        <v>0</v>
      </c>
      <c r="AD145" s="23">
        <f t="shared" si="19"/>
        <v>0</v>
      </c>
      <c r="AE145" s="23">
        <f t="shared" si="19"/>
        <v>0</v>
      </c>
      <c r="AF145" s="23">
        <f t="shared" si="19"/>
        <v>0</v>
      </c>
    </row>
    <row r="146" spans="1:32" s="26" customFormat="1">
      <c r="A146" s="3" t="s">
        <v>587</v>
      </c>
      <c r="B146" s="43"/>
      <c r="C146" s="43"/>
      <c r="D146" s="43"/>
      <c r="E146" s="43"/>
      <c r="F146" s="43"/>
      <c r="G146" s="43"/>
      <c r="H146" s="43"/>
      <c r="I146" s="43"/>
      <c r="J146" s="43"/>
      <c r="K146" s="43"/>
      <c r="L146" s="43"/>
      <c r="M146" s="43"/>
      <c r="N146" s="43"/>
      <c r="O146" s="43"/>
      <c r="P146" s="43"/>
      <c r="Q146" s="43"/>
      <c r="R146" s="43"/>
      <c r="S146" s="38"/>
      <c r="T146" s="38"/>
      <c r="U146" s="38"/>
      <c r="V146" s="38"/>
      <c r="W146" s="38">
        <v>120.78</v>
      </c>
      <c r="X146" s="38">
        <f>'Debt_Qtr '!AO146</f>
        <v>120.78</v>
      </c>
      <c r="Y146" s="38">
        <f>'Debt_Qtr '!AT146</f>
        <v>120.78</v>
      </c>
      <c r="Z146" s="38">
        <f>'Debt_Qtr '!AY146</f>
        <v>120.78</v>
      </c>
      <c r="AA146" s="38">
        <f>'Debt_Qtr '!BD146</f>
        <v>120.78</v>
      </c>
      <c r="AB146" s="38">
        <f>'Debt_Qtr '!BI146</f>
        <v>93.330000000000013</v>
      </c>
      <c r="AC146" s="23">
        <f t="shared" si="19"/>
        <v>38.43</v>
      </c>
      <c r="AD146" s="23">
        <f t="shared" si="19"/>
        <v>0</v>
      </c>
      <c r="AE146" s="23">
        <f t="shared" si="19"/>
        <v>0</v>
      </c>
      <c r="AF146" s="23">
        <f t="shared" si="19"/>
        <v>0</v>
      </c>
    </row>
    <row r="147" spans="1:32" s="26" customFormat="1">
      <c r="A147" s="3" t="str">
        <f>'Debt_Qtr '!A147</f>
        <v>2.2% due Oct 2022</v>
      </c>
      <c r="B147" s="43"/>
      <c r="C147" s="43"/>
      <c r="D147" s="43"/>
      <c r="E147" s="43"/>
      <c r="F147" s="43"/>
      <c r="G147" s="43"/>
      <c r="H147" s="43"/>
      <c r="I147" s="43"/>
      <c r="J147" s="43"/>
      <c r="K147" s="43"/>
      <c r="L147" s="43"/>
      <c r="M147" s="43"/>
      <c r="N147" s="43"/>
      <c r="O147" s="43"/>
      <c r="P147" s="43"/>
      <c r="Q147" s="43"/>
      <c r="R147" s="43"/>
      <c r="S147" s="38">
        <f>'Debt_Qtr '!P147</f>
        <v>5.5</v>
      </c>
      <c r="T147" s="38">
        <f>'Debt_Qtr '!U147</f>
        <v>5.5</v>
      </c>
      <c r="U147" s="38">
        <f>'Debt_Qtr '!Z147</f>
        <v>5.5</v>
      </c>
      <c r="V147" s="38">
        <f>'Debt_Qtr '!AE147</f>
        <v>5.5</v>
      </c>
      <c r="W147" s="38">
        <f>'Debt_Qtr '!AJ147</f>
        <v>5.5</v>
      </c>
      <c r="X147" s="38">
        <f>'Debt_Qtr '!AO147</f>
        <v>4.8125</v>
      </c>
      <c r="Y147" s="38">
        <f>'Debt_Qtr '!AT147</f>
        <v>0</v>
      </c>
      <c r="Z147" s="38">
        <f>'Debt_Qtr '!AY147</f>
        <v>0</v>
      </c>
      <c r="AA147" s="38">
        <f>'Debt_Qtr '!BD147</f>
        <v>0</v>
      </c>
      <c r="AB147" s="38">
        <f>'Debt_Qtr '!BI147</f>
        <v>0</v>
      </c>
      <c r="AC147" s="23">
        <f t="shared" si="19"/>
        <v>0</v>
      </c>
      <c r="AD147" s="23">
        <f t="shared" si="19"/>
        <v>0</v>
      </c>
      <c r="AE147" s="23">
        <f t="shared" si="19"/>
        <v>0</v>
      </c>
      <c r="AF147" s="23">
        <f t="shared" si="19"/>
        <v>0</v>
      </c>
    </row>
    <row r="148" spans="1:32" s="26" customFormat="1">
      <c r="A148" s="3" t="str">
        <f>'Debt_Qtr '!A148</f>
        <v>2.25% due June 2026</v>
      </c>
      <c r="B148" s="43"/>
      <c r="C148" s="43"/>
      <c r="D148" s="43"/>
      <c r="E148" s="43"/>
      <c r="F148" s="43"/>
      <c r="G148" s="43"/>
      <c r="H148" s="43"/>
      <c r="I148" s="43"/>
      <c r="J148" s="43"/>
      <c r="K148" s="43"/>
      <c r="L148" s="43"/>
      <c r="M148" s="43"/>
      <c r="N148" s="43"/>
      <c r="O148" s="43"/>
      <c r="P148" s="43"/>
      <c r="Q148" s="43"/>
      <c r="R148" s="43"/>
      <c r="S148" s="38">
        <f>'Debt_Qtr '!P148</f>
        <v>9</v>
      </c>
      <c r="T148" s="38">
        <f>'Debt_Qtr '!U148</f>
        <v>9</v>
      </c>
      <c r="U148" s="38">
        <f>'Debt_Qtr '!Z148</f>
        <v>9</v>
      </c>
      <c r="V148" s="38">
        <f>'Debt_Qtr '!AE148</f>
        <v>9</v>
      </c>
      <c r="W148" s="38">
        <f>'Debt_Qtr '!AJ148</f>
        <v>9</v>
      </c>
      <c r="X148" s="38">
        <f>'Debt_Qtr '!AO148</f>
        <v>9</v>
      </c>
      <c r="Y148" s="38">
        <f>'Debt_Qtr '!AT148</f>
        <v>9</v>
      </c>
      <c r="Z148" s="38">
        <f>'Debt_Qtr '!AY148</f>
        <v>9</v>
      </c>
      <c r="AA148" s="38">
        <f>'Debt_Qtr '!BD148</f>
        <v>9</v>
      </c>
      <c r="AB148" s="38">
        <f>'Debt_Qtr '!BI148</f>
        <v>5.625</v>
      </c>
      <c r="AC148" s="23">
        <f t="shared" si="19"/>
        <v>0</v>
      </c>
      <c r="AD148" s="23">
        <f t="shared" si="19"/>
        <v>0</v>
      </c>
      <c r="AE148" s="23">
        <f t="shared" si="19"/>
        <v>0</v>
      </c>
      <c r="AF148" s="23">
        <f t="shared" si="19"/>
        <v>0</v>
      </c>
    </row>
    <row r="149" spans="1:32" s="26" customFormat="1">
      <c r="A149" s="3" t="str">
        <f>'Debt_Qtr '!A149</f>
        <v>2.3% due Aug 2021</v>
      </c>
      <c r="B149" s="43"/>
      <c r="C149" s="43"/>
      <c r="D149" s="43"/>
      <c r="E149" s="43"/>
      <c r="F149" s="43"/>
      <c r="G149" s="43"/>
      <c r="H149" s="43"/>
      <c r="I149" s="43"/>
      <c r="J149" s="43"/>
      <c r="K149" s="43"/>
      <c r="L149" s="43"/>
      <c r="M149" s="43"/>
      <c r="N149" s="43"/>
      <c r="O149" s="43"/>
      <c r="P149" s="43"/>
      <c r="Q149" s="43"/>
      <c r="R149" s="43"/>
      <c r="S149" s="38">
        <f>'Debt_Qtr '!P149</f>
        <v>0</v>
      </c>
      <c r="T149" s="38">
        <f>'Debt_Qtr '!U149</f>
        <v>0</v>
      </c>
      <c r="U149" s="38">
        <f>'Debt_Qtr '!Z149</f>
        <v>6.46875</v>
      </c>
      <c r="V149" s="38">
        <f>'Debt_Qtr '!AE149</f>
        <v>17.25</v>
      </c>
      <c r="W149" s="38">
        <f>'Debt_Qtr '!AJ149</f>
        <v>10.78125</v>
      </c>
      <c r="X149" s="38">
        <f>'Debt_Qtr '!AO149</f>
        <v>0</v>
      </c>
      <c r="Y149" s="38">
        <f>'Debt_Qtr '!AT149</f>
        <v>0</v>
      </c>
      <c r="Z149" s="38">
        <f>'Debt_Qtr '!AY149</f>
        <v>0</v>
      </c>
      <c r="AA149" s="38">
        <f>'Debt_Qtr '!BD149</f>
        <v>0</v>
      </c>
      <c r="AB149" s="38">
        <f>'Debt_Qtr '!BI149</f>
        <v>0</v>
      </c>
      <c r="AC149" s="23">
        <f t="shared" si="19"/>
        <v>0</v>
      </c>
      <c r="AD149" s="23">
        <f t="shared" si="19"/>
        <v>0</v>
      </c>
      <c r="AE149" s="23">
        <f t="shared" si="19"/>
        <v>0</v>
      </c>
      <c r="AF149" s="23">
        <f t="shared" si="19"/>
        <v>0</v>
      </c>
    </row>
    <row r="150" spans="1:32" s="26" customFormat="1">
      <c r="A150" s="3" t="str">
        <f>'Debt_Qtr '!A150</f>
        <v>2.35% due Oct 2021</v>
      </c>
      <c r="B150" s="43"/>
      <c r="C150" s="43"/>
      <c r="D150" s="43"/>
      <c r="E150" s="43"/>
      <c r="F150" s="43"/>
      <c r="G150" s="43"/>
      <c r="H150" s="43"/>
      <c r="I150" s="43"/>
      <c r="J150" s="43"/>
      <c r="K150" s="43"/>
      <c r="L150" s="43"/>
      <c r="M150" s="43"/>
      <c r="N150" s="43"/>
      <c r="O150" s="43"/>
      <c r="P150" s="43"/>
      <c r="Q150" s="43"/>
      <c r="R150" s="43"/>
      <c r="S150" s="38">
        <f>'Debt_Qtr '!P150</f>
        <v>7.05</v>
      </c>
      <c r="T150" s="38">
        <f>'Debt_Qtr '!U150</f>
        <v>7.05</v>
      </c>
      <c r="U150" s="38">
        <f>'Debt_Qtr '!Z150</f>
        <v>7.05</v>
      </c>
      <c r="V150" s="38">
        <f>'Debt_Qtr '!AE150</f>
        <v>7.05</v>
      </c>
      <c r="W150" s="38">
        <f>'Debt_Qtr '!AJ150</f>
        <v>6.1687499999999993</v>
      </c>
      <c r="X150" s="38">
        <f>'Debt_Qtr '!AO150</f>
        <v>0</v>
      </c>
      <c r="Y150" s="38">
        <f>'Debt_Qtr '!AT150</f>
        <v>0</v>
      </c>
      <c r="Z150" s="38">
        <f>'Debt_Qtr '!AY150</f>
        <v>0</v>
      </c>
      <c r="AA150" s="38">
        <f>'Debt_Qtr '!BD150</f>
        <v>0</v>
      </c>
      <c r="AB150" s="38">
        <f>'Debt_Qtr '!BI150</f>
        <v>0</v>
      </c>
      <c r="AC150" s="23">
        <f t="shared" si="19"/>
        <v>0</v>
      </c>
      <c r="AD150" s="23">
        <f t="shared" si="19"/>
        <v>0</v>
      </c>
      <c r="AE150" s="23">
        <f t="shared" si="19"/>
        <v>0</v>
      </c>
      <c r="AF150" s="23">
        <f t="shared" si="19"/>
        <v>0</v>
      </c>
    </row>
    <row r="151" spans="1:32" s="26" customFormat="1">
      <c r="A151" s="3" t="str">
        <f>'Debt_Qtr '!A151</f>
        <v>2.5% due Mar 2025</v>
      </c>
      <c r="B151" s="43"/>
      <c r="C151" s="43"/>
      <c r="D151" s="43"/>
      <c r="E151" s="43"/>
      <c r="F151" s="43"/>
      <c r="G151" s="43"/>
      <c r="H151" s="43"/>
      <c r="I151" s="43"/>
      <c r="J151" s="43"/>
      <c r="K151" s="43"/>
      <c r="L151" s="43"/>
      <c r="M151" s="43"/>
      <c r="N151" s="43"/>
      <c r="O151" s="43"/>
      <c r="P151" s="43"/>
      <c r="Q151" s="43"/>
      <c r="R151" s="43"/>
      <c r="S151" s="38">
        <f>'Debt_Qtr '!P151</f>
        <v>6.25</v>
      </c>
      <c r="T151" s="38">
        <f>'Debt_Qtr '!U151</f>
        <v>6.25</v>
      </c>
      <c r="U151" s="38">
        <f>'Debt_Qtr '!Z151</f>
        <v>6.25</v>
      </c>
      <c r="V151" s="38">
        <f>'Debt_Qtr '!AE151</f>
        <v>6.25</v>
      </c>
      <c r="W151" s="38">
        <f>'Debt_Qtr '!AJ151</f>
        <v>6.25</v>
      </c>
      <c r="X151" s="38">
        <f>'Debt_Qtr '!AO151</f>
        <v>6.25</v>
      </c>
      <c r="Y151" s="38">
        <f>'Debt_Qtr '!AT151</f>
        <v>6.25</v>
      </c>
      <c r="Z151" s="38">
        <f>'Debt_Qtr '!AY151</f>
        <v>6.25</v>
      </c>
      <c r="AA151" s="38">
        <f>'Debt_Qtr '!BD151</f>
        <v>6.25</v>
      </c>
      <c r="AB151" s="38">
        <f>'Debt_Qtr '!BI151</f>
        <v>0.78125</v>
      </c>
      <c r="AC151" s="23">
        <f t="shared" si="19"/>
        <v>0</v>
      </c>
      <c r="AD151" s="23">
        <f t="shared" si="19"/>
        <v>0</v>
      </c>
      <c r="AE151" s="23">
        <f t="shared" si="19"/>
        <v>0</v>
      </c>
      <c r="AF151" s="23">
        <f t="shared" si="19"/>
        <v>0</v>
      </c>
    </row>
    <row r="152" spans="1:32" s="26" customFormat="1">
      <c r="A152" s="3" t="str">
        <f>'Debt_Qtr '!A152</f>
        <v>2.6% due Oct 2025</v>
      </c>
      <c r="B152" s="43"/>
      <c r="C152" s="43"/>
      <c r="D152" s="43"/>
      <c r="E152" s="43"/>
      <c r="F152" s="43"/>
      <c r="G152" s="43"/>
      <c r="H152" s="43"/>
      <c r="I152" s="43"/>
      <c r="J152" s="43"/>
      <c r="K152" s="43"/>
      <c r="L152" s="43"/>
      <c r="M152" s="43"/>
      <c r="N152" s="43"/>
      <c r="O152" s="43"/>
      <c r="P152" s="43"/>
      <c r="Q152" s="43"/>
      <c r="R152" s="43"/>
      <c r="S152" s="38">
        <f>'Debt_Qtr '!P152</f>
        <v>7.8</v>
      </c>
      <c r="T152" s="38">
        <f>'Debt_Qtr '!U152</f>
        <v>7.8</v>
      </c>
      <c r="U152" s="38">
        <f>'Debt_Qtr '!Z152</f>
        <v>7.8</v>
      </c>
      <c r="V152" s="38">
        <f>'Debt_Qtr '!AE152</f>
        <v>7.8</v>
      </c>
      <c r="W152" s="38">
        <f>'Debt_Qtr '!AJ152</f>
        <v>7.8</v>
      </c>
      <c r="X152" s="38">
        <f>'Debt_Qtr '!AO152</f>
        <v>7.8</v>
      </c>
      <c r="Y152" s="38">
        <f>'Debt_Qtr '!AT152</f>
        <v>7.8</v>
      </c>
      <c r="Z152" s="38">
        <f>'Debt_Qtr '!AY152</f>
        <v>7.8</v>
      </c>
      <c r="AA152" s="38">
        <f>'Debt_Qtr '!BD152</f>
        <v>7.8</v>
      </c>
      <c r="AB152" s="38">
        <f>'Debt_Qtr '!BI152</f>
        <v>0.97499999999999998</v>
      </c>
      <c r="AC152" s="23">
        <f t="shared" si="19"/>
        <v>0</v>
      </c>
      <c r="AD152" s="23">
        <f t="shared" si="19"/>
        <v>0</v>
      </c>
      <c r="AE152" s="23">
        <f t="shared" si="19"/>
        <v>0</v>
      </c>
      <c r="AF152" s="23">
        <f t="shared" si="19"/>
        <v>0</v>
      </c>
    </row>
    <row r="153" spans="1:32" s="26" customFormat="1">
      <c r="A153" s="3" t="str">
        <f>'Debt_Qtr '!A153</f>
        <v>2.7% due Feb 2027</v>
      </c>
      <c r="B153" s="43"/>
      <c r="C153" s="43"/>
      <c r="D153" s="43"/>
      <c r="E153" s="43"/>
      <c r="F153" s="43"/>
      <c r="G153" s="43"/>
      <c r="H153" s="43"/>
      <c r="I153" s="43"/>
      <c r="J153" s="43"/>
      <c r="K153" s="43"/>
      <c r="L153" s="43"/>
      <c r="M153" s="43"/>
      <c r="N153" s="43"/>
      <c r="O153" s="43"/>
      <c r="P153" s="43"/>
      <c r="Q153" s="43"/>
      <c r="R153" s="43"/>
      <c r="S153" s="38">
        <f>'Debt_Qtr '!P153</f>
        <v>0</v>
      </c>
      <c r="T153" s="38">
        <f>'Debt_Qtr '!U153</f>
        <v>0</v>
      </c>
      <c r="U153" s="38">
        <f>'Debt_Qtr '!Z153</f>
        <v>10.125</v>
      </c>
      <c r="V153" s="38">
        <f>'Debt_Qtr '!AE153</f>
        <v>27</v>
      </c>
      <c r="W153" s="38">
        <f>'Debt_Qtr '!AJ153</f>
        <v>27</v>
      </c>
      <c r="X153" s="38">
        <f>'Debt_Qtr '!AO153</f>
        <v>27</v>
      </c>
      <c r="Y153" s="38">
        <f>'Debt_Qtr '!AT153</f>
        <v>27</v>
      </c>
      <c r="Z153" s="38">
        <f>'Debt_Qtr '!AY153</f>
        <v>27</v>
      </c>
      <c r="AA153" s="38">
        <f>'Debt_Qtr '!BD153</f>
        <v>27</v>
      </c>
      <c r="AB153" s="38">
        <f>'Debt_Qtr '!BI153</f>
        <v>27</v>
      </c>
      <c r="AC153" s="23">
        <f t="shared" si="19"/>
        <v>27</v>
      </c>
      <c r="AD153" s="23">
        <f t="shared" si="19"/>
        <v>27</v>
      </c>
      <c r="AE153" s="23">
        <f t="shared" si="19"/>
        <v>27</v>
      </c>
      <c r="AF153" s="23">
        <f t="shared" si="19"/>
        <v>27</v>
      </c>
    </row>
    <row r="154" spans="1:32" s="26" customFormat="1">
      <c r="A154" s="3" t="str">
        <f>'Debt_Qtr '!A154</f>
        <v>2.7% due May 2022</v>
      </c>
      <c r="B154" s="43"/>
      <c r="C154" s="43"/>
      <c r="D154" s="43"/>
      <c r="E154" s="43"/>
      <c r="F154" s="43"/>
      <c r="G154" s="43"/>
      <c r="H154" s="43"/>
      <c r="I154" s="43"/>
      <c r="J154" s="43"/>
      <c r="K154" s="43"/>
      <c r="L154" s="43"/>
      <c r="M154" s="43"/>
      <c r="N154" s="43"/>
      <c r="O154" s="43"/>
      <c r="P154" s="43"/>
      <c r="Q154" s="43"/>
      <c r="R154" s="43"/>
      <c r="S154" s="38">
        <f>'Debt_Qtr '!P154</f>
        <v>0</v>
      </c>
      <c r="T154" s="38">
        <f>'Debt_Qtr '!U154</f>
        <v>0</v>
      </c>
      <c r="U154" s="38">
        <f>'Debt_Qtr '!Z154</f>
        <v>10.125</v>
      </c>
      <c r="V154" s="38">
        <f>'Debt_Qtr '!AE154</f>
        <v>16.2</v>
      </c>
      <c r="W154" s="38">
        <f>'Debt_Qtr '!AJ154</f>
        <v>16.2</v>
      </c>
      <c r="X154" s="38">
        <f>'Debt_Qtr '!AO154</f>
        <v>6.0749999999999993</v>
      </c>
      <c r="Y154" s="38">
        <f>'Debt_Qtr '!AT154</f>
        <v>0</v>
      </c>
      <c r="Z154" s="38">
        <f>'Debt_Qtr '!AY154</f>
        <v>0</v>
      </c>
      <c r="AA154" s="38">
        <f>'Debt_Qtr '!BD154</f>
        <v>0</v>
      </c>
      <c r="AB154" s="38">
        <f>'Debt_Qtr '!BI154</f>
        <v>0</v>
      </c>
      <c r="AC154" s="23">
        <f t="shared" si="19"/>
        <v>0</v>
      </c>
      <c r="AD154" s="23">
        <f t="shared" si="19"/>
        <v>0</v>
      </c>
      <c r="AE154" s="23">
        <f t="shared" si="19"/>
        <v>0</v>
      </c>
      <c r="AF154" s="23">
        <f t="shared" si="19"/>
        <v>0</v>
      </c>
    </row>
    <row r="155" spans="1:32" s="26" customFormat="1">
      <c r="A155" s="3" t="str">
        <f>'Debt_Qtr '!A155</f>
        <v>2.8% due March 2024</v>
      </c>
      <c r="B155" s="43"/>
      <c r="C155" s="43"/>
      <c r="D155" s="43"/>
      <c r="E155" s="43"/>
      <c r="F155" s="43"/>
      <c r="G155" s="43"/>
      <c r="H155" s="43"/>
      <c r="I155" s="43"/>
      <c r="J155" s="43"/>
      <c r="K155" s="43"/>
      <c r="L155" s="43"/>
      <c r="M155" s="43"/>
      <c r="N155" s="43"/>
      <c r="O155" s="43"/>
      <c r="P155" s="43"/>
      <c r="Q155" s="43"/>
      <c r="R155" s="43"/>
      <c r="S155" s="38">
        <f>'Debt_Qtr '!P155</f>
        <v>0</v>
      </c>
      <c r="T155" s="38">
        <f>'Debt_Qtr '!U155</f>
        <v>0</v>
      </c>
      <c r="U155" s="38">
        <f>'Debt_Qtr '!Z155</f>
        <v>9.8000000000000007</v>
      </c>
      <c r="V155" s="38">
        <f>'Debt_Qtr '!AE155</f>
        <v>11.200000000000001</v>
      </c>
      <c r="W155" s="38">
        <f>'Debt_Qtr '!AJ155</f>
        <v>11.200000000000001</v>
      </c>
      <c r="X155" s="38">
        <f>'Debt_Qtr '!AO155</f>
        <v>11.200000000000001</v>
      </c>
      <c r="Y155" s="38">
        <f>'Debt_Qtr '!AT155</f>
        <v>11.200000000000001</v>
      </c>
      <c r="Z155" s="38">
        <f>'Debt_Qtr '!AY155</f>
        <v>1.4000000000000001</v>
      </c>
      <c r="AA155" s="38">
        <f>'Debt_Qtr '!BD155</f>
        <v>0</v>
      </c>
      <c r="AB155" s="38">
        <f>'Debt_Qtr '!BI155</f>
        <v>0</v>
      </c>
      <c r="AC155" s="23">
        <f t="shared" si="19"/>
        <v>0</v>
      </c>
      <c r="AD155" s="23">
        <f t="shared" si="19"/>
        <v>0</v>
      </c>
      <c r="AE155" s="23">
        <f t="shared" si="19"/>
        <v>0</v>
      </c>
      <c r="AF155" s="23">
        <f t="shared" si="19"/>
        <v>0</v>
      </c>
    </row>
    <row r="156" spans="1:32" s="26" customFormat="1">
      <c r="A156" s="3" t="str">
        <f>'Debt_Qtr '!A156</f>
        <v>1.167% notes due February 2023</v>
      </c>
      <c r="B156" s="43"/>
      <c r="C156" s="43"/>
      <c r="D156" s="43"/>
      <c r="E156" s="43"/>
      <c r="F156" s="43"/>
      <c r="G156" s="43"/>
      <c r="H156" s="43"/>
      <c r="I156" s="43"/>
      <c r="J156" s="43"/>
      <c r="K156" s="43"/>
      <c r="L156" s="43"/>
      <c r="M156" s="43"/>
      <c r="N156" s="43"/>
      <c r="O156" s="43"/>
      <c r="P156" s="43"/>
      <c r="Q156" s="43"/>
      <c r="R156" s="43"/>
      <c r="S156" s="38">
        <f>'Debt_Qtr '!P156</f>
        <v>0</v>
      </c>
      <c r="T156" s="38">
        <f>'Debt_Qtr '!U156</f>
        <v>0</v>
      </c>
      <c r="U156" s="38">
        <f>'Debt_Qtr '!Z156</f>
        <v>0</v>
      </c>
      <c r="V156" s="38">
        <f>'Debt_Qtr '!AE156</f>
        <v>0</v>
      </c>
      <c r="W156" s="38">
        <f>'Debt_Qtr '!AJ156</f>
        <v>15.46275</v>
      </c>
      <c r="X156" s="38">
        <f>'Debt_Qtr '!AO156</f>
        <v>15.46275</v>
      </c>
      <c r="Y156" s="38">
        <f>'Debt_Qtr '!AT156</f>
        <v>1.93284375</v>
      </c>
      <c r="Z156" s="38">
        <f>'Debt_Qtr '!AY156</f>
        <v>0</v>
      </c>
      <c r="AA156" s="38">
        <f>'Debt_Qtr '!BD156</f>
        <v>0</v>
      </c>
      <c r="AB156" s="38">
        <f>'Debt_Qtr '!BI156</f>
        <v>0</v>
      </c>
      <c r="AC156" s="23">
        <f t="shared" si="19"/>
        <v>0</v>
      </c>
      <c r="AD156" s="23">
        <f t="shared" si="19"/>
        <v>0</v>
      </c>
      <c r="AE156" s="23">
        <f t="shared" si="19"/>
        <v>0</v>
      </c>
      <c r="AF156" s="23">
        <f t="shared" si="19"/>
        <v>0</v>
      </c>
    </row>
    <row r="157" spans="1:32" s="26" customFormat="1">
      <c r="A157" s="3" t="str">
        <f>'Debt_Qtr '!A157</f>
        <v>1.433% Notes due February 2024</v>
      </c>
      <c r="B157" s="43"/>
      <c r="C157" s="43"/>
      <c r="D157" s="43"/>
      <c r="E157" s="43"/>
      <c r="F157" s="43"/>
      <c r="G157" s="43"/>
      <c r="H157" s="43"/>
      <c r="I157" s="43"/>
      <c r="J157" s="43"/>
      <c r="K157" s="43"/>
      <c r="L157" s="43"/>
      <c r="M157" s="43"/>
      <c r="N157" s="43"/>
      <c r="O157" s="43"/>
      <c r="P157" s="43"/>
      <c r="Q157" s="43"/>
      <c r="R157" s="43"/>
      <c r="S157" s="38">
        <f>'Debt_Qtr '!P157</f>
        <v>0</v>
      </c>
      <c r="T157" s="38">
        <f>'Debt_Qtr '!U157</f>
        <v>0</v>
      </c>
      <c r="U157" s="38">
        <f>'Debt_Qtr '!Z157</f>
        <v>0</v>
      </c>
      <c r="V157" s="38">
        <f>'Debt_Qtr '!AE157</f>
        <v>0</v>
      </c>
      <c r="W157" s="38">
        <f>'Debt_Qtr '!AJ157</f>
        <v>42.99</v>
      </c>
      <c r="X157" s="38">
        <f>'Debt_Qtr '!AO157</f>
        <v>42.99</v>
      </c>
      <c r="Y157" s="38">
        <f>'Debt_Qtr '!AT157</f>
        <v>42.99</v>
      </c>
      <c r="Z157" s="38">
        <f>'Debt_Qtr '!AY157</f>
        <v>5.3737500000000002</v>
      </c>
      <c r="AA157" s="38">
        <f>'Debt_Qtr '!BD157</f>
        <v>0</v>
      </c>
      <c r="AB157" s="38">
        <f>'Debt_Qtr '!BI157</f>
        <v>0</v>
      </c>
      <c r="AC157" s="23">
        <f t="shared" si="19"/>
        <v>0</v>
      </c>
      <c r="AD157" s="23">
        <f t="shared" si="19"/>
        <v>0</v>
      </c>
      <c r="AE157" s="23">
        <f t="shared" si="19"/>
        <v>0</v>
      </c>
      <c r="AF157" s="23">
        <f t="shared" si="19"/>
        <v>0</v>
      </c>
    </row>
    <row r="158" spans="1:32" s="26" customFormat="1">
      <c r="A158" s="3" t="str">
        <f>'Debt_Qtr '!A158</f>
        <v>2.196% Notes due February 2026</v>
      </c>
      <c r="B158" s="43"/>
      <c r="C158" s="43"/>
      <c r="D158" s="43"/>
      <c r="E158" s="43"/>
      <c r="F158" s="43"/>
      <c r="G158" s="43"/>
      <c r="H158" s="43"/>
      <c r="I158" s="43"/>
      <c r="J158" s="43"/>
      <c r="K158" s="43"/>
      <c r="L158" s="43"/>
      <c r="M158" s="43"/>
      <c r="N158" s="43"/>
      <c r="O158" s="43"/>
      <c r="P158" s="43"/>
      <c r="Q158" s="43"/>
      <c r="R158" s="43"/>
      <c r="S158" s="38">
        <f>'Debt_Qtr '!P158</f>
        <v>0</v>
      </c>
      <c r="T158" s="38">
        <f>'Debt_Qtr '!U158</f>
        <v>0</v>
      </c>
      <c r="U158" s="38">
        <f>'Debt_Qtr '!Z158</f>
        <v>0</v>
      </c>
      <c r="V158" s="38">
        <f>'Debt_Qtr '!AE158</f>
        <v>0</v>
      </c>
      <c r="W158" s="38">
        <f>'Debt_Qtr '!AJ158</f>
        <v>120.78</v>
      </c>
      <c r="X158" s="38">
        <f>'Debt_Qtr '!AO158</f>
        <v>120.78</v>
      </c>
      <c r="Y158" s="38">
        <f>'Debt_Qtr '!AT158</f>
        <v>120.78</v>
      </c>
      <c r="Z158" s="38">
        <f>'Debt_Qtr '!AY158</f>
        <v>120.78</v>
      </c>
      <c r="AA158" s="38">
        <f>'Debt_Qtr '!BD158</f>
        <v>120.78</v>
      </c>
      <c r="AB158" s="38">
        <f>'Debt_Qtr '!BI158</f>
        <v>112.545</v>
      </c>
      <c r="AC158" s="23">
        <f t="shared" si="19"/>
        <v>60.39</v>
      </c>
      <c r="AD158" s="23">
        <f t="shared" si="19"/>
        <v>6.5880000000000001</v>
      </c>
      <c r="AE158" s="23">
        <f t="shared" si="19"/>
        <v>0</v>
      </c>
      <c r="AF158" s="23">
        <f t="shared" si="19"/>
        <v>0</v>
      </c>
    </row>
    <row r="159" spans="1:32" s="26" customFormat="1">
      <c r="A159" s="3" t="str">
        <f>'Debt_Qtr '!A159</f>
        <v>2.8% due March 2023</v>
      </c>
      <c r="B159" s="43"/>
      <c r="C159" s="43"/>
      <c r="D159" s="43"/>
      <c r="E159" s="43"/>
      <c r="F159" s="43"/>
      <c r="G159" s="43"/>
      <c r="H159" s="43"/>
      <c r="I159" s="43"/>
      <c r="J159" s="43"/>
      <c r="K159" s="43"/>
      <c r="L159" s="43"/>
      <c r="M159" s="43"/>
      <c r="N159" s="43"/>
      <c r="O159" s="43"/>
      <c r="P159" s="43"/>
      <c r="Q159" s="43"/>
      <c r="R159" s="43"/>
      <c r="S159" s="38">
        <f>'Debt_Qtr '!P159</f>
        <v>0</v>
      </c>
      <c r="T159" s="38">
        <f>'Debt_Qtr '!U159</f>
        <v>8.5749999999999993</v>
      </c>
      <c r="U159" s="38">
        <f>'Debt_Qtr '!Z159</f>
        <v>9.8000000000000007</v>
      </c>
      <c r="V159" s="38">
        <f>'Debt_Qtr '!AE159</f>
        <v>9.8000000000000007</v>
      </c>
      <c r="W159" s="38">
        <f>'Debt_Qtr '!AJ159</f>
        <v>9.8000000000000007</v>
      </c>
      <c r="X159" s="38">
        <f>'Debt_Qtr '!AO159</f>
        <v>9.8000000000000007</v>
      </c>
      <c r="Y159" s="38">
        <f>'Debt_Qtr '!AT159</f>
        <v>1.2250000000000001</v>
      </c>
      <c r="Z159" s="38">
        <f>'Debt_Qtr '!AY159</f>
        <v>0</v>
      </c>
      <c r="AA159" s="38">
        <f>'Debt_Qtr '!BD159</f>
        <v>0</v>
      </c>
      <c r="AB159" s="38">
        <f>'Debt_Qtr '!BI159</f>
        <v>0</v>
      </c>
      <c r="AC159" s="23">
        <f t="shared" si="19"/>
        <v>0</v>
      </c>
      <c r="AD159" s="23">
        <f t="shared" si="19"/>
        <v>0</v>
      </c>
      <c r="AE159" s="23">
        <f t="shared" si="19"/>
        <v>0</v>
      </c>
      <c r="AF159" s="23">
        <f t="shared" si="19"/>
        <v>0</v>
      </c>
    </row>
    <row r="160" spans="1:32" s="26" customFormat="1">
      <c r="A160" s="3" t="str">
        <f>'Debt_Qtr '!A160</f>
        <v>2.8% due March 2027</v>
      </c>
      <c r="B160" s="43"/>
      <c r="C160" s="43"/>
      <c r="D160" s="43"/>
      <c r="E160" s="43"/>
      <c r="F160" s="43"/>
      <c r="G160" s="43"/>
      <c r="H160" s="43"/>
      <c r="I160" s="43"/>
      <c r="J160" s="43"/>
      <c r="K160" s="43"/>
      <c r="L160" s="43"/>
      <c r="M160" s="43"/>
      <c r="N160" s="43"/>
      <c r="O160" s="43"/>
      <c r="P160" s="43"/>
      <c r="Q160" s="43"/>
      <c r="R160" s="43"/>
      <c r="S160" s="38">
        <f>'Debt_Qtr '!P160</f>
        <v>8.4</v>
      </c>
      <c r="T160" s="38">
        <f>'Debt_Qtr '!U160</f>
        <v>8.4</v>
      </c>
      <c r="U160" s="38">
        <f>'Debt_Qtr '!Z160</f>
        <v>8.4</v>
      </c>
      <c r="V160" s="38">
        <f>'Debt_Qtr '!AE160</f>
        <v>8.4</v>
      </c>
      <c r="W160" s="38">
        <f>'Debt_Qtr '!AJ160</f>
        <v>8.4</v>
      </c>
      <c r="X160" s="38">
        <f>'Debt_Qtr '!AO160</f>
        <v>8.4</v>
      </c>
      <c r="Y160" s="38">
        <f>'Debt_Qtr '!AT160</f>
        <v>8.4</v>
      </c>
      <c r="Z160" s="38">
        <f>'Debt_Qtr '!AY160</f>
        <v>8.4</v>
      </c>
      <c r="AA160" s="38">
        <f>'Debt_Qtr '!BD160</f>
        <v>8.4</v>
      </c>
      <c r="AB160" s="38">
        <f>'Debt_Qtr '!BI160</f>
        <v>8.4</v>
      </c>
      <c r="AC160" s="23">
        <f t="shared" si="19"/>
        <v>8.4</v>
      </c>
      <c r="AD160" s="23">
        <f t="shared" si="19"/>
        <v>8.4</v>
      </c>
      <c r="AE160" s="23">
        <f t="shared" si="19"/>
        <v>8.4</v>
      </c>
      <c r="AF160" s="23">
        <f t="shared" si="19"/>
        <v>8.4</v>
      </c>
    </row>
    <row r="161" spans="1:32" s="26" customFormat="1">
      <c r="A161" s="3" t="str">
        <f>'Debt_Qtr '!A161</f>
        <v>2.85% due Oct 2024</v>
      </c>
      <c r="B161" s="43"/>
      <c r="C161" s="43"/>
      <c r="D161" s="43"/>
      <c r="E161" s="43"/>
      <c r="F161" s="43"/>
      <c r="G161" s="43"/>
      <c r="H161" s="43"/>
      <c r="I161" s="43"/>
      <c r="J161" s="43"/>
      <c r="K161" s="43"/>
      <c r="L161" s="43"/>
      <c r="M161" s="43"/>
      <c r="N161" s="43"/>
      <c r="O161" s="43"/>
      <c r="P161" s="43"/>
      <c r="Q161" s="43"/>
      <c r="R161" s="43"/>
      <c r="S161" s="38">
        <f>'Debt_Qtr '!P161</f>
        <v>8.5500000000000007</v>
      </c>
      <c r="T161" s="38">
        <f>'Debt_Qtr '!U161</f>
        <v>8.5500000000000007</v>
      </c>
      <c r="U161" s="38">
        <f>'Debt_Qtr '!Z161</f>
        <v>8.5500000000000007</v>
      </c>
      <c r="V161" s="38">
        <f>'Debt_Qtr '!AE161</f>
        <v>8.5500000000000007</v>
      </c>
      <c r="W161" s="38">
        <f>'Debt_Qtr '!AJ161</f>
        <v>8.5500000000000007</v>
      </c>
      <c r="X161" s="38">
        <f>'Debt_Qtr '!AO161</f>
        <v>8.5500000000000007</v>
      </c>
      <c r="Y161" s="38">
        <f>'Debt_Qtr '!AT161</f>
        <v>8.5500000000000007</v>
      </c>
      <c r="Z161" s="38">
        <f>'Debt_Qtr '!AY161</f>
        <v>7.4812500000000011</v>
      </c>
      <c r="AA161" s="38">
        <f>'Debt_Qtr '!BD161</f>
        <v>0</v>
      </c>
      <c r="AB161" s="38">
        <f>'Debt_Qtr '!BI161</f>
        <v>0</v>
      </c>
      <c r="AC161" s="23">
        <f t="shared" si="19"/>
        <v>0</v>
      </c>
      <c r="AD161" s="23">
        <f t="shared" si="19"/>
        <v>0</v>
      </c>
      <c r="AE161" s="23">
        <f t="shared" si="19"/>
        <v>0</v>
      </c>
      <c r="AF161" s="23">
        <f t="shared" si="19"/>
        <v>0</v>
      </c>
    </row>
    <row r="162" spans="1:32" s="26" customFormat="1">
      <c r="A162" s="3" t="str">
        <f>'Debt_Qtr '!A162</f>
        <v>2.95% due Feb 2030</v>
      </c>
      <c r="B162" s="43"/>
      <c r="C162" s="43"/>
      <c r="D162" s="43"/>
      <c r="E162" s="43"/>
      <c r="F162" s="43"/>
      <c r="G162" s="43"/>
      <c r="H162" s="43"/>
      <c r="I162" s="43"/>
      <c r="J162" s="43"/>
      <c r="K162" s="43"/>
      <c r="L162" s="43"/>
      <c r="M162" s="43"/>
      <c r="N162" s="43"/>
      <c r="O162" s="43"/>
      <c r="P162" s="43"/>
      <c r="Q162" s="43"/>
      <c r="R162" s="43"/>
      <c r="S162" s="38">
        <f>'Debt_Qtr '!P162</f>
        <v>0</v>
      </c>
      <c r="T162" s="38">
        <f>'Debt_Qtr '!U162</f>
        <v>0</v>
      </c>
      <c r="U162" s="38">
        <f>'Debt_Qtr '!Z162</f>
        <v>8.296875</v>
      </c>
      <c r="V162" s="38">
        <f>'Debt_Qtr '!AE162</f>
        <v>22.125</v>
      </c>
      <c r="W162" s="38">
        <f>'Debt_Qtr '!AJ162</f>
        <v>22.125</v>
      </c>
      <c r="X162" s="38">
        <f>'Debt_Qtr '!AO162</f>
        <v>22.125</v>
      </c>
      <c r="Y162" s="38">
        <f>'Debt_Qtr '!AT162</f>
        <v>22.125</v>
      </c>
      <c r="Z162" s="38">
        <f>'Debt_Qtr '!AY162</f>
        <v>22.125</v>
      </c>
      <c r="AA162" s="38">
        <f>'Debt_Qtr '!BD162</f>
        <v>22.125</v>
      </c>
      <c r="AB162" s="38">
        <f>'Debt_Qtr '!BI162</f>
        <v>22.125</v>
      </c>
      <c r="AC162" s="23">
        <f t="shared" si="19"/>
        <v>22.125</v>
      </c>
      <c r="AD162" s="23">
        <f t="shared" si="19"/>
        <v>22.125</v>
      </c>
      <c r="AE162" s="23">
        <f t="shared" si="19"/>
        <v>22.125</v>
      </c>
      <c r="AF162" s="23">
        <f t="shared" si="19"/>
        <v>22.125</v>
      </c>
    </row>
    <row r="163" spans="1:32" s="26" customFormat="1">
      <c r="A163" s="3" t="str">
        <f>'Debt_Qtr '!A163</f>
        <v>3.1% due May 2026</v>
      </c>
      <c r="B163" s="43"/>
      <c r="C163" s="43"/>
      <c r="D163" s="43"/>
      <c r="E163" s="43"/>
      <c r="F163" s="43"/>
      <c r="G163" s="43"/>
      <c r="H163" s="43"/>
      <c r="I163" s="43"/>
      <c r="J163" s="43"/>
      <c r="K163" s="43"/>
      <c r="L163" s="43"/>
      <c r="M163" s="43"/>
      <c r="N163" s="43"/>
      <c r="O163" s="43"/>
      <c r="P163" s="43"/>
      <c r="Q163" s="43"/>
      <c r="R163" s="43"/>
      <c r="S163" s="38">
        <f>'Debt_Qtr '!P163</f>
        <v>0</v>
      </c>
      <c r="T163" s="38">
        <f>'Debt_Qtr '!U163</f>
        <v>0</v>
      </c>
      <c r="U163" s="38">
        <f>'Debt_Qtr '!Z163</f>
        <v>12.59375</v>
      </c>
      <c r="V163" s="38">
        <f>'Debt_Qtr '!AE163</f>
        <v>20.149999999999999</v>
      </c>
      <c r="W163" s="38">
        <f>'Debt_Qtr '!AJ163</f>
        <v>20.149999999999999</v>
      </c>
      <c r="X163" s="38">
        <f>'Debt_Qtr '!AO163</f>
        <v>20.149999999999999</v>
      </c>
      <c r="Y163" s="38">
        <f>'Debt_Qtr '!AT163</f>
        <v>20.149999999999999</v>
      </c>
      <c r="Z163" s="38">
        <f>'Debt_Qtr '!AY163</f>
        <v>20.149999999999999</v>
      </c>
      <c r="AA163" s="38">
        <f>'Debt_Qtr '!BD163</f>
        <v>20.149999999999999</v>
      </c>
      <c r="AB163" s="38">
        <f>'Debt_Qtr '!BI163</f>
        <v>12.59375</v>
      </c>
      <c r="AC163" s="23">
        <f t="shared" si="19"/>
        <v>0</v>
      </c>
      <c r="AD163" s="23">
        <f t="shared" si="19"/>
        <v>0</v>
      </c>
      <c r="AE163" s="23">
        <f t="shared" si="19"/>
        <v>0</v>
      </c>
      <c r="AF163" s="23">
        <f t="shared" si="19"/>
        <v>0</v>
      </c>
    </row>
    <row r="164" spans="1:32" s="26" customFormat="1">
      <c r="A164" s="3" t="str">
        <f>'Debt_Qtr '!A164</f>
        <v>3.2% due March 2029</v>
      </c>
      <c r="B164" s="43"/>
      <c r="C164" s="43"/>
      <c r="D164" s="43"/>
      <c r="E164" s="43"/>
      <c r="F164" s="43"/>
      <c r="G164" s="43"/>
      <c r="H164" s="43"/>
      <c r="I164" s="43"/>
      <c r="J164" s="43"/>
      <c r="K164" s="43"/>
      <c r="L164" s="43"/>
      <c r="M164" s="43"/>
      <c r="N164" s="43"/>
      <c r="O164" s="43"/>
      <c r="P164" s="43"/>
      <c r="Q164" s="43"/>
      <c r="R164" s="43"/>
      <c r="S164" s="38">
        <f>'Debt_Qtr '!P164</f>
        <v>0</v>
      </c>
      <c r="T164" s="38">
        <f>'Debt_Qtr '!U164</f>
        <v>0</v>
      </c>
      <c r="U164" s="38">
        <f>'Debt_Qtr '!Z164</f>
        <v>23.200000000000003</v>
      </c>
      <c r="V164" s="38">
        <f>'Debt_Qtr '!AE164</f>
        <v>32</v>
      </c>
      <c r="W164" s="38">
        <f>'Debt_Qtr '!AJ164</f>
        <v>32</v>
      </c>
      <c r="X164" s="38">
        <f>'Debt_Qtr '!AO164</f>
        <v>32</v>
      </c>
      <c r="Y164" s="38">
        <f>'Debt_Qtr '!AT164</f>
        <v>32</v>
      </c>
      <c r="Z164" s="38">
        <f>'Debt_Qtr '!AY164</f>
        <v>32</v>
      </c>
      <c r="AA164" s="38">
        <f>'Debt_Qtr '!BD164</f>
        <v>32</v>
      </c>
      <c r="AB164" s="38">
        <f>'Debt_Qtr '!BI164</f>
        <v>32</v>
      </c>
      <c r="AC164" s="23">
        <f t="shared" si="19"/>
        <v>32</v>
      </c>
      <c r="AD164" s="23">
        <f t="shared" si="19"/>
        <v>32</v>
      </c>
      <c r="AE164" s="23">
        <f t="shared" si="19"/>
        <v>32</v>
      </c>
      <c r="AF164" s="23">
        <f t="shared" si="19"/>
        <v>32</v>
      </c>
    </row>
    <row r="165" spans="1:32" s="26" customFormat="1">
      <c r="A165" s="3" t="str">
        <f>'Debt_Qtr '!A165</f>
        <v>3.25% due Feb 2035</v>
      </c>
      <c r="B165" s="43"/>
      <c r="C165" s="43"/>
      <c r="D165" s="43"/>
      <c r="E165" s="43"/>
      <c r="F165" s="43"/>
      <c r="G165" s="43"/>
      <c r="H165" s="43"/>
      <c r="I165" s="43"/>
      <c r="J165" s="43"/>
      <c r="K165" s="43"/>
      <c r="L165" s="43"/>
      <c r="M165" s="43"/>
      <c r="N165" s="43"/>
      <c r="O165" s="43"/>
      <c r="P165" s="43"/>
      <c r="Q165" s="43"/>
      <c r="R165" s="43"/>
      <c r="S165" s="38">
        <f>'Debt_Qtr '!P165</f>
        <v>0</v>
      </c>
      <c r="T165" s="38">
        <f>'Debt_Qtr '!U165</f>
        <v>0</v>
      </c>
      <c r="U165" s="38">
        <f>'Debt_Qtr '!Z165</f>
        <v>9.140625</v>
      </c>
      <c r="V165" s="38">
        <f>'Debt_Qtr '!AE165</f>
        <v>24.375</v>
      </c>
      <c r="W165" s="38">
        <f>'Debt_Qtr '!AJ165</f>
        <v>24.375</v>
      </c>
      <c r="X165" s="38">
        <f>'Debt_Qtr '!AO165</f>
        <v>24.375</v>
      </c>
      <c r="Y165" s="38">
        <f>'Debt_Qtr '!AT165</f>
        <v>24.375</v>
      </c>
      <c r="Z165" s="38">
        <f>'Debt_Qtr '!AY165</f>
        <v>24.375</v>
      </c>
      <c r="AA165" s="38">
        <f>'Debt_Qtr '!BD165</f>
        <v>24.375</v>
      </c>
      <c r="AB165" s="38">
        <f>'Debt_Qtr '!BI165</f>
        <v>24.375</v>
      </c>
      <c r="AC165" s="23">
        <f t="shared" si="19"/>
        <v>24.375</v>
      </c>
      <c r="AD165" s="23">
        <f t="shared" si="19"/>
        <v>24.375</v>
      </c>
      <c r="AE165" s="23">
        <f t="shared" si="19"/>
        <v>24.375</v>
      </c>
      <c r="AF165" s="23">
        <f t="shared" si="19"/>
        <v>24.375</v>
      </c>
    </row>
    <row r="166" spans="1:32" s="26" customFormat="1">
      <c r="A166" s="3" t="str">
        <f>'Debt_Qtr '!A166</f>
        <v>3.25% due March 2028</v>
      </c>
      <c r="B166" s="43"/>
      <c r="C166" s="43"/>
      <c r="D166" s="43"/>
      <c r="E166" s="43"/>
      <c r="F166" s="43"/>
      <c r="G166" s="43"/>
      <c r="H166" s="43"/>
      <c r="I166" s="43"/>
      <c r="J166" s="43"/>
      <c r="K166" s="43"/>
      <c r="L166" s="43"/>
      <c r="M166" s="43"/>
      <c r="N166" s="43"/>
      <c r="O166" s="43"/>
      <c r="P166" s="43"/>
      <c r="Q166" s="43"/>
      <c r="R166" s="43"/>
      <c r="S166" s="38">
        <f>'Debt_Qtr '!P166</f>
        <v>0</v>
      </c>
      <c r="T166" s="38">
        <f>'Debt_Qtr '!U166</f>
        <v>9.953125</v>
      </c>
      <c r="U166" s="38">
        <f>'Debt_Qtr '!Z166</f>
        <v>11.375</v>
      </c>
      <c r="V166" s="38">
        <f>'Debt_Qtr '!AE166</f>
        <v>11.375</v>
      </c>
      <c r="W166" s="38">
        <f>'Debt_Qtr '!AJ166</f>
        <v>11.375</v>
      </c>
      <c r="X166" s="38">
        <f>'Debt_Qtr '!AO166</f>
        <v>11.375</v>
      </c>
      <c r="Y166" s="38">
        <f>'Debt_Qtr '!AT166</f>
        <v>11.375</v>
      </c>
      <c r="Z166" s="38">
        <f>'Debt_Qtr '!AY166</f>
        <v>11.375</v>
      </c>
      <c r="AA166" s="38">
        <f>'Debt_Qtr '!BD166</f>
        <v>11.375</v>
      </c>
      <c r="AB166" s="38">
        <f>'Debt_Qtr '!BI166</f>
        <v>11.375</v>
      </c>
      <c r="AC166" s="23">
        <f t="shared" si="19"/>
        <v>11.375</v>
      </c>
      <c r="AD166" s="23">
        <f t="shared" si="19"/>
        <v>11.375</v>
      </c>
      <c r="AE166" s="23">
        <f t="shared" si="19"/>
        <v>11.375</v>
      </c>
      <c r="AF166" s="23">
        <f t="shared" si="19"/>
        <v>11.375</v>
      </c>
    </row>
    <row r="167" spans="1:32" s="26" customFormat="1">
      <c r="A167" s="3" t="str">
        <f>'Debt_Qtr '!A167</f>
        <v>3.3% due March 2035</v>
      </c>
      <c r="B167" s="43"/>
      <c r="C167" s="43"/>
      <c r="D167" s="43"/>
      <c r="E167" s="43"/>
      <c r="F167" s="43"/>
      <c r="G167" s="43"/>
      <c r="H167" s="43"/>
      <c r="I167" s="43"/>
      <c r="J167" s="43"/>
      <c r="K167" s="43"/>
      <c r="L167" s="43"/>
      <c r="M167" s="43"/>
      <c r="N167" s="43"/>
      <c r="O167" s="43"/>
      <c r="P167" s="43"/>
      <c r="Q167" s="43"/>
      <c r="R167" s="43"/>
      <c r="S167" s="38">
        <f>'Debt_Qtr '!P167</f>
        <v>8.25</v>
      </c>
      <c r="T167" s="38">
        <f>'Debt_Qtr '!U167</f>
        <v>8.25</v>
      </c>
      <c r="U167" s="38">
        <f>'Debt_Qtr '!Z167</f>
        <v>8.25</v>
      </c>
      <c r="V167" s="38">
        <f>'Debt_Qtr '!AE167</f>
        <v>8.25</v>
      </c>
      <c r="W167" s="38">
        <f>'Debt_Qtr '!AJ167</f>
        <v>8.25</v>
      </c>
      <c r="X167" s="38">
        <f>'Debt_Qtr '!AO167</f>
        <v>8.25</v>
      </c>
      <c r="Y167" s="38">
        <f>'Debt_Qtr '!AT167</f>
        <v>8.25</v>
      </c>
      <c r="Z167" s="38">
        <f>'Debt_Qtr '!AY167</f>
        <v>8.25</v>
      </c>
      <c r="AA167" s="38">
        <f>'Debt_Qtr '!BD167</f>
        <v>8.25</v>
      </c>
      <c r="AB167" s="38">
        <f>'Debt_Qtr '!BI167</f>
        <v>8.25</v>
      </c>
      <c r="AC167" s="23">
        <f t="shared" si="19"/>
        <v>8.25</v>
      </c>
      <c r="AD167" s="23">
        <f t="shared" si="19"/>
        <v>8.25</v>
      </c>
      <c r="AE167" s="23">
        <f t="shared" si="19"/>
        <v>8.25</v>
      </c>
      <c r="AF167" s="23">
        <f t="shared" si="19"/>
        <v>8.25</v>
      </c>
    </row>
    <row r="168" spans="1:32" s="26" customFormat="1">
      <c r="A168" s="3" t="str">
        <f>'Debt_Qtr '!A168</f>
        <v>3.375% due June 2046</v>
      </c>
      <c r="B168" s="43"/>
      <c r="C168" s="43"/>
      <c r="D168" s="43"/>
      <c r="E168" s="43"/>
      <c r="F168" s="43"/>
      <c r="G168" s="43"/>
      <c r="H168" s="43"/>
      <c r="I168" s="43"/>
      <c r="J168" s="43"/>
      <c r="K168" s="43"/>
      <c r="L168" s="43"/>
      <c r="M168" s="43"/>
      <c r="N168" s="43"/>
      <c r="O168" s="43"/>
      <c r="P168" s="43"/>
      <c r="Q168" s="43"/>
      <c r="R168" s="43"/>
      <c r="S168" s="38">
        <f>'Debt_Qtr '!P168</f>
        <v>13.5</v>
      </c>
      <c r="T168" s="38">
        <f>'Debt_Qtr '!U168</f>
        <v>13.5</v>
      </c>
      <c r="U168" s="38">
        <f>'Debt_Qtr '!Z168</f>
        <v>13.5</v>
      </c>
      <c r="V168" s="38">
        <f>'Debt_Qtr '!AE168</f>
        <v>13.5</v>
      </c>
      <c r="W168" s="38">
        <f>'Debt_Qtr '!AJ168</f>
        <v>13.5</v>
      </c>
      <c r="X168" s="38">
        <f>'Debt_Qtr '!AO168</f>
        <v>13.5</v>
      </c>
      <c r="Y168" s="38">
        <f>'Debt_Qtr '!AT168</f>
        <v>13.5</v>
      </c>
      <c r="Z168" s="38">
        <f>'Debt_Qtr '!AY168</f>
        <v>13.5</v>
      </c>
      <c r="AA168" s="38">
        <f>'Debt_Qtr '!BD168</f>
        <v>13.5</v>
      </c>
      <c r="AB168" s="38">
        <f>'Debt_Qtr '!BI168</f>
        <v>13.5</v>
      </c>
      <c r="AC168" s="23">
        <f t="shared" si="19"/>
        <v>13.5</v>
      </c>
      <c r="AD168" s="23">
        <f t="shared" si="19"/>
        <v>13.5</v>
      </c>
      <c r="AE168" s="23">
        <f t="shared" si="19"/>
        <v>13.5</v>
      </c>
      <c r="AF168" s="23">
        <f t="shared" si="19"/>
        <v>13.5</v>
      </c>
    </row>
    <row r="169" spans="1:32" s="26" customFormat="1">
      <c r="A169" s="3" t="str">
        <f>'Debt_Qtr '!A169</f>
        <v>3.45% due Nov 2028</v>
      </c>
      <c r="B169" s="43"/>
      <c r="C169" s="43"/>
      <c r="D169" s="43"/>
      <c r="E169" s="43"/>
      <c r="F169" s="43"/>
      <c r="G169" s="43"/>
      <c r="H169" s="43"/>
      <c r="I169" s="43"/>
      <c r="J169" s="43"/>
      <c r="K169" s="43"/>
      <c r="L169" s="43"/>
      <c r="M169" s="43"/>
      <c r="N169" s="43"/>
      <c r="O169" s="43"/>
      <c r="P169" s="43"/>
      <c r="Q169" s="43"/>
      <c r="R169" s="43"/>
      <c r="S169" s="38">
        <f>'Debt_Qtr '!P169</f>
        <v>0</v>
      </c>
      <c r="T169" s="38">
        <f>'Debt_Qtr '!U169</f>
        <v>1.5093750000000001</v>
      </c>
      <c r="U169" s="38">
        <f>'Debt_Qtr '!Z169</f>
        <v>12.075000000000001</v>
      </c>
      <c r="V169" s="38">
        <f>'Debt_Qtr '!AE169</f>
        <v>12.075000000000001</v>
      </c>
      <c r="W169" s="38">
        <f>'Debt_Qtr '!AJ169</f>
        <v>12.075000000000001</v>
      </c>
      <c r="X169" s="38">
        <f>'Debt_Qtr '!AO169</f>
        <v>12.075000000000001</v>
      </c>
      <c r="Y169" s="38">
        <f>'Debt_Qtr '!AT169</f>
        <v>12.075000000000001</v>
      </c>
      <c r="Z169" s="38">
        <f>'Debt_Qtr '!AY169</f>
        <v>12.075000000000001</v>
      </c>
      <c r="AA169" s="38">
        <f>'Debt_Qtr '!BD169</f>
        <v>12.075000000000001</v>
      </c>
      <c r="AB169" s="38">
        <f>'Debt_Qtr '!BI169</f>
        <v>12.075000000000001</v>
      </c>
      <c r="AC169" s="23">
        <f t="shared" si="19"/>
        <v>12.075000000000001</v>
      </c>
      <c r="AD169" s="23">
        <f t="shared" si="19"/>
        <v>12.075000000000001</v>
      </c>
      <c r="AE169" s="23">
        <f t="shared" si="19"/>
        <v>12.075000000000001</v>
      </c>
      <c r="AF169" s="23">
        <f t="shared" si="19"/>
        <v>12.075000000000001</v>
      </c>
    </row>
    <row r="170" spans="1:32" s="26" customFormat="1">
      <c r="A170" s="3" t="str">
        <f>'Debt_Qtr '!A170</f>
        <v>3.5% due March 2039</v>
      </c>
      <c r="B170" s="43"/>
      <c r="C170" s="43"/>
      <c r="D170" s="43"/>
      <c r="E170" s="43"/>
      <c r="F170" s="43"/>
      <c r="G170" s="43"/>
      <c r="H170" s="43"/>
      <c r="I170" s="43"/>
      <c r="J170" s="43"/>
      <c r="K170" s="43"/>
      <c r="L170" s="43"/>
      <c r="M170" s="43"/>
      <c r="N170" s="43"/>
      <c r="O170" s="43"/>
      <c r="P170" s="43"/>
      <c r="Q170" s="43"/>
      <c r="R170" s="43"/>
      <c r="S170" s="38">
        <f>'Debt_Qtr '!P170</f>
        <v>0</v>
      </c>
      <c r="T170" s="38">
        <f>'Debt_Qtr '!U170</f>
        <v>0</v>
      </c>
      <c r="U170" s="38">
        <f>'Debt_Qtr '!Z170</f>
        <v>12.250000000000002</v>
      </c>
      <c r="V170" s="38">
        <f>'Debt_Qtr '!AE170</f>
        <v>14.000000000000002</v>
      </c>
      <c r="W170" s="38">
        <f>'Debt_Qtr '!AJ170</f>
        <v>14.000000000000002</v>
      </c>
      <c r="X170" s="38">
        <f>'Debt_Qtr '!AO170</f>
        <v>14.000000000000002</v>
      </c>
      <c r="Y170" s="38">
        <f>'Debt_Qtr '!AT170</f>
        <v>14.000000000000002</v>
      </c>
      <c r="Z170" s="38">
        <f>'Debt_Qtr '!AY170</f>
        <v>14.000000000000002</v>
      </c>
      <c r="AA170" s="38">
        <f>'Debt_Qtr '!BD170</f>
        <v>14.000000000000002</v>
      </c>
      <c r="AB170" s="38">
        <f>'Debt_Qtr '!BI170</f>
        <v>14.000000000000002</v>
      </c>
      <c r="AC170" s="23">
        <f t="shared" si="19"/>
        <v>14.000000000000002</v>
      </c>
      <c r="AD170" s="23">
        <f t="shared" si="19"/>
        <v>14.000000000000002</v>
      </c>
      <c r="AE170" s="23">
        <f t="shared" si="19"/>
        <v>14.000000000000002</v>
      </c>
      <c r="AF170" s="23">
        <f t="shared" si="19"/>
        <v>14.000000000000002</v>
      </c>
    </row>
    <row r="171" spans="1:32" s="26" customFormat="1">
      <c r="A171" s="3" t="str">
        <f>'Debt_Qtr '!A171</f>
        <v>3.5% due March 2045</v>
      </c>
      <c r="B171" s="43"/>
      <c r="C171" s="43"/>
      <c r="D171" s="43"/>
      <c r="E171" s="43"/>
      <c r="F171" s="43"/>
      <c r="G171" s="43"/>
      <c r="H171" s="43"/>
      <c r="I171" s="43"/>
      <c r="J171" s="43"/>
      <c r="K171" s="43"/>
      <c r="L171" s="43"/>
      <c r="M171" s="43"/>
      <c r="N171" s="43"/>
      <c r="O171" s="43"/>
      <c r="P171" s="43"/>
      <c r="Q171" s="43"/>
      <c r="R171" s="43"/>
      <c r="S171" s="38">
        <f>'Debt_Qtr '!P171</f>
        <v>8.75</v>
      </c>
      <c r="T171" s="38">
        <f>'Debt_Qtr '!U171</f>
        <v>8.75</v>
      </c>
      <c r="U171" s="38">
        <f>'Debt_Qtr '!Z171</f>
        <v>8.75</v>
      </c>
      <c r="V171" s="38">
        <f>'Debt_Qtr '!AE171</f>
        <v>8.75</v>
      </c>
      <c r="W171" s="38">
        <f>'Debt_Qtr '!AJ171</f>
        <v>8.75</v>
      </c>
      <c r="X171" s="38">
        <f>'Debt_Qtr '!AO171</f>
        <v>8.75</v>
      </c>
      <c r="Y171" s="38">
        <f>'Debt_Qtr '!AT171</f>
        <v>8.75</v>
      </c>
      <c r="Z171" s="38">
        <f>'Debt_Qtr '!AY171</f>
        <v>8.75</v>
      </c>
      <c r="AA171" s="38">
        <f>'Debt_Qtr '!BD171</f>
        <v>8.75</v>
      </c>
      <c r="AB171" s="38">
        <f>'Debt_Qtr '!BI171</f>
        <v>8.75</v>
      </c>
      <c r="AC171" s="23">
        <f t="shared" si="19"/>
        <v>8.75</v>
      </c>
      <c r="AD171" s="23">
        <f t="shared" si="19"/>
        <v>8.75</v>
      </c>
      <c r="AE171" s="23">
        <f t="shared" si="19"/>
        <v>8.75</v>
      </c>
      <c r="AF171" s="23">
        <f t="shared" si="19"/>
        <v>8.75</v>
      </c>
    </row>
    <row r="172" spans="1:32" s="26" customFormat="1">
      <c r="A172" s="3" t="str">
        <f>'Debt_Qtr '!A172</f>
        <v>3.55% due March 2038</v>
      </c>
      <c r="B172" s="43"/>
      <c r="C172" s="43"/>
      <c r="D172" s="43"/>
      <c r="E172" s="43"/>
      <c r="F172" s="43"/>
      <c r="G172" s="43"/>
      <c r="H172" s="43"/>
      <c r="I172" s="43"/>
      <c r="J172" s="43"/>
      <c r="K172" s="43"/>
      <c r="L172" s="43"/>
      <c r="M172" s="43"/>
      <c r="N172" s="43"/>
      <c r="O172" s="43"/>
      <c r="P172" s="43"/>
      <c r="Q172" s="43"/>
      <c r="R172" s="43"/>
      <c r="S172" s="38">
        <f>'Debt_Qtr '!P172</f>
        <v>0</v>
      </c>
      <c r="T172" s="38">
        <f>'Debt_Qtr '!U172</f>
        <v>10.871874999999999</v>
      </c>
      <c r="U172" s="38">
        <f>'Debt_Qtr '!Z172</f>
        <v>12.424999999999999</v>
      </c>
      <c r="V172" s="38">
        <f>'Debt_Qtr '!AE172</f>
        <v>12.424999999999999</v>
      </c>
      <c r="W172" s="38">
        <f>'Debt_Qtr '!AJ172</f>
        <v>12.424999999999999</v>
      </c>
      <c r="X172" s="38">
        <f>'Debt_Qtr '!AO172</f>
        <v>12.424999999999999</v>
      </c>
      <c r="Y172" s="38">
        <f>'Debt_Qtr '!AT172</f>
        <v>12.424999999999999</v>
      </c>
      <c r="Z172" s="38">
        <f>'Debt_Qtr '!AY172</f>
        <v>12.424999999999999</v>
      </c>
      <c r="AA172" s="38">
        <f>'Debt_Qtr '!BD172</f>
        <v>12.424999999999999</v>
      </c>
      <c r="AB172" s="38">
        <f>'Debt_Qtr '!BI172</f>
        <v>12.424999999999999</v>
      </c>
      <c r="AC172" s="23">
        <f t="shared" si="19"/>
        <v>12.424999999999999</v>
      </c>
      <c r="AD172" s="23">
        <f t="shared" si="19"/>
        <v>12.424999999999999</v>
      </c>
      <c r="AE172" s="23">
        <f t="shared" si="19"/>
        <v>12.424999999999999</v>
      </c>
      <c r="AF172" s="23">
        <f t="shared" si="19"/>
        <v>12.424999999999999</v>
      </c>
    </row>
    <row r="173" spans="1:32" s="26" customFormat="1">
      <c r="A173" s="3" t="str">
        <f>'Debt_Qtr '!A173</f>
        <v>3.6% due May 2034</v>
      </c>
      <c r="B173" s="43"/>
      <c r="C173" s="43"/>
      <c r="D173" s="43"/>
      <c r="E173" s="43"/>
      <c r="F173" s="43"/>
      <c r="G173" s="43"/>
      <c r="H173" s="43"/>
      <c r="I173" s="43"/>
      <c r="J173" s="43"/>
      <c r="K173" s="43"/>
      <c r="L173" s="43"/>
      <c r="M173" s="43"/>
      <c r="N173" s="43"/>
      <c r="O173" s="43"/>
      <c r="P173" s="43"/>
      <c r="Q173" s="43"/>
      <c r="R173" s="43"/>
      <c r="S173" s="38">
        <f>'Debt_Qtr '!P173</f>
        <v>0</v>
      </c>
      <c r="T173" s="38">
        <f>'Debt_Qtr '!U173</f>
        <v>0</v>
      </c>
      <c r="U173" s="38">
        <f>'Debt_Qtr '!Z173</f>
        <v>19.125</v>
      </c>
      <c r="V173" s="38">
        <f>'Debt_Qtr '!AE173</f>
        <v>30.599999999999998</v>
      </c>
      <c r="W173" s="38">
        <f>'Debt_Qtr '!AJ173</f>
        <v>30.599999999999998</v>
      </c>
      <c r="X173" s="38">
        <f>'Debt_Qtr '!AO173</f>
        <v>30.599999999999998</v>
      </c>
      <c r="Y173" s="38">
        <f>'Debt_Qtr '!AT173</f>
        <v>30.599999999999998</v>
      </c>
      <c r="Z173" s="38">
        <f>'Debt_Qtr '!AY173</f>
        <v>30.599999999999998</v>
      </c>
      <c r="AA173" s="38">
        <f>'Debt_Qtr '!BD173</f>
        <v>30.599999999999998</v>
      </c>
      <c r="AB173" s="38">
        <f>'Debt_Qtr '!BI173</f>
        <v>30.599999999999998</v>
      </c>
      <c r="AC173" s="23">
        <f t="shared" si="19"/>
        <v>30.599999999999998</v>
      </c>
      <c r="AD173" s="23">
        <f t="shared" si="19"/>
        <v>30.599999999999998</v>
      </c>
      <c r="AE173" s="23">
        <f t="shared" si="19"/>
        <v>30.599999999999998</v>
      </c>
      <c r="AF173" s="23">
        <f t="shared" si="19"/>
        <v>30.599999999999998</v>
      </c>
    </row>
    <row r="174" spans="1:32" s="26" customFormat="1">
      <c r="A174" s="3" t="str">
        <f>'Debt_Qtr '!A174</f>
        <v>3.625% due March 2048</v>
      </c>
      <c r="B174" s="43"/>
      <c r="C174" s="43"/>
      <c r="D174" s="43"/>
      <c r="E174" s="43"/>
      <c r="F174" s="43"/>
      <c r="G174" s="43"/>
      <c r="H174" s="43"/>
      <c r="I174" s="43"/>
      <c r="J174" s="43"/>
      <c r="K174" s="43"/>
      <c r="L174" s="43"/>
      <c r="M174" s="43"/>
      <c r="N174" s="43"/>
      <c r="O174" s="43"/>
      <c r="P174" s="43"/>
      <c r="Q174" s="43"/>
      <c r="R174" s="43"/>
      <c r="S174" s="38">
        <f>'Debt_Qtr '!P174</f>
        <v>0</v>
      </c>
      <c r="T174" s="38">
        <f>'Debt_Qtr '!U174</f>
        <v>11.1015625</v>
      </c>
      <c r="U174" s="38">
        <f>'Debt_Qtr '!Z174</f>
        <v>12.6875</v>
      </c>
      <c r="V174" s="38">
        <f>'Debt_Qtr '!AE174</f>
        <v>12.6875</v>
      </c>
      <c r="W174" s="38">
        <f>'Debt_Qtr '!AJ174</f>
        <v>12.6875</v>
      </c>
      <c r="X174" s="38">
        <f>'Debt_Qtr '!AO174</f>
        <v>12.6875</v>
      </c>
      <c r="Y174" s="38">
        <f>'Debt_Qtr '!AT174</f>
        <v>12.6875</v>
      </c>
      <c r="Z174" s="38">
        <f>'Debt_Qtr '!AY174</f>
        <v>12.6875</v>
      </c>
      <c r="AA174" s="38">
        <f>'Debt_Qtr '!BD174</f>
        <v>12.6875</v>
      </c>
      <c r="AB174" s="38">
        <f>'Debt_Qtr '!BI174</f>
        <v>12.6875</v>
      </c>
      <c r="AC174" s="23">
        <f t="shared" si="19"/>
        <v>12.6875</v>
      </c>
      <c r="AD174" s="23">
        <f t="shared" si="19"/>
        <v>12.6875</v>
      </c>
      <c r="AE174" s="23">
        <f t="shared" si="19"/>
        <v>12.6875</v>
      </c>
      <c r="AF174" s="23">
        <f t="shared" si="19"/>
        <v>12.6875</v>
      </c>
    </row>
    <row r="175" spans="1:32" s="26" customFormat="1">
      <c r="A175" s="3" t="str">
        <f>'Debt_Qtr '!A175</f>
        <v>3.65% due March 2047</v>
      </c>
      <c r="B175" s="43"/>
      <c r="C175" s="43"/>
      <c r="D175" s="43"/>
      <c r="E175" s="43"/>
      <c r="F175" s="43"/>
      <c r="G175" s="43"/>
      <c r="H175" s="43"/>
      <c r="I175" s="43"/>
      <c r="J175" s="43"/>
      <c r="K175" s="43"/>
      <c r="L175" s="43"/>
      <c r="M175" s="43"/>
      <c r="N175" s="43"/>
      <c r="O175" s="43"/>
      <c r="P175" s="43"/>
      <c r="Q175" s="43"/>
      <c r="R175" s="43"/>
      <c r="S175" s="38">
        <f>'Debt_Qtr '!P175</f>
        <v>10.95</v>
      </c>
      <c r="T175" s="38">
        <f>'Debt_Qtr '!U175</f>
        <v>10.95</v>
      </c>
      <c r="U175" s="38">
        <f>'Debt_Qtr '!Z175</f>
        <v>10.95</v>
      </c>
      <c r="V175" s="38">
        <f>'Debt_Qtr '!AE175</f>
        <v>10.95</v>
      </c>
      <c r="W175" s="38">
        <f>'Debt_Qtr '!AJ175</f>
        <v>10.95</v>
      </c>
      <c r="X175" s="38">
        <f>'Debt_Qtr '!AO175</f>
        <v>10.95</v>
      </c>
      <c r="Y175" s="38">
        <f>'Debt_Qtr '!AT175</f>
        <v>10.95</v>
      </c>
      <c r="Z175" s="38">
        <f>'Debt_Qtr '!AY175</f>
        <v>10.95</v>
      </c>
      <c r="AA175" s="38">
        <f>'Debt_Qtr '!BD175</f>
        <v>10.95</v>
      </c>
      <c r="AB175" s="38">
        <f>'Debt_Qtr '!BI175</f>
        <v>10.95</v>
      </c>
      <c r="AC175" s="23">
        <f t="shared" si="19"/>
        <v>10.95</v>
      </c>
      <c r="AD175" s="23">
        <f t="shared" si="19"/>
        <v>10.95</v>
      </c>
      <c r="AE175" s="23">
        <f t="shared" si="19"/>
        <v>10.95</v>
      </c>
      <c r="AF175" s="23">
        <f t="shared" si="19"/>
        <v>10.95</v>
      </c>
    </row>
    <row r="176" spans="1:32" s="26" customFormat="1">
      <c r="A176" s="3" t="str">
        <f>'Debt_Qtr '!A176</f>
        <v>3.75% due Feb 2050</v>
      </c>
      <c r="B176" s="43"/>
      <c r="C176" s="43"/>
      <c r="D176" s="43"/>
      <c r="E176" s="43"/>
      <c r="F176" s="43"/>
      <c r="G176" s="43"/>
      <c r="H176" s="43"/>
      <c r="I176" s="43"/>
      <c r="J176" s="43"/>
      <c r="K176" s="43"/>
      <c r="L176" s="43"/>
      <c r="M176" s="43"/>
      <c r="N176" s="43"/>
      <c r="O176" s="43"/>
      <c r="P176" s="43"/>
      <c r="Q176" s="43"/>
      <c r="R176" s="43"/>
      <c r="S176" s="38">
        <f>'Debt_Qtr '!P176</f>
        <v>0</v>
      </c>
      <c r="T176" s="38">
        <f>'Debt_Qtr '!U176</f>
        <v>0</v>
      </c>
      <c r="U176" s="38">
        <f>'Debt_Qtr '!Z176</f>
        <v>17.578125</v>
      </c>
      <c r="V176" s="38">
        <f>'Debt_Qtr '!AE176</f>
        <v>46.875</v>
      </c>
      <c r="W176" s="38">
        <f>'Debt_Qtr '!AJ176</f>
        <v>46.875</v>
      </c>
      <c r="X176" s="38">
        <f>'Debt_Qtr '!AO176</f>
        <v>46.875</v>
      </c>
      <c r="Y176" s="38">
        <f>'Debt_Qtr '!AT176</f>
        <v>46.875</v>
      </c>
      <c r="Z176" s="38">
        <f>'Debt_Qtr '!AY176</f>
        <v>46.875</v>
      </c>
      <c r="AA176" s="38">
        <f>'Debt_Qtr '!BD176</f>
        <v>46.875</v>
      </c>
      <c r="AB176" s="38">
        <f>'Debt_Qtr '!BI176</f>
        <v>46.875</v>
      </c>
      <c r="AC176" s="23">
        <f t="shared" si="19"/>
        <v>46.875</v>
      </c>
      <c r="AD176" s="23">
        <f t="shared" si="19"/>
        <v>46.875</v>
      </c>
      <c r="AE176" s="23">
        <f t="shared" si="19"/>
        <v>46.875</v>
      </c>
      <c r="AF176" s="23">
        <f t="shared" si="19"/>
        <v>46.875</v>
      </c>
    </row>
    <row r="177" spans="1:32" s="26" customFormat="1">
      <c r="A177" s="3" t="str">
        <f>'Debt_Qtr '!A177</f>
        <v>3.825% due March 2059</v>
      </c>
      <c r="B177" s="43"/>
      <c r="C177" s="43"/>
      <c r="D177" s="43"/>
      <c r="E177" s="43"/>
      <c r="F177" s="43"/>
      <c r="G177" s="43"/>
      <c r="H177" s="43"/>
      <c r="I177" s="43"/>
      <c r="J177" s="43"/>
      <c r="K177" s="43"/>
      <c r="L177" s="43"/>
      <c r="M177" s="43"/>
      <c r="N177" s="43"/>
      <c r="O177" s="43"/>
      <c r="P177" s="43"/>
      <c r="Q177" s="43"/>
      <c r="R177" s="43"/>
      <c r="S177" s="38">
        <f>'Debt_Qtr '!P177</f>
        <v>0</v>
      </c>
      <c r="T177" s="38">
        <f>'Debt_Qtr '!U177</f>
        <v>0</v>
      </c>
      <c r="U177" s="38">
        <f>'Debt_Qtr '!Z177</f>
        <v>10.040625</v>
      </c>
      <c r="V177" s="38">
        <f>'Debt_Qtr '!AE177</f>
        <v>11.475</v>
      </c>
      <c r="W177" s="38">
        <f>'Debt_Qtr '!AJ177</f>
        <v>11.475</v>
      </c>
      <c r="X177" s="38">
        <f>'Debt_Qtr '!AO177</f>
        <v>11.475</v>
      </c>
      <c r="Y177" s="38">
        <f>'Debt_Qtr '!AT177</f>
        <v>11.475</v>
      </c>
      <c r="Z177" s="38">
        <f>'Debt_Qtr '!AY177</f>
        <v>11.475</v>
      </c>
      <c r="AA177" s="38">
        <f>'Debt_Qtr '!BD177</f>
        <v>11.475</v>
      </c>
      <c r="AB177" s="38">
        <f>'Debt_Qtr '!BI177</f>
        <v>11.475</v>
      </c>
      <c r="AC177" s="23">
        <f t="shared" si="19"/>
        <v>11.475</v>
      </c>
      <c r="AD177" s="23">
        <f t="shared" si="19"/>
        <v>11.475</v>
      </c>
      <c r="AE177" s="23">
        <f t="shared" si="19"/>
        <v>11.475</v>
      </c>
      <c r="AF177" s="23">
        <f t="shared" si="19"/>
        <v>11.475</v>
      </c>
    </row>
    <row r="178" spans="1:32" s="26" customFormat="1">
      <c r="A178" s="3" t="str">
        <f>'Debt_Qtr '!A178</f>
        <v>3.85% due Nov 2048</v>
      </c>
      <c r="B178" s="43"/>
      <c r="C178" s="43"/>
      <c r="D178" s="43"/>
      <c r="E178" s="43"/>
      <c r="F178" s="43"/>
      <c r="G178" s="43"/>
      <c r="H178" s="43"/>
      <c r="I178" s="43"/>
      <c r="J178" s="43"/>
      <c r="K178" s="43"/>
      <c r="L178" s="43"/>
      <c r="M178" s="43"/>
      <c r="N178" s="43"/>
      <c r="O178" s="43"/>
      <c r="P178" s="43"/>
      <c r="Q178" s="43"/>
      <c r="R178" s="43"/>
      <c r="S178" s="38">
        <f>'Debt_Qtr '!P178</f>
        <v>0</v>
      </c>
      <c r="T178" s="38">
        <f>'Debt_Qtr '!U178</f>
        <v>1.684375</v>
      </c>
      <c r="U178" s="38">
        <f>'Debt_Qtr '!Z178</f>
        <v>13.475</v>
      </c>
      <c r="V178" s="38">
        <f>'Debt_Qtr '!AE178</f>
        <v>13.475</v>
      </c>
      <c r="W178" s="38">
        <f>'Debt_Qtr '!AJ178</f>
        <v>13.475</v>
      </c>
      <c r="X178" s="38">
        <f>'Debt_Qtr '!AO178</f>
        <v>13.475</v>
      </c>
      <c r="Y178" s="38">
        <f>'Debt_Qtr '!AT178</f>
        <v>13.475</v>
      </c>
      <c r="Z178" s="38">
        <f>'Debt_Qtr '!AY178</f>
        <v>13.475</v>
      </c>
      <c r="AA178" s="38">
        <f>'Debt_Qtr '!BD178</f>
        <v>13.475</v>
      </c>
      <c r="AB178" s="38">
        <f>'Debt_Qtr '!BI178</f>
        <v>13.475</v>
      </c>
      <c r="AC178" s="23">
        <f t="shared" si="19"/>
        <v>13.475</v>
      </c>
      <c r="AD178" s="23">
        <f t="shared" si="19"/>
        <v>13.475</v>
      </c>
      <c r="AE178" s="23">
        <f t="shared" si="19"/>
        <v>13.475</v>
      </c>
      <c r="AF178" s="23">
        <f t="shared" si="19"/>
        <v>13.475</v>
      </c>
    </row>
    <row r="179" spans="1:32" s="26" customFormat="1">
      <c r="A179" s="3" t="str">
        <f>'Debt_Qtr '!A179</f>
        <v>3.9% due May 2049</v>
      </c>
      <c r="B179" s="43"/>
      <c r="C179" s="43"/>
      <c r="D179" s="43"/>
      <c r="E179" s="43"/>
      <c r="F179" s="43"/>
      <c r="G179" s="43"/>
      <c r="H179" s="43"/>
      <c r="I179" s="43"/>
      <c r="J179" s="43"/>
      <c r="K179" s="43"/>
      <c r="L179" s="43"/>
      <c r="M179" s="43"/>
      <c r="N179" s="43"/>
      <c r="O179" s="43"/>
      <c r="P179" s="43"/>
      <c r="Q179" s="43"/>
      <c r="R179" s="43"/>
      <c r="S179" s="38">
        <f>'Debt_Qtr '!P179</f>
        <v>0</v>
      </c>
      <c r="T179" s="38">
        <f>'Debt_Qtr '!U179</f>
        <v>0</v>
      </c>
      <c r="U179" s="38">
        <f>'Debt_Qtr '!Z179</f>
        <v>19.5</v>
      </c>
      <c r="V179" s="38">
        <f>'Debt_Qtr '!AE179</f>
        <v>31.2</v>
      </c>
      <c r="W179" s="38">
        <f>'Debt_Qtr '!AJ179</f>
        <v>31.2</v>
      </c>
      <c r="X179" s="38">
        <f>'Debt_Qtr '!AO179</f>
        <v>31.2</v>
      </c>
      <c r="Y179" s="38">
        <f>'Debt_Qtr '!AT179</f>
        <v>31.2</v>
      </c>
      <c r="Z179" s="38">
        <f>'Debt_Qtr '!AY179</f>
        <v>31.2</v>
      </c>
      <c r="AA179" s="38">
        <f>'Debt_Qtr '!BD179</f>
        <v>31.2</v>
      </c>
      <c r="AB179" s="38">
        <f>'Debt_Qtr '!BI179</f>
        <v>31.2</v>
      </c>
      <c r="AC179" s="23">
        <f t="shared" si="19"/>
        <v>31.2</v>
      </c>
      <c r="AD179" s="23">
        <f t="shared" si="19"/>
        <v>31.2</v>
      </c>
      <c r="AE179" s="23">
        <f t="shared" si="19"/>
        <v>31.2</v>
      </c>
      <c r="AF179" s="23">
        <f t="shared" si="19"/>
        <v>31.2</v>
      </c>
    </row>
    <row r="180" spans="1:32" s="26" customFormat="1">
      <c r="A180" s="3" t="str">
        <f>'Debt_Qtr '!A180</f>
        <v>3.95% due Aug 2059</v>
      </c>
      <c r="B180" s="43"/>
      <c r="C180" s="43"/>
      <c r="D180" s="43"/>
      <c r="E180" s="43"/>
      <c r="F180" s="43"/>
      <c r="G180" s="43"/>
      <c r="H180" s="43"/>
      <c r="I180" s="43"/>
      <c r="J180" s="43"/>
      <c r="K180" s="43"/>
      <c r="L180" s="43"/>
      <c r="M180" s="43"/>
      <c r="N180" s="43"/>
      <c r="O180" s="43"/>
      <c r="P180" s="43"/>
      <c r="Q180" s="43"/>
      <c r="R180" s="43"/>
      <c r="S180" s="38">
        <f>'Debt_Qtr '!P180</f>
        <v>0</v>
      </c>
      <c r="T180" s="38">
        <f>'Debt_Qtr '!U180</f>
        <v>0</v>
      </c>
      <c r="U180" s="38">
        <f>'Debt_Qtr '!Z180</f>
        <v>14.8125</v>
      </c>
      <c r="V180" s="38">
        <f>'Debt_Qtr '!AE180</f>
        <v>39.5</v>
      </c>
      <c r="W180" s="38">
        <f>'Debt_Qtr '!AJ180</f>
        <v>39.5</v>
      </c>
      <c r="X180" s="38">
        <f>'Debt_Qtr '!AO180</f>
        <v>39.5</v>
      </c>
      <c r="Y180" s="38">
        <f>'Debt_Qtr '!AT180</f>
        <v>39.5</v>
      </c>
      <c r="Z180" s="38">
        <f>'Debt_Qtr '!AY180</f>
        <v>39.5</v>
      </c>
      <c r="AA180" s="38">
        <f>'Debt_Qtr '!BD180</f>
        <v>39.5</v>
      </c>
      <c r="AB180" s="38">
        <f>'Debt_Qtr '!BI180</f>
        <v>39.5</v>
      </c>
      <c r="AC180" s="23">
        <f t="shared" si="19"/>
        <v>39.5</v>
      </c>
      <c r="AD180" s="23">
        <f t="shared" si="19"/>
        <v>39.5</v>
      </c>
      <c r="AE180" s="23">
        <f t="shared" si="19"/>
        <v>39.5</v>
      </c>
      <c r="AF180" s="23">
        <f t="shared" si="19"/>
        <v>39.5</v>
      </c>
    </row>
    <row r="181" spans="1:32" s="26" customFormat="1">
      <c r="A181" s="3" t="str">
        <f>'Debt_Qtr '!A181</f>
        <v>4.875% due Feb 2020</v>
      </c>
      <c r="B181" s="43"/>
      <c r="C181" s="43"/>
      <c r="D181" s="43"/>
      <c r="E181" s="43"/>
      <c r="F181" s="43"/>
      <c r="G181" s="43"/>
      <c r="H181" s="43"/>
      <c r="I181" s="43"/>
      <c r="J181" s="43"/>
      <c r="K181" s="43"/>
      <c r="L181" s="43"/>
      <c r="M181" s="43"/>
      <c r="N181" s="43"/>
      <c r="O181" s="43"/>
      <c r="P181" s="43"/>
      <c r="Q181" s="43"/>
      <c r="R181" s="43"/>
      <c r="S181" s="38">
        <f>'Debt_Qtr '!P181</f>
        <v>36.5625</v>
      </c>
      <c r="T181" s="38">
        <f>'Debt_Qtr '!U181</f>
        <v>36.5625</v>
      </c>
      <c r="U181" s="38">
        <f>'Debt_Qtr '!Z181</f>
        <v>36.5625</v>
      </c>
      <c r="V181" s="38">
        <f>'Debt_Qtr '!AE181</f>
        <v>4.5703125</v>
      </c>
      <c r="W181" s="38">
        <f>'Debt_Qtr '!AJ181</f>
        <v>0</v>
      </c>
      <c r="X181" s="38">
        <f>'Debt_Qtr '!AO181</f>
        <v>0</v>
      </c>
      <c r="Y181" s="38">
        <f>'Debt_Qtr '!AT181</f>
        <v>0</v>
      </c>
      <c r="Z181" s="38">
        <f>'Debt_Qtr '!AY181</f>
        <v>0</v>
      </c>
      <c r="AA181" s="38">
        <f>'Debt_Qtr '!BD181</f>
        <v>0</v>
      </c>
      <c r="AB181" s="38">
        <f>'Debt_Qtr '!BI181</f>
        <v>0</v>
      </c>
      <c r="AC181" s="23">
        <f t="shared" si="19"/>
        <v>0</v>
      </c>
      <c r="AD181" s="23">
        <f t="shared" si="19"/>
        <v>0</v>
      </c>
      <c r="AE181" s="23">
        <f t="shared" si="19"/>
        <v>0</v>
      </c>
      <c r="AF181" s="23">
        <f t="shared" si="19"/>
        <v>0</v>
      </c>
    </row>
    <row r="182" spans="1:32" s="26" customFormat="1">
      <c r="A182" s="3" t="str">
        <f>'Debt_Qtr '!A182</f>
        <v>5.875% due Feb 2040</v>
      </c>
      <c r="B182" s="43"/>
      <c r="C182" s="43"/>
      <c r="D182" s="43"/>
      <c r="E182" s="43"/>
      <c r="F182" s="43"/>
      <c r="G182" s="43"/>
      <c r="H182" s="43"/>
      <c r="I182" s="43"/>
      <c r="J182" s="43"/>
      <c r="K182" s="43"/>
      <c r="L182" s="43"/>
      <c r="M182" s="43"/>
      <c r="N182" s="43"/>
      <c r="O182" s="43"/>
      <c r="P182" s="43"/>
      <c r="Q182" s="43"/>
      <c r="R182" s="43"/>
      <c r="S182" s="38">
        <f>'Debt_Qtr '!P182</f>
        <v>26.4375</v>
      </c>
      <c r="T182" s="38">
        <f>'Debt_Qtr '!U182</f>
        <v>26.4375</v>
      </c>
      <c r="U182" s="38">
        <f>'Debt_Qtr '!Z182</f>
        <v>26.4375</v>
      </c>
      <c r="V182" s="38">
        <f>'Debt_Qtr '!AE182</f>
        <v>26.4375</v>
      </c>
      <c r="W182" s="38">
        <f>'Debt_Qtr '!AJ182</f>
        <v>26.4375</v>
      </c>
      <c r="X182" s="38">
        <f>'Debt_Qtr '!AO182</f>
        <v>26.4375</v>
      </c>
      <c r="Y182" s="38">
        <f>'Debt_Qtr '!AT182</f>
        <v>26.4375</v>
      </c>
      <c r="Z182" s="38">
        <f>'Debt_Qtr '!AY182</f>
        <v>26.4375</v>
      </c>
      <c r="AA182" s="38">
        <f>'Debt_Qtr '!BD182</f>
        <v>26.4375</v>
      </c>
      <c r="AB182" s="38">
        <f>'Debt_Qtr '!BI182</f>
        <v>26.4375</v>
      </c>
      <c r="AC182" s="23">
        <f t="shared" si="19"/>
        <v>26.4375</v>
      </c>
      <c r="AD182" s="23">
        <f t="shared" si="19"/>
        <v>26.4375</v>
      </c>
      <c r="AE182" s="23">
        <f t="shared" si="19"/>
        <v>26.4375</v>
      </c>
      <c r="AF182" s="23">
        <f t="shared" si="19"/>
        <v>26.4375</v>
      </c>
    </row>
    <row r="183" spans="1:32" s="26" customFormat="1">
      <c r="A183" s="3" t="str">
        <f>'Debt_Qtr '!A183</f>
        <v>6% due March 2019</v>
      </c>
      <c r="B183" s="43"/>
      <c r="C183" s="43"/>
      <c r="D183" s="43"/>
      <c r="E183" s="43"/>
      <c r="F183" s="43"/>
      <c r="G183" s="43"/>
      <c r="H183" s="43"/>
      <c r="I183" s="43"/>
      <c r="J183" s="43"/>
      <c r="K183" s="43"/>
      <c r="L183" s="43"/>
      <c r="M183" s="43"/>
      <c r="N183" s="43"/>
      <c r="O183" s="43"/>
      <c r="P183" s="43"/>
      <c r="Q183" s="43"/>
      <c r="R183" s="43"/>
      <c r="S183" s="38">
        <f>'Debt_Qtr '!P183</f>
        <v>39</v>
      </c>
      <c r="T183" s="38">
        <f>'Debt_Qtr '!U183</f>
        <v>39</v>
      </c>
      <c r="U183" s="38">
        <f>'Debt_Qtr '!Z183</f>
        <v>4.875</v>
      </c>
      <c r="V183" s="38">
        <f>'Debt_Qtr '!AE183</f>
        <v>0</v>
      </c>
      <c r="W183" s="38">
        <f>'Debt_Qtr '!AJ183</f>
        <v>0</v>
      </c>
      <c r="X183" s="38">
        <f>'Debt_Qtr '!AO183</f>
        <v>0</v>
      </c>
      <c r="Y183" s="38">
        <f>'Debt_Qtr '!AT183</f>
        <v>0</v>
      </c>
      <c r="Z183" s="38">
        <f>'Debt_Qtr '!AY183</f>
        <v>0</v>
      </c>
      <c r="AA183" s="38">
        <f>'Debt_Qtr '!BD183</f>
        <v>0</v>
      </c>
      <c r="AB183" s="38">
        <f>'Debt_Qtr '!BI183</f>
        <v>0</v>
      </c>
      <c r="AC183" s="23">
        <f t="shared" si="19"/>
        <v>0</v>
      </c>
      <c r="AD183" s="23">
        <f t="shared" si="19"/>
        <v>0</v>
      </c>
      <c r="AE183" s="23">
        <f t="shared" si="19"/>
        <v>0</v>
      </c>
      <c r="AF183" s="23">
        <f t="shared" si="19"/>
        <v>0</v>
      </c>
    </row>
    <row r="184" spans="1:32" s="26" customFormat="1">
      <c r="A184" s="3" t="str">
        <f>'Debt_Qtr '!A184</f>
        <v>6.125% due Feb 2033</v>
      </c>
      <c r="B184" s="43"/>
      <c r="C184" s="43"/>
      <c r="D184" s="43"/>
      <c r="E184" s="43"/>
      <c r="F184" s="43"/>
      <c r="G184" s="43"/>
      <c r="H184" s="43"/>
      <c r="I184" s="43"/>
      <c r="J184" s="43"/>
      <c r="K184" s="43"/>
      <c r="L184" s="43"/>
      <c r="M184" s="43"/>
      <c r="N184" s="43"/>
      <c r="O184" s="43"/>
      <c r="P184" s="43"/>
      <c r="Q184" s="43"/>
      <c r="R184" s="43"/>
      <c r="S184" s="38">
        <f>'Debt_Qtr '!P184</f>
        <v>24.5</v>
      </c>
      <c r="T184" s="38">
        <f>'Debt_Qtr '!U184</f>
        <v>24.5</v>
      </c>
      <c r="U184" s="38">
        <f>'Debt_Qtr '!Z184</f>
        <v>24.5</v>
      </c>
      <c r="V184" s="38">
        <f>'Debt_Qtr '!AE184</f>
        <v>24.5</v>
      </c>
      <c r="W184" s="38">
        <f>'Debt_Qtr '!AJ184</f>
        <v>24.5</v>
      </c>
      <c r="X184" s="38">
        <f>'Debt_Qtr '!AO184</f>
        <v>24.5</v>
      </c>
      <c r="Y184" s="38">
        <f>'Debt_Qtr '!AT184</f>
        <v>24.5</v>
      </c>
      <c r="Z184" s="38">
        <f>'Debt_Qtr '!AY184</f>
        <v>24.5</v>
      </c>
      <c r="AA184" s="38">
        <f>'Debt_Qtr '!BD184</f>
        <v>24.5</v>
      </c>
      <c r="AB184" s="38">
        <f>'Debt_Qtr '!BI184</f>
        <v>24.5</v>
      </c>
      <c r="AC184" s="23">
        <f t="shared" si="19"/>
        <v>24.5</v>
      </c>
      <c r="AD184" s="23">
        <f t="shared" si="19"/>
        <v>12.25</v>
      </c>
      <c r="AE184" s="23">
        <f t="shared" si="19"/>
        <v>0</v>
      </c>
      <c r="AF184" s="23">
        <f t="shared" si="19"/>
        <v>0</v>
      </c>
    </row>
    <row r="185" spans="1:32" s="26" customFormat="1">
      <c r="A185" s="3" t="str">
        <f>'Debt_Qtr '!A185</f>
        <v>6.625% due Feb 2038</v>
      </c>
      <c r="B185" s="43"/>
      <c r="C185" s="43"/>
      <c r="D185" s="43"/>
      <c r="E185" s="43"/>
      <c r="F185" s="43"/>
      <c r="G185" s="43"/>
      <c r="H185" s="43"/>
      <c r="I185" s="43"/>
      <c r="J185" s="43"/>
      <c r="K185" s="43"/>
      <c r="L185" s="43"/>
      <c r="M185" s="43"/>
      <c r="N185" s="43"/>
      <c r="O185" s="43"/>
      <c r="P185" s="43"/>
      <c r="Q185" s="43"/>
      <c r="R185" s="43"/>
      <c r="S185" s="38">
        <f>'Debt_Qtr '!P185</f>
        <v>19.875</v>
      </c>
      <c r="T185" s="38">
        <f>'Debt_Qtr '!U185</f>
        <v>19.875</v>
      </c>
      <c r="U185" s="38">
        <f>'Debt_Qtr '!Z185</f>
        <v>19.875</v>
      </c>
      <c r="V185" s="38">
        <f>'Debt_Qtr '!AE185</f>
        <v>19.875</v>
      </c>
      <c r="W185" s="38">
        <f>'Debt_Qtr '!AJ185</f>
        <v>19.875</v>
      </c>
      <c r="X185" s="38">
        <f>'Debt_Qtr '!AO185</f>
        <v>19.875</v>
      </c>
      <c r="Y185" s="38">
        <f>'Debt_Qtr '!AT185</f>
        <v>19.875</v>
      </c>
      <c r="Z185" s="38">
        <f>'Debt_Qtr '!AY185</f>
        <v>19.875</v>
      </c>
      <c r="AA185" s="38">
        <f>'Debt_Qtr '!BD185</f>
        <v>19.875</v>
      </c>
      <c r="AB185" s="38">
        <f>'Debt_Qtr '!BI185</f>
        <v>19.875</v>
      </c>
      <c r="AC185" s="23">
        <f t="shared" si="19"/>
        <v>19.875</v>
      </c>
      <c r="AD185" s="23">
        <f t="shared" si="19"/>
        <v>9.9375</v>
      </c>
      <c r="AE185" s="23">
        <f t="shared" si="19"/>
        <v>0</v>
      </c>
      <c r="AF185" s="23">
        <f t="shared" si="19"/>
        <v>0</v>
      </c>
    </row>
    <row r="186" spans="1:32" s="26" customFormat="1">
      <c r="A186" s="3" t="str">
        <f>'Debt_Qtr '!A186</f>
        <v>6.875% due March 2039</v>
      </c>
      <c r="B186" s="43"/>
      <c r="C186" s="43"/>
      <c r="D186" s="43"/>
      <c r="E186" s="43"/>
      <c r="F186" s="43"/>
      <c r="G186" s="43"/>
      <c r="H186" s="43"/>
      <c r="I186" s="43"/>
      <c r="J186" s="43"/>
      <c r="K186" s="43"/>
      <c r="L186" s="43"/>
      <c r="M186" s="43"/>
      <c r="N186" s="43"/>
      <c r="O186" s="43"/>
      <c r="P186" s="43"/>
      <c r="Q186" s="43"/>
      <c r="R186" s="43"/>
      <c r="S186" s="38">
        <f>'Debt_Qtr '!P186</f>
        <v>34.375</v>
      </c>
      <c r="T186" s="38">
        <f>'Debt_Qtr '!U186</f>
        <v>34.375</v>
      </c>
      <c r="U186" s="38">
        <f>'Debt_Qtr '!Z186</f>
        <v>34.375</v>
      </c>
      <c r="V186" s="38">
        <f>'Debt_Qtr '!AE186</f>
        <v>34.375</v>
      </c>
      <c r="W186" s="38">
        <f>'Debt_Qtr '!AJ186</f>
        <v>34.375</v>
      </c>
      <c r="X186" s="38">
        <f>'Debt_Qtr '!AO186</f>
        <v>34.375</v>
      </c>
      <c r="Y186" s="38">
        <f>'Debt_Qtr '!AT186</f>
        <v>34.375</v>
      </c>
      <c r="Z186" s="38">
        <f>'Debt_Qtr '!AY186</f>
        <v>34.375</v>
      </c>
      <c r="AA186" s="38">
        <f>'Debt_Qtr '!BD186</f>
        <v>34.375</v>
      </c>
      <c r="AB186" s="38">
        <f>'Debt_Qtr '!BI186</f>
        <v>34.375</v>
      </c>
      <c r="AC186" s="23">
        <f t="shared" si="19"/>
        <v>34.375</v>
      </c>
      <c r="AD186" s="23">
        <f t="shared" si="19"/>
        <v>17.1875</v>
      </c>
      <c r="AE186" s="23">
        <f t="shared" si="19"/>
        <v>0</v>
      </c>
      <c r="AF186" s="23">
        <f t="shared" si="19"/>
        <v>0</v>
      </c>
    </row>
    <row r="187" spans="1:32" s="26" customFormat="1">
      <c r="A187" s="3" t="str">
        <f>'Debt_Qtr '!A187</f>
        <v>6.875% due Oct 2043</v>
      </c>
      <c r="B187" s="43"/>
      <c r="C187" s="43"/>
      <c r="D187" s="43"/>
      <c r="E187" s="43"/>
      <c r="F187" s="43"/>
      <c r="G187" s="43"/>
      <c r="H187" s="43"/>
      <c r="I187" s="43"/>
      <c r="J187" s="43"/>
      <c r="K187" s="43"/>
      <c r="L187" s="43"/>
      <c r="M187" s="43"/>
      <c r="N187" s="43"/>
      <c r="O187" s="43"/>
      <c r="P187" s="43"/>
      <c r="Q187" s="43"/>
      <c r="R187" s="43"/>
      <c r="S187" s="38">
        <f>'Debt_Qtr '!P187</f>
        <v>8.59375</v>
      </c>
      <c r="T187" s="38">
        <f>'Debt_Qtr '!U187</f>
        <v>8.59375</v>
      </c>
      <c r="U187" s="38">
        <f>'Debt_Qtr '!Z187</f>
        <v>8.5936640625000003</v>
      </c>
      <c r="V187" s="38">
        <f>'Debt_Qtr '!AE187</f>
        <v>8.5936640625000003</v>
      </c>
      <c r="W187" s="38">
        <f>'Debt_Qtr '!AJ187</f>
        <v>8.59375</v>
      </c>
      <c r="X187" s="38">
        <f>'Debt_Qtr '!AO187</f>
        <v>8.59375</v>
      </c>
      <c r="Y187" s="38">
        <f>'Debt_Qtr '!AT187</f>
        <v>8.59375</v>
      </c>
      <c r="Z187" s="38">
        <f>'Debt_Qtr '!AY187</f>
        <v>8.59375</v>
      </c>
      <c r="AA187" s="38">
        <f>'Debt_Qtr '!BD187</f>
        <v>8.59375</v>
      </c>
      <c r="AB187" s="38">
        <f>'Debt_Qtr '!BI187</f>
        <v>8.59375</v>
      </c>
      <c r="AC187" s="23">
        <f t="shared" si="19"/>
        <v>8.59375</v>
      </c>
      <c r="AD187" s="23">
        <f t="shared" si="19"/>
        <v>8.59375</v>
      </c>
      <c r="AE187" s="23">
        <f t="shared" si="19"/>
        <v>8.59375</v>
      </c>
      <c r="AF187" s="23">
        <f t="shared" si="19"/>
        <v>8.59375</v>
      </c>
    </row>
    <row r="188" spans="1:32" s="26" customFormat="1">
      <c r="A188" s="3" t="str">
        <f>'Debt_Qtr '!A188</f>
        <v>7.25% due June 2025</v>
      </c>
      <c r="B188" s="43"/>
      <c r="C188" s="43"/>
      <c r="D188" s="43"/>
      <c r="E188" s="43"/>
      <c r="F188" s="43"/>
      <c r="G188" s="43"/>
      <c r="H188" s="43"/>
      <c r="I188" s="43"/>
      <c r="J188" s="43"/>
      <c r="K188" s="43"/>
      <c r="L188" s="43"/>
      <c r="M188" s="43"/>
      <c r="N188" s="43"/>
      <c r="O188" s="43"/>
      <c r="P188" s="43"/>
      <c r="Q188" s="43"/>
      <c r="R188" s="43"/>
      <c r="S188" s="38">
        <f>'Debt_Qtr '!P188</f>
        <v>17.907499999999999</v>
      </c>
      <c r="T188" s="38">
        <f>'Debt_Qtr '!U188</f>
        <v>17.907499999999999</v>
      </c>
      <c r="U188" s="38">
        <f>'Debt_Qtr '!Z188</f>
        <v>17.9328115625</v>
      </c>
      <c r="V188" s="38">
        <f>'Debt_Qtr '!AE188</f>
        <v>18.123124062500001</v>
      </c>
      <c r="W188" s="38">
        <f>'Debt_Qtr '!AJ188</f>
        <v>18.125</v>
      </c>
      <c r="X188" s="38">
        <f>'Debt_Qtr '!AO188</f>
        <v>18.125</v>
      </c>
      <c r="Y188" s="38">
        <f>'Debt_Qtr '!AT188</f>
        <v>18.125</v>
      </c>
      <c r="Z188" s="38">
        <f>'Debt_Qtr '!AY188</f>
        <v>18.125</v>
      </c>
      <c r="AA188" s="38">
        <f>'Debt_Qtr '!BD188</f>
        <v>18.125</v>
      </c>
      <c r="AB188" s="38">
        <f>'Debt_Qtr '!BI188</f>
        <v>11.328125</v>
      </c>
      <c r="AC188" s="23">
        <f t="shared" si="19"/>
        <v>0</v>
      </c>
      <c r="AD188" s="23">
        <f t="shared" si="19"/>
        <v>0</v>
      </c>
      <c r="AE188" s="23">
        <f t="shared" si="19"/>
        <v>0</v>
      </c>
      <c r="AF188" s="23">
        <f t="shared" si="19"/>
        <v>0</v>
      </c>
    </row>
    <row r="189" spans="1:32" s="26" customFormat="1">
      <c r="A189" s="3" t="str">
        <f>'Debt_Qtr '!A189</f>
        <v>7.5% due Aug 2042</v>
      </c>
      <c r="B189" s="43"/>
      <c r="C189" s="43"/>
      <c r="D189" s="43"/>
      <c r="E189" s="43"/>
      <c r="F189" s="43"/>
      <c r="G189" s="43"/>
      <c r="H189" s="43"/>
      <c r="I189" s="43"/>
      <c r="J189" s="43"/>
      <c r="K189" s="43"/>
      <c r="L189" s="43"/>
      <c r="M189" s="43"/>
      <c r="N189" s="43"/>
      <c r="O189" s="43"/>
      <c r="P189" s="43"/>
      <c r="Q189" s="43"/>
      <c r="R189" s="43"/>
      <c r="S189" s="38">
        <f>'Debt_Qtr '!P189</f>
        <v>7.5</v>
      </c>
      <c r="T189" s="38">
        <f>'Debt_Qtr '!U189</f>
        <v>7.5</v>
      </c>
      <c r="U189" s="38">
        <f>'Debt_Qtr '!Z189</f>
        <v>7.4999062500000004</v>
      </c>
      <c r="V189" s="38">
        <f>'Debt_Qtr '!AE189</f>
        <v>7.4999062500000004</v>
      </c>
      <c r="W189" s="38">
        <f>'Debt_Qtr '!AJ189</f>
        <v>7.5</v>
      </c>
      <c r="X189" s="38">
        <f>'Debt_Qtr '!AO189</f>
        <v>7.5</v>
      </c>
      <c r="Y189" s="38">
        <f>'Debt_Qtr '!AT189</f>
        <v>7.5</v>
      </c>
      <c r="Z189" s="38">
        <f>'Debt_Qtr '!AY189</f>
        <v>7.5</v>
      </c>
      <c r="AA189" s="38">
        <f>'Debt_Qtr '!BD189</f>
        <v>7.5</v>
      </c>
      <c r="AB189" s="38">
        <f>'Debt_Qtr '!BI189</f>
        <v>7.5</v>
      </c>
      <c r="AC189" s="23">
        <f t="shared" si="19"/>
        <v>7.5</v>
      </c>
      <c r="AD189" s="23">
        <f t="shared" si="19"/>
        <v>7.5</v>
      </c>
      <c r="AE189" s="23">
        <f t="shared" si="19"/>
        <v>7.5</v>
      </c>
      <c r="AF189" s="23">
        <f t="shared" si="19"/>
        <v>7.5</v>
      </c>
    </row>
    <row r="190" spans="1:32" s="26" customFormat="1">
      <c r="A190" s="3" t="str">
        <f>'Debt_Qtr '!A190</f>
        <v>7.875% due April 2043</v>
      </c>
      <c r="B190" s="43"/>
      <c r="C190" s="43"/>
      <c r="D190" s="43"/>
      <c r="E190" s="43"/>
      <c r="F190" s="43"/>
      <c r="G190" s="43"/>
      <c r="H190" s="43"/>
      <c r="I190" s="43"/>
      <c r="J190" s="43"/>
      <c r="K190" s="43"/>
      <c r="L190" s="43"/>
      <c r="M190" s="43"/>
      <c r="N190" s="43"/>
      <c r="O190" s="43"/>
      <c r="P190" s="43"/>
      <c r="Q190" s="43"/>
      <c r="R190" s="43"/>
      <c r="S190" s="38">
        <f>'Debt_Qtr '!P190</f>
        <v>13.78125</v>
      </c>
      <c r="T190" s="38">
        <f>'Debt_Qtr '!U190</f>
        <v>13.78125</v>
      </c>
      <c r="U190" s="38">
        <f>'Debt_Qtr '!Z190</f>
        <v>13.78125</v>
      </c>
      <c r="V190" s="38">
        <f>'Debt_Qtr '!AE190</f>
        <v>13.78125</v>
      </c>
      <c r="W190" s="38">
        <f>'Debt_Qtr '!AJ190</f>
        <v>13.78125</v>
      </c>
      <c r="X190" s="38">
        <f>'Debt_Qtr '!AO190</f>
        <v>13.78125</v>
      </c>
      <c r="Y190" s="38">
        <f>'Debt_Qtr '!AT190</f>
        <v>13.78125</v>
      </c>
      <c r="Z190" s="38">
        <f>'Debt_Qtr '!AY190</f>
        <v>13.78125</v>
      </c>
      <c r="AA190" s="38">
        <f>'Debt_Qtr '!BD190</f>
        <v>13.78125</v>
      </c>
      <c r="AB190" s="38">
        <f>'Debt_Qtr '!BI190</f>
        <v>13.78125</v>
      </c>
      <c r="AC190" s="23">
        <f t="shared" si="19"/>
        <v>13.78125</v>
      </c>
      <c r="AD190" s="23">
        <f t="shared" si="19"/>
        <v>13.78125</v>
      </c>
      <c r="AE190" s="23">
        <f t="shared" si="19"/>
        <v>13.78125</v>
      </c>
      <c r="AF190" s="23">
        <f t="shared" si="19"/>
        <v>13.78125</v>
      </c>
    </row>
    <row r="191" spans="1:32" s="26" customFormat="1">
      <c r="A191" s="3" t="str">
        <f>'Debt_Qtr '!A191</f>
        <v>7.95% due Aug 2024</v>
      </c>
      <c r="B191" s="43"/>
      <c r="C191" s="43"/>
      <c r="D191" s="43"/>
      <c r="E191" s="43"/>
      <c r="F191" s="43"/>
      <c r="G191" s="43"/>
      <c r="H191" s="43"/>
      <c r="I191" s="43"/>
      <c r="J191" s="43"/>
      <c r="K191" s="43"/>
      <c r="L191" s="43"/>
      <c r="M191" s="43"/>
      <c r="N191" s="43"/>
      <c r="O191" s="43"/>
      <c r="P191" s="43"/>
      <c r="Q191" s="43"/>
      <c r="R191" s="43"/>
      <c r="S191" s="38">
        <f>'Debt_Qtr '!P191</f>
        <v>23.84046</v>
      </c>
      <c r="T191" s="38">
        <f>'Debt_Qtr '!U191</f>
        <v>23.84046</v>
      </c>
      <c r="U191" s="38">
        <f>'Debt_Qtr '!Z191</f>
        <v>23.84046</v>
      </c>
      <c r="V191" s="38">
        <f>'Debt_Qtr '!AE191</f>
        <v>23.848807499999999</v>
      </c>
      <c r="W191" s="38">
        <f>'Debt_Qtr '!AJ191</f>
        <v>23.85</v>
      </c>
      <c r="X191" s="38">
        <f>'Debt_Qtr '!AO191</f>
        <v>23.85</v>
      </c>
      <c r="Y191" s="38">
        <f>'Debt_Qtr '!AT191</f>
        <v>23.85</v>
      </c>
      <c r="Z191" s="38">
        <f>'Debt_Qtr '!AY191</f>
        <v>14.90625</v>
      </c>
      <c r="AA191" s="38">
        <f>'Debt_Qtr '!BD191</f>
        <v>0</v>
      </c>
      <c r="AB191" s="38">
        <f>'Debt_Qtr '!BI191</f>
        <v>0</v>
      </c>
      <c r="AC191" s="23">
        <f t="shared" si="19"/>
        <v>0</v>
      </c>
      <c r="AD191" s="23">
        <f t="shared" si="19"/>
        <v>0</v>
      </c>
      <c r="AE191" s="23">
        <f t="shared" si="19"/>
        <v>0</v>
      </c>
      <c r="AF191" s="23">
        <f t="shared" si="19"/>
        <v>0</v>
      </c>
    </row>
    <row r="192" spans="1:32" s="26" customFormat="1">
      <c r="A192" s="3" t="str">
        <f>'Debt_Qtr '!A192</f>
        <v>8.625% due Nov 2031</v>
      </c>
      <c r="B192" s="43"/>
      <c r="C192" s="43"/>
      <c r="D192" s="43"/>
      <c r="E192" s="43"/>
      <c r="F192" s="43"/>
      <c r="G192" s="43"/>
      <c r="H192" s="43"/>
      <c r="I192" s="43"/>
      <c r="J192" s="43"/>
      <c r="K192" s="43"/>
      <c r="L192" s="43"/>
      <c r="M192" s="43"/>
      <c r="N192" s="43"/>
      <c r="O192" s="43"/>
      <c r="P192" s="43"/>
      <c r="Q192" s="43"/>
      <c r="R192" s="43"/>
      <c r="S192" s="38">
        <f>'Debt_Qtr '!P192</f>
        <v>15.093749999999998</v>
      </c>
      <c r="T192" s="38">
        <f>'Debt_Qtr '!U192</f>
        <v>15.093749999999998</v>
      </c>
      <c r="U192" s="38">
        <f>'Debt_Qtr '!Z192</f>
        <v>15.093749999999998</v>
      </c>
      <c r="V192" s="38">
        <f>'Debt_Qtr '!AE192</f>
        <v>15.093749999999998</v>
      </c>
      <c r="W192" s="38">
        <f>'Debt_Qtr '!AJ192</f>
        <v>15.093749999999998</v>
      </c>
      <c r="X192" s="38">
        <f>'Debt_Qtr '!AO192</f>
        <v>15.093749999999998</v>
      </c>
      <c r="Y192" s="38">
        <f>'Debt_Qtr '!AT192</f>
        <v>15.093749999999998</v>
      </c>
      <c r="Z192" s="38">
        <f>'Debt_Qtr '!AY192</f>
        <v>15.093749999999998</v>
      </c>
      <c r="AA192" s="38">
        <f>'Debt_Qtr '!BD192</f>
        <v>15.093749999999998</v>
      </c>
      <c r="AB192" s="38">
        <f>'Debt_Qtr '!BI192</f>
        <v>15.093749999999998</v>
      </c>
      <c r="AC192" s="23">
        <f t="shared" si="19"/>
        <v>15.093749999999998</v>
      </c>
      <c r="AD192" s="23">
        <f t="shared" si="19"/>
        <v>15.093749999999998</v>
      </c>
      <c r="AE192" s="23">
        <f t="shared" si="19"/>
        <v>15.093749999999998</v>
      </c>
      <c r="AF192" s="23">
        <f t="shared" si="19"/>
        <v>15.093749999999998</v>
      </c>
    </row>
    <row r="193" spans="1:32" s="26" customFormat="1">
      <c r="A193" s="3" t="str">
        <f>'Debt_Qtr '!A193</f>
        <v>8.75% due Sep 2031</v>
      </c>
      <c r="B193" s="43"/>
      <c r="C193" s="43"/>
      <c r="D193" s="43"/>
      <c r="E193" s="43"/>
      <c r="F193" s="43"/>
      <c r="G193" s="43"/>
      <c r="H193" s="43"/>
      <c r="I193" s="43"/>
      <c r="J193" s="43"/>
      <c r="K193" s="43"/>
      <c r="L193" s="43"/>
      <c r="M193" s="43"/>
      <c r="N193" s="43"/>
      <c r="O193" s="43"/>
      <c r="P193" s="43"/>
      <c r="Q193" s="43"/>
      <c r="R193" s="43"/>
      <c r="S193" s="38">
        <f>'Debt_Qtr '!P193</f>
        <v>21.7</v>
      </c>
      <c r="T193" s="38">
        <f>'Debt_Qtr '!U193</f>
        <v>21.7</v>
      </c>
      <c r="U193" s="38">
        <f>'Debt_Qtr '!Z193</f>
        <v>21.721656249999999</v>
      </c>
      <c r="V193" s="38">
        <f>'Debt_Qtr '!AE193</f>
        <v>21.874781249999998</v>
      </c>
      <c r="W193" s="38">
        <f>'Debt_Qtr '!AJ193</f>
        <v>21.875</v>
      </c>
      <c r="X193" s="38">
        <f>'Debt_Qtr '!AO193</f>
        <v>21.875</v>
      </c>
      <c r="Y193" s="38">
        <f>'Debt_Qtr '!AT193</f>
        <v>21.875</v>
      </c>
      <c r="Z193" s="38">
        <f>'Debt_Qtr '!AY193</f>
        <v>21.875</v>
      </c>
      <c r="AA193" s="38">
        <f>'Debt_Qtr '!BD193</f>
        <v>21.875</v>
      </c>
      <c r="AB193" s="38">
        <f>'Debt_Qtr '!BI193</f>
        <v>21.875</v>
      </c>
      <c r="AC193" s="23">
        <f t="shared" si="19"/>
        <v>21.875</v>
      </c>
      <c r="AD193" s="23">
        <f t="shared" si="19"/>
        <v>21.875</v>
      </c>
      <c r="AE193" s="23">
        <f t="shared" si="19"/>
        <v>21.875</v>
      </c>
      <c r="AF193" s="23">
        <f t="shared" si="19"/>
        <v>21.875</v>
      </c>
    </row>
    <row r="194" spans="1:32" s="26" customFormat="1">
      <c r="A194" s="3" t="str">
        <f>'Debt_Qtr '!A194</f>
        <v>8.75% due Aug 2021</v>
      </c>
      <c r="B194" s="43"/>
      <c r="C194" s="43"/>
      <c r="D194" s="43"/>
      <c r="E194" s="43"/>
      <c r="F194" s="43"/>
      <c r="G194" s="43"/>
      <c r="H194" s="43"/>
      <c r="I194" s="43"/>
      <c r="J194" s="43"/>
      <c r="K194" s="43"/>
      <c r="L194" s="43"/>
      <c r="M194" s="43"/>
      <c r="N194" s="43"/>
      <c r="O194" s="43"/>
      <c r="P194" s="43"/>
      <c r="Q194" s="43"/>
      <c r="R194" s="43"/>
      <c r="S194" s="38">
        <f>'Debt_Qtr '!P194</f>
        <v>34.824999999999996</v>
      </c>
      <c r="T194" s="38">
        <f>'Debt_Qtr '!U194</f>
        <v>34.824999999999996</v>
      </c>
      <c r="U194" s="38">
        <f>'Debt_Qtr '!Z194</f>
        <v>34.846481249999997</v>
      </c>
      <c r="V194" s="38">
        <f>'Debt_Qtr '!AE194</f>
        <v>34.999606249999999</v>
      </c>
      <c r="W194" s="38">
        <f>'Debt_Qtr '!AJ194</f>
        <v>21.875</v>
      </c>
      <c r="X194" s="38">
        <f>'Debt_Qtr '!AO194</f>
        <v>0</v>
      </c>
      <c r="Y194" s="38">
        <f>'Debt_Qtr '!AT194</f>
        <v>0</v>
      </c>
      <c r="Z194" s="38">
        <f>'Debt_Qtr '!AY194</f>
        <v>0</v>
      </c>
      <c r="AA194" s="38">
        <f>'Debt_Qtr '!BD194</f>
        <v>0</v>
      </c>
      <c r="AB194" s="38">
        <f>'Debt_Qtr '!BI194</f>
        <v>0</v>
      </c>
      <c r="AC194" s="23">
        <f t="shared" si="19"/>
        <v>0</v>
      </c>
      <c r="AD194" s="23">
        <f t="shared" si="19"/>
        <v>0</v>
      </c>
      <c r="AE194" s="23">
        <f t="shared" si="19"/>
        <v>0</v>
      </c>
      <c r="AF194" s="23">
        <f t="shared" si="19"/>
        <v>0</v>
      </c>
    </row>
    <row r="195" spans="1:32" s="26" customFormat="1">
      <c r="A195" s="3" t="str">
        <f>'Debt_Qtr '!A195</f>
        <v>Term loan facility Due Feb 2022</v>
      </c>
      <c r="B195" s="43"/>
      <c r="C195" s="43"/>
      <c r="D195" s="43"/>
      <c r="E195" s="43"/>
      <c r="F195" s="43"/>
      <c r="G195" s="43"/>
      <c r="H195" s="43"/>
      <c r="I195" s="43"/>
      <c r="J195" s="43"/>
      <c r="K195" s="43"/>
      <c r="L195" s="43"/>
      <c r="M195" s="43"/>
      <c r="N195" s="43"/>
      <c r="O195" s="43"/>
      <c r="P195" s="43"/>
      <c r="Q195" s="43"/>
      <c r="R195" s="43"/>
      <c r="S195" s="38">
        <f>'Debt_Qtr '!P195</f>
        <v>0</v>
      </c>
      <c r="T195" s="38">
        <f>'Debt_Qtr '!U195</f>
        <v>0</v>
      </c>
      <c r="U195" s="38">
        <f>'Debt_Qtr '!Z195</f>
        <v>0</v>
      </c>
      <c r="V195" s="38">
        <f>'Debt_Qtr '!AE195</f>
        <v>210.29530083333333</v>
      </c>
      <c r="W195" s="38">
        <f>'Debt_Qtr '!AJ195</f>
        <v>50.037264414583326</v>
      </c>
      <c r="X195" s="38">
        <f>'Debt_Qtr '!AO195</f>
        <v>0</v>
      </c>
      <c r="Y195" s="38">
        <f>'Debt_Qtr '!AT195</f>
        <v>0</v>
      </c>
      <c r="Z195" s="38">
        <f>'Debt_Qtr '!AY195</f>
        <v>0</v>
      </c>
      <c r="AA195" s="38">
        <f>'Debt_Qtr '!BD195</f>
        <v>0</v>
      </c>
      <c r="AB195" s="38">
        <f>'Debt_Qtr '!BI195</f>
        <v>0</v>
      </c>
      <c r="AC195" s="23">
        <f t="shared" si="19"/>
        <v>0</v>
      </c>
      <c r="AD195" s="23">
        <f t="shared" si="19"/>
        <v>0</v>
      </c>
      <c r="AE195" s="23">
        <f t="shared" si="19"/>
        <v>0</v>
      </c>
      <c r="AF195" s="23">
        <f t="shared" si="19"/>
        <v>0</v>
      </c>
    </row>
    <row r="196" spans="1:32" s="26" customFormat="1">
      <c r="A196" s="3" t="str">
        <f>'Debt_Qtr '!A196</f>
        <v>Commercial Paper</v>
      </c>
      <c r="B196" s="43"/>
      <c r="C196" s="43"/>
      <c r="D196" s="43"/>
      <c r="E196" s="43"/>
      <c r="F196" s="43"/>
      <c r="G196" s="43"/>
      <c r="H196" s="43"/>
      <c r="I196" s="43"/>
      <c r="J196" s="43"/>
      <c r="K196" s="43"/>
      <c r="L196" s="43"/>
      <c r="M196" s="43"/>
      <c r="N196" s="43"/>
      <c r="O196" s="43"/>
      <c r="P196" s="43"/>
      <c r="Q196" s="43"/>
      <c r="R196" s="43"/>
      <c r="S196" s="38">
        <f>'Debt_Qtr '!P196</f>
        <v>12</v>
      </c>
      <c r="T196" s="38">
        <f>'Debt_Qtr '!U196</f>
        <v>15.237500000000001</v>
      </c>
      <c r="U196" s="38">
        <f>'Debt_Qtr '!Z196</f>
        <v>59.855000000000004</v>
      </c>
      <c r="V196" s="38">
        <f>'Debt_Qtr '!AE196</f>
        <v>46.772500000000001</v>
      </c>
      <c r="W196" s="38">
        <f>'Debt_Qtr '!AJ196</f>
        <v>-4.5</v>
      </c>
      <c r="X196" s="38">
        <f>'Debt_Qtr '!AO196</f>
        <v>0</v>
      </c>
      <c r="Y196" s="38">
        <f>'Debt_Qtr '!AT196</f>
        <v>0</v>
      </c>
      <c r="Z196" s="38">
        <f>'Debt_Qtr '!AY196</f>
        <v>0</v>
      </c>
      <c r="AA196" s="38">
        <f>'Debt_Qtr '!BD196</f>
        <v>0</v>
      </c>
      <c r="AB196" s="38">
        <f>'Debt_Qtr '!BI196</f>
        <v>0</v>
      </c>
      <c r="AC196" s="23">
        <f t="shared" si="19"/>
        <v>0</v>
      </c>
      <c r="AD196" s="23">
        <f t="shared" si="19"/>
        <v>0</v>
      </c>
      <c r="AE196" s="23">
        <f t="shared" si="19"/>
        <v>0</v>
      </c>
      <c r="AF196" s="23">
        <f t="shared" si="19"/>
        <v>0</v>
      </c>
    </row>
    <row r="197" spans="1:32" s="26" customFormat="1">
      <c r="A197" s="3" t="str">
        <f>'Debt_Qtr '!A197</f>
        <v>6.98% to 7.38% due through 2021</v>
      </c>
      <c r="B197" s="43"/>
      <c r="C197" s="43"/>
      <c r="D197" s="43"/>
      <c r="E197" s="43"/>
      <c r="F197" s="43"/>
      <c r="G197" s="43"/>
      <c r="H197" s="43"/>
      <c r="I197" s="43"/>
      <c r="J197" s="43"/>
      <c r="K197" s="43"/>
      <c r="L197" s="43"/>
      <c r="M197" s="43"/>
      <c r="N197" s="43"/>
      <c r="O197" s="43"/>
      <c r="P197" s="43"/>
      <c r="Q197" s="43"/>
      <c r="R197" s="43"/>
      <c r="S197" s="38">
        <f>'Debt_Qtr '!P197</f>
        <v>6.7492000000000001</v>
      </c>
      <c r="T197" s="38">
        <f>'Debt_Qtr '!U197</f>
        <v>6.282</v>
      </c>
      <c r="U197" s="38">
        <f>'Debt_Qtr '!Z197</f>
        <v>4.1094749999999998</v>
      </c>
      <c r="V197" s="38">
        <f>'Debt_Qtr '!AE197</f>
        <v>2.5826000000000002</v>
      </c>
      <c r="W197" s="38">
        <f>'Debt_Qtr '!AJ197</f>
        <v>2.2597750000000003</v>
      </c>
      <c r="X197" s="38">
        <f>'Debt_Qtr '!AO197</f>
        <v>0</v>
      </c>
      <c r="Y197" s="38">
        <f>'Debt_Qtr '!AT197</f>
        <v>0</v>
      </c>
      <c r="Z197" s="38">
        <f>'Debt_Qtr '!AY197</f>
        <v>0</v>
      </c>
      <c r="AA197" s="38">
        <f>'Debt_Qtr '!BD197</f>
        <v>0</v>
      </c>
      <c r="AB197" s="38">
        <f>'Debt_Qtr '!BI197</f>
        <v>0</v>
      </c>
      <c r="AC197" s="23">
        <f t="shared" si="19"/>
        <v>0</v>
      </c>
      <c r="AD197" s="23">
        <f t="shared" si="19"/>
        <v>0</v>
      </c>
      <c r="AE197" s="23">
        <f t="shared" si="19"/>
        <v>0</v>
      </c>
      <c r="AF197" s="23">
        <f t="shared" si="19"/>
        <v>0</v>
      </c>
    </row>
    <row r="198" spans="1:32" s="26" customFormat="1">
      <c r="A198" s="3" t="str">
        <f>'Debt_Qtr '!A198</f>
        <v>Finance lease obligations due through 2034</v>
      </c>
      <c r="B198" s="43"/>
      <c r="C198" s="43"/>
      <c r="D198" s="43"/>
      <c r="E198" s="43"/>
      <c r="F198" s="43"/>
      <c r="G198" s="43"/>
      <c r="H198" s="43"/>
      <c r="I198" s="43"/>
      <c r="J198" s="43"/>
      <c r="K198" s="43"/>
      <c r="L198" s="43"/>
      <c r="M198" s="43"/>
      <c r="N198" s="43"/>
      <c r="O198" s="43"/>
      <c r="P198" s="43"/>
      <c r="Q198" s="43"/>
      <c r="R198" s="43"/>
      <c r="S198" s="38">
        <f>'Debt_Qtr '!P198</f>
        <v>6.21</v>
      </c>
      <c r="T198" s="38">
        <f>'Debt_Qtr '!U198</f>
        <v>6.3112499999999994</v>
      </c>
      <c r="U198" s="38">
        <f>'Debt_Qtr '!Z198</f>
        <v>7.4306249999999991</v>
      </c>
      <c r="V198" s="38">
        <f>'Debt_Qtr '!AE198</f>
        <v>10.305</v>
      </c>
      <c r="W198" s="38">
        <f>'Debt_Qtr '!AJ198</f>
        <v>10.305</v>
      </c>
      <c r="X198" s="38">
        <f>'Debt_Qtr '!AO198</f>
        <v>10.305</v>
      </c>
      <c r="Y198" s="38">
        <f>'Debt_Qtr '!AT198</f>
        <v>10.305</v>
      </c>
      <c r="Z198" s="38">
        <f>'Debt_Qtr '!AY198</f>
        <v>10.305</v>
      </c>
      <c r="AA198" s="38">
        <f>'Debt_Qtr '!BD198</f>
        <v>10.305</v>
      </c>
      <c r="AB198" s="38">
        <f>'Debt_Qtr '!BI198</f>
        <v>10.305</v>
      </c>
      <c r="AC198" s="23">
        <f t="shared" si="19"/>
        <v>10.305</v>
      </c>
      <c r="AD198" s="23">
        <f t="shared" si="19"/>
        <v>10.305</v>
      </c>
      <c r="AE198" s="23">
        <f t="shared" si="19"/>
        <v>10.305</v>
      </c>
      <c r="AF198" s="23">
        <f t="shared" si="19"/>
        <v>10.305</v>
      </c>
    </row>
    <row r="199" spans="1:32" s="26" customFormat="1">
      <c r="A199" s="3" t="str">
        <f>'Debt_Qtr '!A199</f>
        <v>Other Notes</v>
      </c>
      <c r="B199" s="43"/>
      <c r="C199" s="43"/>
      <c r="D199" s="43"/>
      <c r="E199" s="43"/>
      <c r="F199" s="43"/>
      <c r="G199" s="43"/>
      <c r="H199" s="43"/>
      <c r="I199" s="43"/>
      <c r="J199" s="43"/>
      <c r="K199" s="43"/>
      <c r="L199" s="43"/>
      <c r="M199" s="43"/>
      <c r="N199" s="43"/>
      <c r="O199" s="43"/>
      <c r="P199" s="43"/>
      <c r="Q199" s="43"/>
      <c r="R199" s="43"/>
      <c r="S199" s="38">
        <f>'Debt_Qtr '!P199</f>
        <v>2.7</v>
      </c>
      <c r="T199" s="38">
        <f>'Debt_Qtr '!U199</f>
        <v>2.7875000000000005</v>
      </c>
      <c r="U199" s="38">
        <f>'Debt_Qtr '!Z199</f>
        <v>3.335</v>
      </c>
      <c r="V199" s="38">
        <f>'Debt_Qtr '!AE199</f>
        <v>2.88</v>
      </c>
      <c r="W199" s="38">
        <f>'Debt_Qtr '!AJ199</f>
        <v>2.88</v>
      </c>
      <c r="X199" s="38">
        <f>'Debt_Qtr '!AO199</f>
        <v>2.88</v>
      </c>
      <c r="Y199" s="38">
        <f>'Debt_Qtr '!AT199</f>
        <v>2.88</v>
      </c>
      <c r="Z199" s="38">
        <f>'Debt_Qtr '!AY199</f>
        <v>2.88</v>
      </c>
      <c r="AA199" s="38">
        <f>'Debt_Qtr '!BD199</f>
        <v>2.88</v>
      </c>
      <c r="AB199" s="38">
        <f>'Debt_Qtr '!BI199</f>
        <v>2.88</v>
      </c>
      <c r="AC199" s="23">
        <f t="shared" si="19"/>
        <v>2.88</v>
      </c>
      <c r="AD199" s="23">
        <f t="shared" si="19"/>
        <v>2.88</v>
      </c>
      <c r="AE199" s="23">
        <f t="shared" si="19"/>
        <v>2.88</v>
      </c>
      <c r="AF199" s="23">
        <f t="shared" si="19"/>
        <v>2.88</v>
      </c>
    </row>
    <row r="200" spans="1:32" s="26" customFormat="1">
      <c r="A200" s="3" t="str">
        <f>'Debt_Qtr '!A200</f>
        <v>Additional Debt</v>
      </c>
      <c r="B200" s="43"/>
      <c r="C200" s="43"/>
      <c r="D200" s="43"/>
      <c r="E200" s="43"/>
      <c r="F200" s="43"/>
      <c r="G200" s="43"/>
      <c r="H200" s="43"/>
      <c r="I200" s="43"/>
      <c r="J200" s="43"/>
      <c r="K200" s="43"/>
      <c r="L200" s="43"/>
      <c r="M200" s="43"/>
      <c r="N200" s="43"/>
      <c r="O200" s="43"/>
      <c r="P200" s="43"/>
      <c r="Q200" s="43"/>
      <c r="R200" s="43"/>
      <c r="S200" s="38">
        <f>'Debt_Qtr '!P200</f>
        <v>0</v>
      </c>
      <c r="T200" s="38">
        <f>'Debt_Qtr '!U200</f>
        <v>0</v>
      </c>
      <c r="U200" s="38">
        <f>'Debt_Qtr '!Z200</f>
        <v>0</v>
      </c>
      <c r="V200" s="38">
        <f>'Debt_Qtr '!AE200</f>
        <v>874.84375</v>
      </c>
      <c r="W200" s="38">
        <f>'Debt_Qtr '!AJ200</f>
        <v>1524.785625</v>
      </c>
      <c r="X200" s="38">
        <f>'Debt_Qtr '!AO200</f>
        <v>1429.1247500000002</v>
      </c>
      <c r="Y200" s="38">
        <f>'Debt_Qtr '!AT200</f>
        <v>1325.1511250000001</v>
      </c>
      <c r="Z200" s="38">
        <f>'Debt_Qtr '!AY200</f>
        <v>1933.9505000000004</v>
      </c>
      <c r="AA200" s="38">
        <f>'Debt_Qtr '!BD200</f>
        <v>2138.640625</v>
      </c>
      <c r="AB200" s="38">
        <f>'Debt_Qtr '!BI200</f>
        <v>2105.4375</v>
      </c>
      <c r="AC200" s="23">
        <f t="shared" si="19"/>
        <v>2021.22</v>
      </c>
      <c r="AD200" s="23">
        <f t="shared" si="19"/>
        <v>1937.0024999999998</v>
      </c>
      <c r="AE200" s="23">
        <f t="shared" si="19"/>
        <v>1852.7849999999999</v>
      </c>
      <c r="AF200" s="23">
        <f t="shared" si="19"/>
        <v>1768.5674999999997</v>
      </c>
    </row>
    <row r="201" spans="1:32" s="26" customFormat="1">
      <c r="A201" s="3" t="str">
        <f>'Debt_Qtr '!A201</f>
        <v>Others</v>
      </c>
      <c r="B201" s="43"/>
      <c r="C201" s="43"/>
      <c r="D201" s="43"/>
      <c r="E201" s="43"/>
      <c r="F201" s="43"/>
      <c r="G201" s="43"/>
      <c r="H201" s="43"/>
      <c r="I201" s="43"/>
      <c r="J201" s="43"/>
      <c r="K201" s="43"/>
      <c r="L201" s="43"/>
      <c r="M201" s="43"/>
      <c r="N201" s="43"/>
      <c r="O201" s="43"/>
      <c r="P201" s="43"/>
      <c r="Q201" s="43"/>
      <c r="R201" s="43"/>
      <c r="S201" s="38">
        <f>'Debt_Qtr '!P201</f>
        <v>-108.62590999999998</v>
      </c>
      <c r="T201" s="38">
        <f>'Debt_Qtr '!U201</f>
        <v>-38.20214749999991</v>
      </c>
      <c r="U201" s="38">
        <f>'Debt_Qtr '!Z201</f>
        <v>-11.20882937500005</v>
      </c>
      <c r="V201" s="38">
        <f>'Debt_Qtr '!AE201</f>
        <v>226.03252229166645</v>
      </c>
      <c r="W201" s="38">
        <f>'Debt_Qtr '!AJ201</f>
        <v>-14.426914414583621</v>
      </c>
      <c r="X201" s="38">
        <f>'Debt_Qtr '!AO201</f>
        <v>35.24662499999954</v>
      </c>
      <c r="Y201" s="38">
        <f>'Debt_Qtr '!AT201</f>
        <v>121.66318749999994</v>
      </c>
      <c r="Z201" s="38">
        <f>'Debt_Qtr '!AY201</f>
        <v>-117.2505000000001</v>
      </c>
      <c r="AA201" s="38">
        <f>'Debt_Qtr '!BD201</f>
        <v>-246.77937500000007</v>
      </c>
      <c r="AB201" s="38">
        <f>'Debt_Qtr '!BI201</f>
        <v>-209.72112500000003</v>
      </c>
      <c r="AC201" s="422">
        <v>-217</v>
      </c>
      <c r="AD201" s="422">
        <f t="shared" ref="AD201" si="20">AC201</f>
        <v>-217</v>
      </c>
      <c r="AE201" s="422">
        <v>-218</v>
      </c>
      <c r="AF201" s="422">
        <v>-134</v>
      </c>
    </row>
    <row r="202" spans="1:32" s="26" customFormat="1">
      <c r="A202" s="12" t="str">
        <f>'Debt_Qtr '!A202</f>
        <v>Total Interest</v>
      </c>
      <c r="B202" s="96"/>
      <c r="C202" s="96"/>
      <c r="D202" s="96"/>
      <c r="E202" s="96"/>
      <c r="F202" s="96"/>
      <c r="G202" s="96"/>
      <c r="H202" s="96"/>
      <c r="I202" s="96"/>
      <c r="J202" s="96"/>
      <c r="K202" s="96"/>
      <c r="L202" s="96"/>
      <c r="M202" s="96"/>
      <c r="N202" s="96"/>
      <c r="O202" s="96"/>
      <c r="P202" s="96"/>
      <c r="Q202" s="96"/>
      <c r="R202" s="96"/>
      <c r="S202" s="184">
        <f>'Debt_Qtr '!P202</f>
        <v>360</v>
      </c>
      <c r="T202" s="184">
        <f>'Debt_Qtr '!U202</f>
        <v>475</v>
      </c>
      <c r="U202" s="184">
        <f>'Debt_Qtr '!Z202</f>
        <v>722</v>
      </c>
      <c r="V202" s="184">
        <f>'Debt_Qtr '!AE202</f>
        <v>2156</v>
      </c>
      <c r="W202" s="184">
        <f>'Debt_Qtr '!AJ202</f>
        <v>2682</v>
      </c>
      <c r="X202" s="184">
        <f>'Debt_Qtr '!AO202</f>
        <v>2533</v>
      </c>
      <c r="Y202" s="184">
        <f>'Debt_Qtr '!AT202</f>
        <v>2459</v>
      </c>
      <c r="Z202" s="184">
        <f>'Debt_Qtr '!AY202</f>
        <v>2725.0000000000005</v>
      </c>
      <c r="AA202" s="184">
        <f>'Debt_Qtr '!BD202</f>
        <v>2771</v>
      </c>
      <c r="AB202" s="184">
        <f>'Debt_Qtr '!BI202</f>
        <v>2709.1482500000002</v>
      </c>
      <c r="AC202" s="457">
        <f>SUM(AC140:AC201)</f>
        <v>2479.2937499999998</v>
      </c>
      <c r="AD202" s="457">
        <f>SUM(AD140:AD201)</f>
        <v>2263.4692500000001</v>
      </c>
      <c r="AE202" s="457">
        <f>SUM(AE140:AE201)</f>
        <v>2132.2887499999997</v>
      </c>
      <c r="AF202" s="457">
        <f>SUM(AF140:AF201)</f>
        <v>2132.0712499999995</v>
      </c>
    </row>
    <row r="203" spans="1:32">
      <c r="A203" s="221"/>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c r="AA203" s="222"/>
      <c r="AB203" s="222"/>
    </row>
    <row r="204" spans="1:32">
      <c r="AB204" s="26"/>
      <c r="AC204" s="297">
        <v>-2479.0762500000001</v>
      </c>
      <c r="AD204" s="297">
        <v>-2263.2517499999999</v>
      </c>
      <c r="AE204" s="297">
        <v>-2132.2887499999997</v>
      </c>
      <c r="AF204" s="297">
        <v>0</v>
      </c>
    </row>
  </sheetData>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
  <dimension ref="A1:BK204"/>
  <sheetViews>
    <sheetView showGridLines="0" zoomScale="85" zoomScaleNormal="85" workbookViewId="0">
      <pane xSplit="1" ySplit="2" topLeftCell="AT3" activePane="bottomRight" state="frozen"/>
      <selection activeCell="AD59" sqref="AD59"/>
      <selection pane="topRight" activeCell="AD59" sqref="AD59"/>
      <selection pane="bottomLeft" activeCell="AD59" sqref="AD59"/>
      <selection pane="bottomRight" activeCell="BG71" sqref="BG71"/>
    </sheetView>
  </sheetViews>
  <sheetFormatPr defaultRowHeight="14.5" outlineLevelCol="1"/>
  <cols>
    <col min="1" max="1" width="48" customWidth="1"/>
    <col min="2" max="4" width="12.1796875" style="26" hidden="1" customWidth="1" outlineLevel="1"/>
    <col min="5" max="5" width="12.1796875" style="97" hidden="1" customWidth="1" outlineLevel="1"/>
    <col min="6" max="6" width="12.1796875" style="26" customWidth="1" collapsed="1"/>
    <col min="7" max="9" width="12.1796875" style="26" hidden="1" customWidth="1" outlineLevel="1"/>
    <col min="10" max="10" width="12.1796875" style="97" hidden="1" customWidth="1" outlineLevel="1"/>
    <col min="11" max="11" width="12.1796875" style="26" customWidth="1" collapsed="1"/>
    <col min="12" max="14" width="12.1796875" style="26" hidden="1" customWidth="1" outlineLevel="1"/>
    <col min="15" max="15" width="12.1796875" style="97" hidden="1" customWidth="1" outlineLevel="1"/>
    <col min="16" max="16" width="12.1796875" style="26" customWidth="1" collapsed="1"/>
    <col min="17" max="19" width="12.1796875" style="26" hidden="1" customWidth="1" outlineLevel="1"/>
    <col min="20" max="20" width="12.1796875" style="97" hidden="1" customWidth="1" outlineLevel="1"/>
    <col min="21" max="21" width="12.1796875" style="26" customWidth="1" collapsed="1"/>
    <col min="22" max="24" width="12.1796875" style="26" hidden="1" customWidth="1" outlineLevel="1"/>
    <col min="25" max="25" width="12.1796875" style="97" hidden="1" customWidth="1" outlineLevel="1"/>
    <col min="26" max="26" width="12.1796875" style="26" customWidth="1" collapsed="1"/>
    <col min="27" max="29" width="12.1796875" style="26" customWidth="1" outlineLevel="1"/>
    <col min="30" max="30" width="12.1796875" style="97" customWidth="1" outlineLevel="1"/>
    <col min="31" max="31" width="12.1796875" style="26" customWidth="1"/>
    <col min="32" max="34" width="12.1796875" style="26" customWidth="1" outlineLevel="1"/>
    <col min="35" max="35" width="12.1796875" style="97" customWidth="1" outlineLevel="1"/>
    <col min="36" max="36" width="12.1796875" style="26" customWidth="1"/>
    <col min="37" max="39" width="12.1796875" style="26" customWidth="1" outlineLevel="1"/>
    <col min="40" max="40" width="12.1796875" style="97" customWidth="1" outlineLevel="1"/>
    <col min="41" max="41" width="12.1796875" style="26" customWidth="1"/>
    <col min="42" max="44" width="12.1796875" style="26" customWidth="1" outlineLevel="1"/>
    <col min="45" max="45" width="12.1796875" style="97" customWidth="1" outlineLevel="1"/>
    <col min="46" max="46" width="12.1796875" style="26" customWidth="1"/>
    <col min="47" max="49" width="12.1796875" style="26" customWidth="1" outlineLevel="1"/>
    <col min="50" max="50" width="12.1796875" style="97" customWidth="1" outlineLevel="1"/>
    <col min="51" max="51" width="12.1796875" style="26" customWidth="1"/>
    <col min="52" max="54" width="12.1796875" style="26" customWidth="1" outlineLevel="1"/>
    <col min="55" max="55" width="12.1796875" style="97" customWidth="1" outlineLevel="1"/>
    <col min="56" max="56" width="12.1796875" style="26" customWidth="1"/>
    <col min="57" max="59" width="12.1796875" style="26" customWidth="1" outlineLevel="1"/>
    <col min="60" max="60" width="12.1796875" style="97" customWidth="1" outlineLevel="1"/>
    <col min="61" max="61" width="12.1796875" style="26" customWidth="1"/>
  </cols>
  <sheetData>
    <row r="1" spans="1:61">
      <c r="A1" s="15" t="s">
        <v>197</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row>
    <row r="2" spans="1:61">
      <c r="B2" s="101" t="str">
        <f>Income_Statement_Qtr!B2</f>
        <v>1Q15A</v>
      </c>
      <c r="C2" s="101" t="str">
        <f>Income_Statement_Qtr!C2</f>
        <v>2Q15A</v>
      </c>
      <c r="D2" s="101" t="str">
        <f>Income_Statement_Qtr!D2</f>
        <v>3Q15A</v>
      </c>
      <c r="E2" s="101" t="str">
        <f>Income_Statement_Qtr!E2</f>
        <v>4Q15A</v>
      </c>
      <c r="F2" s="103" t="str">
        <f>Income_Statement_Qtr!F2</f>
        <v>CY2015A</v>
      </c>
      <c r="G2" s="101" t="str">
        <f>Income_Statement_Qtr!G2</f>
        <v>1Q16A</v>
      </c>
      <c r="H2" s="101" t="str">
        <f>Income_Statement_Qtr!H2</f>
        <v>2Q16A</v>
      </c>
      <c r="I2" s="101" t="str">
        <f>Income_Statement_Qtr!I2</f>
        <v>3Q16A</v>
      </c>
      <c r="J2" s="101" t="str">
        <f>Income_Statement_Qtr!J2</f>
        <v>4Q16A</v>
      </c>
      <c r="K2" s="103" t="str">
        <f>Income_Statement_Qtr!K2</f>
        <v>CY2016A</v>
      </c>
      <c r="L2" s="101" t="str">
        <f>Income_Statement_Qtr!L2</f>
        <v>1Q17A</v>
      </c>
      <c r="M2" s="101" t="str">
        <f>Income_Statement_Qtr!M2</f>
        <v>2Q17A</v>
      </c>
      <c r="N2" s="101" t="str">
        <f>Income_Statement_Qtr!N2</f>
        <v>3Q17A</v>
      </c>
      <c r="O2" s="101" t="str">
        <f>Income_Statement_Qtr!O2</f>
        <v>4Q17A</v>
      </c>
      <c r="P2" s="103" t="str">
        <f>Income_Statement_Qtr!P2</f>
        <v>CY2017A</v>
      </c>
      <c r="Q2" s="101" t="s">
        <v>161</v>
      </c>
      <c r="R2" s="101" t="s">
        <v>162</v>
      </c>
      <c r="S2" s="101" t="s">
        <v>163</v>
      </c>
      <c r="T2" s="101" t="s">
        <v>164</v>
      </c>
      <c r="U2" s="103" t="s">
        <v>165</v>
      </c>
      <c r="V2" s="101" t="s">
        <v>5</v>
      </c>
      <c r="W2" s="101" t="s">
        <v>6</v>
      </c>
      <c r="X2" s="101" t="s">
        <v>7</v>
      </c>
      <c r="Y2" s="101" t="s">
        <v>8</v>
      </c>
      <c r="Z2" s="103" t="s">
        <v>160</v>
      </c>
      <c r="AA2" s="101" t="s">
        <v>196</v>
      </c>
      <c r="AB2" s="101" t="str">
        <f>Income_Statement_Qtr!AB2</f>
        <v>2Q20A</v>
      </c>
      <c r="AC2" s="101" t="str">
        <f>Income_Statement_Qtr!AC2</f>
        <v>3Q20A</v>
      </c>
      <c r="AD2" s="101" t="str">
        <f>Income_Statement_Qtr!AD2</f>
        <v>4Q20A</v>
      </c>
      <c r="AE2" s="103" t="str">
        <f>Income_Statement_Qtr!AE2</f>
        <v>CY2020E</v>
      </c>
      <c r="AF2" s="101" t="str">
        <f>Income_Statement_Qtr!AF2</f>
        <v>1Q21A</v>
      </c>
      <c r="AG2" s="101" t="str">
        <f>Income_Statement_Qtr!AG2</f>
        <v>2Q21A</v>
      </c>
      <c r="AH2" s="101" t="str">
        <f>Income_Statement_Qtr!AH2</f>
        <v>3Q21A</v>
      </c>
      <c r="AI2" s="101" t="str">
        <f>Income_Statement_Qtr!AI2</f>
        <v>4Q21A</v>
      </c>
      <c r="AJ2" s="103" t="str">
        <f>Income_Statement_Qtr!AJ2</f>
        <v>CY2021A</v>
      </c>
      <c r="AK2" s="101" t="str">
        <f>Income_Statement_Qtr!AK2</f>
        <v>1Q22A</v>
      </c>
      <c r="AL2" s="101" t="str">
        <f>Income_Statement_Qtr!AL2</f>
        <v>2Q22A</v>
      </c>
      <c r="AM2" s="101" t="str">
        <f>Income_Statement_Qtr!AM2</f>
        <v>3Q22A</v>
      </c>
      <c r="AN2" s="101" t="str">
        <f>Income_Statement_Qtr!AN2</f>
        <v>4Q22A</v>
      </c>
      <c r="AO2" s="103" t="str">
        <f>Income_Statement_Qtr!AO2</f>
        <v>CY2022A</v>
      </c>
      <c r="AP2" s="101" t="str">
        <f>Income_Statement_Qtr!AP2</f>
        <v>1Q23A</v>
      </c>
      <c r="AQ2" s="101" t="str">
        <f>Income_Statement_Qtr!AQ2</f>
        <v>2Q23A</v>
      </c>
      <c r="AR2" s="101" t="str">
        <f>Income_Statement_Qtr!AR2</f>
        <v>3Q23A</v>
      </c>
      <c r="AS2" s="101" t="str">
        <f>Income_Statement_Qtr!AS2</f>
        <v>4Q23A</v>
      </c>
      <c r="AT2" s="103" t="str">
        <f>Income_Statement_Qtr!AT2</f>
        <v>CY2023A</v>
      </c>
      <c r="AU2" s="101" t="str">
        <f>Income_Statement_Qtr!AU2</f>
        <v>1Q24A</v>
      </c>
      <c r="AV2" s="101" t="str">
        <f>Income_Statement_Qtr!AV2</f>
        <v>2Q24A</v>
      </c>
      <c r="AW2" s="101" t="str">
        <f>Income_Statement_Qtr!AW2</f>
        <v>3Q24A</v>
      </c>
      <c r="AX2" s="101" t="str">
        <f>Income_Statement_Qtr!AX2</f>
        <v>4Q24A</v>
      </c>
      <c r="AY2" s="103" t="str">
        <f>Income_Statement_Qtr!AY2</f>
        <v>CY2024A</v>
      </c>
      <c r="AZ2" s="101" t="str">
        <f>Income_Statement_Qtr!AZ2</f>
        <v>1Q25A</v>
      </c>
      <c r="BA2" s="101" t="str">
        <f>Income_Statement_Qtr!BA2</f>
        <v>2Q25A</v>
      </c>
      <c r="BB2" s="101" t="str">
        <f>Income_Statement_Qtr!BB2</f>
        <v>3Q25A</v>
      </c>
      <c r="BC2" s="101" t="str">
        <f>Income_Statement_Qtr!BC2</f>
        <v>4Q25A</v>
      </c>
      <c r="BD2" s="103" t="str">
        <f>Income_Statement_Qtr!BD2</f>
        <v>CY2025A</v>
      </c>
      <c r="BE2" s="101" t="str">
        <f>Income_Statement_Qtr!BE2</f>
        <v>1Q26E</v>
      </c>
      <c r="BF2" s="101" t="str">
        <f>Income_Statement_Qtr!BF2</f>
        <v>2Q26E</v>
      </c>
      <c r="BG2" s="101" t="str">
        <f>Income_Statement_Qtr!BG2</f>
        <v>3Q26E</v>
      </c>
      <c r="BH2" s="101" t="str">
        <f>Income_Statement_Qtr!BH2</f>
        <v>4Q26E</v>
      </c>
      <c r="BI2" s="103" t="str">
        <f>Income_Statement_Qtr!BI2</f>
        <v>CY2026E</v>
      </c>
    </row>
    <row r="3" spans="1:61">
      <c r="A3" s="9" t="s">
        <v>198</v>
      </c>
      <c r="B3" s="120"/>
      <c r="C3" s="120"/>
      <c r="D3" s="120"/>
      <c r="E3" s="120"/>
      <c r="F3" s="121"/>
      <c r="G3" s="120"/>
      <c r="H3" s="120"/>
      <c r="I3" s="120"/>
      <c r="J3" s="120"/>
      <c r="K3" s="121"/>
      <c r="L3" s="120"/>
      <c r="M3" s="120"/>
      <c r="N3" s="120"/>
      <c r="O3" s="120"/>
      <c r="P3" s="121"/>
      <c r="Q3" s="120"/>
      <c r="R3" s="120"/>
      <c r="S3" s="120"/>
      <c r="T3" s="120"/>
      <c r="U3" s="121"/>
      <c r="V3" s="120"/>
      <c r="W3" s="120"/>
      <c r="X3" s="120"/>
      <c r="Y3" s="120"/>
      <c r="Z3" s="121"/>
      <c r="AA3" s="120"/>
      <c r="AB3" s="120"/>
      <c r="AC3" s="120"/>
      <c r="AD3" s="120"/>
      <c r="AE3" s="121"/>
      <c r="AF3" s="120"/>
      <c r="AG3" s="120"/>
      <c r="AH3" s="120"/>
      <c r="AI3" s="120"/>
      <c r="AJ3" s="121"/>
      <c r="AK3" s="120"/>
      <c r="AL3" s="120"/>
      <c r="AM3" s="120"/>
      <c r="AN3" s="120"/>
      <c r="AO3" s="121"/>
      <c r="AP3" s="120"/>
      <c r="AQ3" s="120"/>
      <c r="AR3" s="120"/>
      <c r="AS3" s="120"/>
      <c r="AT3" s="121"/>
      <c r="AU3" s="120"/>
      <c r="AV3" s="120"/>
      <c r="AW3" s="120"/>
      <c r="AX3" s="120"/>
      <c r="AY3" s="121"/>
      <c r="AZ3" s="120"/>
      <c r="BA3" s="120"/>
      <c r="BB3" s="120"/>
      <c r="BC3" s="120"/>
      <c r="BD3" s="121"/>
      <c r="BE3" s="120"/>
      <c r="BF3" s="120"/>
      <c r="BG3" s="120"/>
      <c r="BH3" s="120"/>
      <c r="BI3" s="121"/>
    </row>
    <row r="4" spans="1:61" s="26" customFormat="1">
      <c r="A4" s="3" t="s">
        <v>354</v>
      </c>
      <c r="B4" s="41"/>
      <c r="C4" s="41"/>
      <c r="D4" s="41"/>
      <c r="E4" s="42"/>
      <c r="F4" s="43"/>
      <c r="G4" s="41"/>
      <c r="H4" s="41"/>
      <c r="I4" s="41"/>
      <c r="J4" s="42"/>
      <c r="K4" s="43"/>
      <c r="L4" s="41"/>
      <c r="M4" s="41"/>
      <c r="N4" s="41"/>
      <c r="O4" s="42"/>
      <c r="P4" s="43">
        <v>350</v>
      </c>
      <c r="Q4" s="41">
        <f>P4</f>
        <v>350</v>
      </c>
      <c r="R4" s="41">
        <v>0</v>
      </c>
      <c r="S4" s="41">
        <v>0</v>
      </c>
      <c r="T4" s="42">
        <f>U4</f>
        <v>0</v>
      </c>
      <c r="U4" s="43">
        <v>0</v>
      </c>
      <c r="V4" s="41">
        <f t="shared" ref="V4:X25" si="0">U4</f>
        <v>0</v>
      </c>
      <c r="W4" s="41">
        <f t="shared" si="0"/>
        <v>0</v>
      </c>
      <c r="X4" s="41">
        <f t="shared" si="0"/>
        <v>0</v>
      </c>
      <c r="Y4" s="42">
        <f>Z4</f>
        <v>0</v>
      </c>
      <c r="Z4" s="43">
        <v>0</v>
      </c>
      <c r="AA4" s="41">
        <v>0</v>
      </c>
      <c r="AB4" s="41">
        <f t="shared" ref="AB4:AJ25" si="1">AA4</f>
        <v>0</v>
      </c>
      <c r="AC4" s="41">
        <f t="shared" si="1"/>
        <v>0</v>
      </c>
      <c r="AD4" s="41">
        <f>AC4</f>
        <v>0</v>
      </c>
      <c r="AE4" s="72">
        <f t="shared" ref="AE4:AJ5" si="2">AD4</f>
        <v>0</v>
      </c>
      <c r="AF4" s="41">
        <f t="shared" si="2"/>
        <v>0</v>
      </c>
      <c r="AG4" s="41">
        <f t="shared" si="2"/>
        <v>0</v>
      </c>
      <c r="AH4" s="41">
        <f t="shared" si="2"/>
        <v>0</v>
      </c>
      <c r="AI4" s="41">
        <f t="shared" si="2"/>
        <v>0</v>
      </c>
      <c r="AJ4" s="72">
        <f t="shared" si="2"/>
        <v>0</v>
      </c>
      <c r="AK4" s="41">
        <f t="shared" ref="AK4:AK13" si="3">AJ4</f>
        <v>0</v>
      </c>
      <c r="AL4" s="41">
        <f t="shared" ref="AL4:AL13" si="4">AK4</f>
        <v>0</v>
      </c>
      <c r="AM4" s="41">
        <f t="shared" ref="AM4:AM13" si="5">AL4</f>
        <v>0</v>
      </c>
      <c r="AN4" s="41">
        <f t="shared" ref="AN4:AO19" si="6">AM4</f>
        <v>0</v>
      </c>
      <c r="AO4" s="72">
        <f t="shared" si="6"/>
        <v>0</v>
      </c>
      <c r="AP4" s="41">
        <f t="shared" ref="AP4:AP6" si="7">AO4</f>
        <v>0</v>
      </c>
      <c r="AQ4" s="41">
        <f t="shared" ref="AQ4:AQ13" si="8">AP4</f>
        <v>0</v>
      </c>
      <c r="AR4" s="41">
        <f t="shared" ref="AR4:AR13" si="9">AQ4</f>
        <v>0</v>
      </c>
      <c r="AS4" s="446">
        <f t="shared" ref="AS4:AS10" si="10">AR4</f>
        <v>0</v>
      </c>
      <c r="AT4" s="72">
        <f t="shared" ref="AT4:AT21" si="11">AS4</f>
        <v>0</v>
      </c>
      <c r="AU4" s="41">
        <f t="shared" ref="AU4:AU63" si="12">AT4</f>
        <v>0</v>
      </c>
      <c r="AV4" s="41">
        <f t="shared" ref="AV4:AV63" si="13">AU4</f>
        <v>0</v>
      </c>
      <c r="AW4" s="41">
        <f t="shared" ref="AW4:AW63" si="14">AV4</f>
        <v>0</v>
      </c>
      <c r="AX4" s="41">
        <f t="shared" ref="AX4:AX63" si="15">AW4</f>
        <v>0</v>
      </c>
      <c r="AY4" s="72">
        <f t="shared" ref="AY4:AY21" si="16">AX4</f>
        <v>0</v>
      </c>
      <c r="AZ4" s="41">
        <f t="shared" ref="AZ4:AZ63" si="17">AY4</f>
        <v>0</v>
      </c>
      <c r="BA4" s="41">
        <f t="shared" ref="BA4:BA63" si="18">AZ4</f>
        <v>0</v>
      </c>
      <c r="BB4" s="41">
        <f t="shared" ref="BB4:BB63" si="19">BA4</f>
        <v>0</v>
      </c>
      <c r="BC4" s="41">
        <f t="shared" ref="BC4:BC63" si="20">BB4</f>
        <v>0</v>
      </c>
      <c r="BD4" s="72">
        <f t="shared" ref="BD4:BD21" si="21">BC4</f>
        <v>0</v>
      </c>
      <c r="BE4" s="41">
        <f t="shared" ref="BE4:BE65" si="22">BD4</f>
        <v>0</v>
      </c>
      <c r="BF4" s="41">
        <f t="shared" ref="BF4:BF65" si="23">BE4</f>
        <v>0</v>
      </c>
      <c r="BG4" s="41">
        <f t="shared" ref="BG4:BG65" si="24">BF4</f>
        <v>0</v>
      </c>
      <c r="BH4" s="41">
        <f t="shared" ref="BH4:BH64" si="25">BG4</f>
        <v>0</v>
      </c>
      <c r="BI4" s="72">
        <f t="shared" ref="BI4:BI21" si="26">BH4</f>
        <v>0</v>
      </c>
    </row>
    <row r="5" spans="1:61" s="26" customFormat="1">
      <c r="A5" s="3" t="s">
        <v>585</v>
      </c>
      <c r="B5" s="41"/>
      <c r="C5" s="41"/>
      <c r="D5" s="41"/>
      <c r="E5" s="42"/>
      <c r="F5" s="43"/>
      <c r="G5" s="41"/>
      <c r="H5" s="41"/>
      <c r="I5" s="41"/>
      <c r="J5" s="42"/>
      <c r="K5" s="43"/>
      <c r="L5" s="41"/>
      <c r="M5" s="41"/>
      <c r="N5" s="41"/>
      <c r="O5" s="42"/>
      <c r="P5" s="43"/>
      <c r="Q5" s="41"/>
      <c r="R5" s="41"/>
      <c r="S5" s="41"/>
      <c r="T5" s="42"/>
      <c r="U5" s="43"/>
      <c r="V5" s="41"/>
      <c r="W5" s="41"/>
      <c r="X5" s="41"/>
      <c r="Y5" s="42"/>
      <c r="Z5" s="43"/>
      <c r="AA5" s="41"/>
      <c r="AB5" s="41"/>
      <c r="AC5" s="41"/>
      <c r="AD5" s="41"/>
      <c r="AE5" s="72"/>
      <c r="AF5" s="41">
        <v>3000</v>
      </c>
      <c r="AG5" s="41">
        <f>AF5</f>
        <v>3000</v>
      </c>
      <c r="AH5" s="41">
        <f>AG5</f>
        <v>3000</v>
      </c>
      <c r="AI5" s="41">
        <f>AH5</f>
        <v>3000</v>
      </c>
      <c r="AJ5" s="72">
        <f t="shared" si="2"/>
        <v>3000</v>
      </c>
      <c r="AK5" s="41">
        <f t="shared" si="3"/>
        <v>3000</v>
      </c>
      <c r="AL5" s="41">
        <f t="shared" si="4"/>
        <v>3000</v>
      </c>
      <c r="AM5" s="41">
        <f t="shared" si="5"/>
        <v>3000</v>
      </c>
      <c r="AN5" s="41">
        <f t="shared" si="6"/>
        <v>3000</v>
      </c>
      <c r="AO5" s="72">
        <f t="shared" si="6"/>
        <v>3000</v>
      </c>
      <c r="AP5" s="41">
        <f t="shared" si="7"/>
        <v>3000</v>
      </c>
      <c r="AQ5" s="41">
        <f t="shared" si="8"/>
        <v>3000</v>
      </c>
      <c r="AR5" s="41">
        <f t="shared" si="9"/>
        <v>3000</v>
      </c>
      <c r="AS5" s="446">
        <v>0</v>
      </c>
      <c r="AT5" s="72">
        <f t="shared" si="11"/>
        <v>0</v>
      </c>
      <c r="AU5" s="41">
        <f t="shared" si="12"/>
        <v>0</v>
      </c>
      <c r="AV5" s="41">
        <f>AU5</f>
        <v>0</v>
      </c>
      <c r="AW5" s="41">
        <f t="shared" si="14"/>
        <v>0</v>
      </c>
      <c r="AX5" s="41">
        <f t="shared" si="15"/>
        <v>0</v>
      </c>
      <c r="AY5" s="72">
        <f t="shared" si="16"/>
        <v>0</v>
      </c>
      <c r="AZ5" s="41">
        <f t="shared" si="17"/>
        <v>0</v>
      </c>
      <c r="BA5" s="41">
        <f t="shared" si="18"/>
        <v>0</v>
      </c>
      <c r="BB5" s="41">
        <f t="shared" si="19"/>
        <v>0</v>
      </c>
      <c r="BC5" s="41">
        <f t="shared" si="20"/>
        <v>0</v>
      </c>
      <c r="BD5" s="72">
        <f t="shared" si="21"/>
        <v>0</v>
      </c>
      <c r="BE5" s="41">
        <f t="shared" si="22"/>
        <v>0</v>
      </c>
      <c r="BF5" s="41">
        <f t="shared" si="23"/>
        <v>0</v>
      </c>
      <c r="BG5" s="41">
        <f t="shared" si="24"/>
        <v>0</v>
      </c>
      <c r="BH5" s="41">
        <f t="shared" si="25"/>
        <v>0</v>
      </c>
      <c r="BI5" s="72">
        <f t="shared" si="26"/>
        <v>0</v>
      </c>
    </row>
    <row r="6" spans="1:61" s="26" customFormat="1">
      <c r="A6" s="3" t="s">
        <v>355</v>
      </c>
      <c r="B6" s="41"/>
      <c r="C6" s="41"/>
      <c r="D6" s="41"/>
      <c r="E6" s="42"/>
      <c r="F6" s="43"/>
      <c r="G6" s="41"/>
      <c r="H6" s="41"/>
      <c r="I6" s="41"/>
      <c r="J6" s="42"/>
      <c r="K6" s="43"/>
      <c r="L6" s="41"/>
      <c r="M6" s="41"/>
      <c r="N6" s="41"/>
      <c r="O6" s="42"/>
      <c r="P6" s="43">
        <v>350</v>
      </c>
      <c r="Q6" s="41">
        <f>P6</f>
        <v>350</v>
      </c>
      <c r="R6" s="41">
        <f>Q6</f>
        <v>350</v>
      </c>
      <c r="S6" s="41">
        <f>R6</f>
        <v>350</v>
      </c>
      <c r="T6" s="42">
        <f>U6</f>
        <v>350</v>
      </c>
      <c r="U6" s="43">
        <v>350</v>
      </c>
      <c r="V6" s="41">
        <f t="shared" si="0"/>
        <v>350</v>
      </c>
      <c r="W6" s="41">
        <f t="shared" si="0"/>
        <v>350</v>
      </c>
      <c r="X6" s="41">
        <f t="shared" si="0"/>
        <v>350</v>
      </c>
      <c r="Y6" s="42">
        <f>Z6</f>
        <v>350</v>
      </c>
      <c r="Z6" s="43">
        <v>350</v>
      </c>
      <c r="AA6" s="41">
        <v>350</v>
      </c>
      <c r="AB6" s="41">
        <f t="shared" si="1"/>
        <v>350</v>
      </c>
      <c r="AC6" s="41">
        <f t="shared" si="1"/>
        <v>350</v>
      </c>
      <c r="AD6" s="41">
        <f>AC6-350</f>
        <v>0</v>
      </c>
      <c r="AE6" s="72">
        <f t="shared" si="1"/>
        <v>0</v>
      </c>
      <c r="AF6" s="41">
        <f t="shared" si="1"/>
        <v>0</v>
      </c>
      <c r="AG6" s="41">
        <f t="shared" si="1"/>
        <v>0</v>
      </c>
      <c r="AH6" s="41">
        <f t="shared" si="1"/>
        <v>0</v>
      </c>
      <c r="AI6" s="41">
        <f t="shared" si="1"/>
        <v>0</v>
      </c>
      <c r="AJ6" s="72">
        <f t="shared" si="1"/>
        <v>0</v>
      </c>
      <c r="AK6" s="41">
        <f t="shared" si="3"/>
        <v>0</v>
      </c>
      <c r="AL6" s="41">
        <f t="shared" si="4"/>
        <v>0</v>
      </c>
      <c r="AM6" s="41">
        <f t="shared" si="5"/>
        <v>0</v>
      </c>
      <c r="AN6" s="41">
        <f t="shared" si="6"/>
        <v>0</v>
      </c>
      <c r="AO6" s="72">
        <f t="shared" si="6"/>
        <v>0</v>
      </c>
      <c r="AP6" s="41">
        <f t="shared" si="7"/>
        <v>0</v>
      </c>
      <c r="AQ6" s="41">
        <f t="shared" si="8"/>
        <v>0</v>
      </c>
      <c r="AR6" s="41">
        <f t="shared" si="9"/>
        <v>0</v>
      </c>
      <c r="AS6" s="446">
        <f t="shared" si="10"/>
        <v>0</v>
      </c>
      <c r="AT6" s="72">
        <f t="shared" si="11"/>
        <v>0</v>
      </c>
      <c r="AU6" s="41">
        <f t="shared" si="12"/>
        <v>0</v>
      </c>
      <c r="AV6" s="41">
        <f t="shared" si="13"/>
        <v>0</v>
      </c>
      <c r="AW6" s="41">
        <f t="shared" si="14"/>
        <v>0</v>
      </c>
      <c r="AX6" s="41">
        <f t="shared" si="15"/>
        <v>0</v>
      </c>
      <c r="AY6" s="72">
        <f t="shared" si="16"/>
        <v>0</v>
      </c>
      <c r="AZ6" s="41">
        <f t="shared" si="17"/>
        <v>0</v>
      </c>
      <c r="BA6" s="41">
        <f t="shared" si="18"/>
        <v>0</v>
      </c>
      <c r="BB6" s="41">
        <f t="shared" si="19"/>
        <v>0</v>
      </c>
      <c r="BC6" s="41">
        <f t="shared" si="20"/>
        <v>0</v>
      </c>
      <c r="BD6" s="72">
        <f t="shared" si="21"/>
        <v>0</v>
      </c>
      <c r="BE6" s="41">
        <f t="shared" si="22"/>
        <v>0</v>
      </c>
      <c r="BF6" s="41">
        <f t="shared" si="23"/>
        <v>0</v>
      </c>
      <c r="BG6" s="41">
        <f t="shared" si="24"/>
        <v>0</v>
      </c>
      <c r="BH6" s="41">
        <f t="shared" si="25"/>
        <v>0</v>
      </c>
      <c r="BI6" s="72">
        <f t="shared" si="26"/>
        <v>0</v>
      </c>
    </row>
    <row r="7" spans="1:61" s="26" customFormat="1">
      <c r="A7" s="428" t="s">
        <v>586</v>
      </c>
      <c r="B7" s="41"/>
      <c r="C7" s="41"/>
      <c r="D7" s="41"/>
      <c r="E7" s="42"/>
      <c r="F7" s="43"/>
      <c r="G7" s="41"/>
      <c r="H7" s="41"/>
      <c r="I7" s="41"/>
      <c r="J7" s="42"/>
      <c r="K7" s="43"/>
      <c r="L7" s="41"/>
      <c r="M7" s="41"/>
      <c r="N7" s="41"/>
      <c r="O7" s="42"/>
      <c r="P7" s="43"/>
      <c r="Q7" s="41"/>
      <c r="R7" s="41"/>
      <c r="S7" s="41"/>
      <c r="T7" s="42"/>
      <c r="U7" s="43"/>
      <c r="V7" s="41"/>
      <c r="W7" s="41"/>
      <c r="X7" s="41"/>
      <c r="Y7" s="42"/>
      <c r="Z7" s="43"/>
      <c r="AA7" s="41"/>
      <c r="AB7" s="41"/>
      <c r="AC7" s="41"/>
      <c r="AD7" s="41"/>
      <c r="AE7" s="72"/>
      <c r="AF7" s="41">
        <v>1325</v>
      </c>
      <c r="AG7" s="41">
        <f>AF7</f>
        <v>1325</v>
      </c>
      <c r="AH7" s="41">
        <f>AG7</f>
        <v>1325</v>
      </c>
      <c r="AI7" s="41">
        <f>AH7</f>
        <v>1325</v>
      </c>
      <c r="AJ7" s="72">
        <f t="shared" si="1"/>
        <v>1325</v>
      </c>
      <c r="AK7" s="41">
        <f t="shared" si="3"/>
        <v>1325</v>
      </c>
      <c r="AL7" s="41">
        <f t="shared" si="4"/>
        <v>1325</v>
      </c>
      <c r="AM7" s="41">
        <f t="shared" si="5"/>
        <v>1325</v>
      </c>
      <c r="AN7" s="41">
        <f t="shared" si="6"/>
        <v>1325</v>
      </c>
      <c r="AO7" s="72">
        <f t="shared" si="6"/>
        <v>1325</v>
      </c>
      <c r="AP7" s="41">
        <v>0</v>
      </c>
      <c r="AQ7" s="41">
        <f>AP7/2</f>
        <v>0</v>
      </c>
      <c r="AR7" s="41">
        <v>0</v>
      </c>
      <c r="AS7" s="446">
        <v>0</v>
      </c>
      <c r="AT7" s="72">
        <f t="shared" si="11"/>
        <v>0</v>
      </c>
      <c r="AU7" s="41">
        <f t="shared" si="12"/>
        <v>0</v>
      </c>
      <c r="AV7" s="41">
        <f t="shared" si="13"/>
        <v>0</v>
      </c>
      <c r="AW7" s="41">
        <f t="shared" si="14"/>
        <v>0</v>
      </c>
      <c r="AX7" s="41">
        <f t="shared" si="15"/>
        <v>0</v>
      </c>
      <c r="AY7" s="72">
        <f t="shared" si="16"/>
        <v>0</v>
      </c>
      <c r="AZ7" s="41">
        <f t="shared" si="17"/>
        <v>0</v>
      </c>
      <c r="BA7" s="41">
        <f t="shared" si="18"/>
        <v>0</v>
      </c>
      <c r="BB7" s="41">
        <f t="shared" si="19"/>
        <v>0</v>
      </c>
      <c r="BC7" s="41">
        <f t="shared" si="20"/>
        <v>0</v>
      </c>
      <c r="BD7" s="72">
        <f t="shared" si="21"/>
        <v>0</v>
      </c>
      <c r="BE7" s="41">
        <f t="shared" si="22"/>
        <v>0</v>
      </c>
      <c r="BF7" s="41">
        <f t="shared" si="23"/>
        <v>0</v>
      </c>
      <c r="BG7" s="41">
        <f t="shared" si="24"/>
        <v>0</v>
      </c>
      <c r="BH7" s="41">
        <f t="shared" si="25"/>
        <v>0</v>
      </c>
      <c r="BI7" s="72">
        <f t="shared" si="26"/>
        <v>0</v>
      </c>
    </row>
    <row r="8" spans="1:61" s="26" customFormat="1">
      <c r="A8" s="3" t="s">
        <v>356</v>
      </c>
      <c r="B8" s="41"/>
      <c r="C8" s="41"/>
      <c r="D8" s="41"/>
      <c r="E8" s="42"/>
      <c r="F8" s="43"/>
      <c r="G8" s="41"/>
      <c r="H8" s="41"/>
      <c r="I8" s="41"/>
      <c r="J8" s="42"/>
      <c r="K8" s="43"/>
      <c r="L8" s="41"/>
      <c r="M8" s="41"/>
      <c r="N8" s="41"/>
      <c r="O8" s="42"/>
      <c r="P8" s="43">
        <v>400</v>
      </c>
      <c r="Q8" s="41">
        <f t="shared" ref="Q8:T58" si="27">P8</f>
        <v>400</v>
      </c>
      <c r="R8" s="41">
        <f t="shared" si="27"/>
        <v>400</v>
      </c>
      <c r="S8" s="41">
        <f t="shared" si="27"/>
        <v>400</v>
      </c>
      <c r="T8" s="42">
        <f t="shared" ref="T8:T63" si="28">U8</f>
        <v>400</v>
      </c>
      <c r="U8" s="43">
        <v>400</v>
      </c>
      <c r="V8" s="41">
        <f t="shared" si="0"/>
        <v>400</v>
      </c>
      <c r="W8" s="41">
        <f t="shared" si="0"/>
        <v>400</v>
      </c>
      <c r="X8" s="41">
        <f t="shared" si="0"/>
        <v>400</v>
      </c>
      <c r="Y8" s="42">
        <f t="shared" ref="Y8:Y64" si="29">Z8</f>
        <v>400</v>
      </c>
      <c r="Z8" s="43">
        <v>400</v>
      </c>
      <c r="AA8" s="41">
        <v>400</v>
      </c>
      <c r="AB8" s="41">
        <f t="shared" si="1"/>
        <v>400</v>
      </c>
      <c r="AC8" s="41">
        <f t="shared" si="1"/>
        <v>400</v>
      </c>
      <c r="AD8" s="41">
        <f t="shared" si="1"/>
        <v>400</v>
      </c>
      <c r="AE8" s="72">
        <f t="shared" si="1"/>
        <v>400</v>
      </c>
      <c r="AF8" s="41">
        <f t="shared" si="1"/>
        <v>400</v>
      </c>
      <c r="AG8" s="41">
        <f t="shared" si="1"/>
        <v>400</v>
      </c>
      <c r="AH8" s="41">
        <f t="shared" si="1"/>
        <v>400</v>
      </c>
      <c r="AI8" s="41">
        <f t="shared" si="1"/>
        <v>400</v>
      </c>
      <c r="AJ8" s="72">
        <f t="shared" si="1"/>
        <v>400</v>
      </c>
      <c r="AK8" s="41">
        <f t="shared" si="3"/>
        <v>400</v>
      </c>
      <c r="AL8" s="41">
        <f t="shared" si="4"/>
        <v>400</v>
      </c>
      <c r="AM8" s="41">
        <f t="shared" si="5"/>
        <v>400</v>
      </c>
      <c r="AN8" s="41">
        <f t="shared" si="6"/>
        <v>400</v>
      </c>
      <c r="AO8" s="72">
        <f t="shared" si="6"/>
        <v>400</v>
      </c>
      <c r="AP8" s="41">
        <v>400</v>
      </c>
      <c r="AQ8" s="41">
        <f>AP8/2</f>
        <v>200</v>
      </c>
      <c r="AR8" s="41">
        <v>0</v>
      </c>
      <c r="AS8" s="446">
        <v>0</v>
      </c>
      <c r="AT8" s="72">
        <f t="shared" si="11"/>
        <v>0</v>
      </c>
      <c r="AU8" s="41">
        <f t="shared" si="12"/>
        <v>0</v>
      </c>
      <c r="AV8" s="41">
        <f t="shared" si="13"/>
        <v>0</v>
      </c>
      <c r="AW8" s="41">
        <f t="shared" si="14"/>
        <v>0</v>
      </c>
      <c r="AX8" s="41">
        <f t="shared" si="15"/>
        <v>0</v>
      </c>
      <c r="AY8" s="72">
        <f t="shared" si="16"/>
        <v>0</v>
      </c>
      <c r="AZ8" s="41">
        <f t="shared" si="17"/>
        <v>0</v>
      </c>
      <c r="BA8" s="41">
        <f t="shared" si="18"/>
        <v>0</v>
      </c>
      <c r="BB8" s="41">
        <f t="shared" si="19"/>
        <v>0</v>
      </c>
      <c r="BC8" s="41">
        <f t="shared" si="20"/>
        <v>0</v>
      </c>
      <c r="BD8" s="72">
        <f t="shared" si="21"/>
        <v>0</v>
      </c>
      <c r="BE8" s="41">
        <f t="shared" si="22"/>
        <v>0</v>
      </c>
      <c r="BF8" s="41">
        <f t="shared" si="23"/>
        <v>0</v>
      </c>
      <c r="BG8" s="41">
        <f t="shared" si="24"/>
        <v>0</v>
      </c>
      <c r="BH8" s="41">
        <f t="shared" si="25"/>
        <v>0</v>
      </c>
      <c r="BI8" s="72">
        <f t="shared" si="26"/>
        <v>0</v>
      </c>
    </row>
    <row r="9" spans="1:61" s="26" customFormat="1">
      <c r="A9" s="3" t="s">
        <v>357</v>
      </c>
      <c r="B9" s="41"/>
      <c r="C9" s="41"/>
      <c r="D9" s="41"/>
      <c r="E9" s="42"/>
      <c r="F9" s="43"/>
      <c r="G9" s="41"/>
      <c r="H9" s="41"/>
      <c r="I9" s="41"/>
      <c r="J9" s="42"/>
      <c r="K9" s="43"/>
      <c r="L9" s="41"/>
      <c r="M9" s="41"/>
      <c r="N9" s="41"/>
      <c r="O9" s="42"/>
      <c r="P9" s="43">
        <v>300</v>
      </c>
      <c r="Q9" s="41">
        <f t="shared" si="27"/>
        <v>300</v>
      </c>
      <c r="R9" s="41">
        <f t="shared" si="27"/>
        <v>300</v>
      </c>
      <c r="S9" s="41">
        <f t="shared" si="27"/>
        <v>300</v>
      </c>
      <c r="T9" s="42">
        <f t="shared" si="28"/>
        <v>300</v>
      </c>
      <c r="U9" s="43">
        <v>300</v>
      </c>
      <c r="V9" s="41">
        <f t="shared" si="0"/>
        <v>300</v>
      </c>
      <c r="W9" s="41">
        <f t="shared" si="0"/>
        <v>300</v>
      </c>
      <c r="X9" s="41">
        <f t="shared" si="0"/>
        <v>300</v>
      </c>
      <c r="Y9" s="42">
        <f t="shared" si="29"/>
        <v>300</v>
      </c>
      <c r="Z9" s="43">
        <v>300</v>
      </c>
      <c r="AA9" s="41">
        <v>300</v>
      </c>
      <c r="AB9" s="41">
        <f t="shared" si="1"/>
        <v>300</v>
      </c>
      <c r="AC9" s="41">
        <f t="shared" si="1"/>
        <v>300</v>
      </c>
      <c r="AD9" s="41">
        <f t="shared" si="1"/>
        <v>300</v>
      </c>
      <c r="AE9" s="72">
        <f t="shared" si="1"/>
        <v>300</v>
      </c>
      <c r="AF9" s="41">
        <f t="shared" si="1"/>
        <v>300</v>
      </c>
      <c r="AG9" s="41">
        <f t="shared" si="1"/>
        <v>300</v>
      </c>
      <c r="AH9" s="41">
        <f t="shared" si="1"/>
        <v>300</v>
      </c>
      <c r="AI9" s="41">
        <f t="shared" si="1"/>
        <v>300</v>
      </c>
      <c r="AJ9" s="72">
        <f t="shared" si="1"/>
        <v>300</v>
      </c>
      <c r="AK9" s="41">
        <v>0</v>
      </c>
      <c r="AL9" s="41">
        <f t="shared" si="4"/>
        <v>0</v>
      </c>
      <c r="AM9" s="41">
        <f t="shared" si="5"/>
        <v>0</v>
      </c>
      <c r="AN9" s="41">
        <f t="shared" si="6"/>
        <v>0</v>
      </c>
      <c r="AO9" s="72">
        <f t="shared" si="6"/>
        <v>0</v>
      </c>
      <c r="AP9" s="41">
        <v>0</v>
      </c>
      <c r="AQ9" s="41">
        <f t="shared" si="8"/>
        <v>0</v>
      </c>
      <c r="AR9" s="41">
        <f t="shared" si="9"/>
        <v>0</v>
      </c>
      <c r="AS9" s="446">
        <f t="shared" si="10"/>
        <v>0</v>
      </c>
      <c r="AT9" s="72">
        <f t="shared" si="11"/>
        <v>0</v>
      </c>
      <c r="AU9" s="41">
        <f t="shared" si="12"/>
        <v>0</v>
      </c>
      <c r="AV9" s="41">
        <f t="shared" si="13"/>
        <v>0</v>
      </c>
      <c r="AW9" s="41">
        <f t="shared" si="14"/>
        <v>0</v>
      </c>
      <c r="AX9" s="41">
        <f t="shared" si="15"/>
        <v>0</v>
      </c>
      <c r="AY9" s="72">
        <f t="shared" si="16"/>
        <v>0</v>
      </c>
      <c r="AZ9" s="41">
        <f t="shared" si="17"/>
        <v>0</v>
      </c>
      <c r="BA9" s="41">
        <f t="shared" si="18"/>
        <v>0</v>
      </c>
      <c r="BB9" s="41">
        <f t="shared" si="19"/>
        <v>0</v>
      </c>
      <c r="BC9" s="41">
        <f t="shared" si="20"/>
        <v>0</v>
      </c>
      <c r="BD9" s="72">
        <f t="shared" si="21"/>
        <v>0</v>
      </c>
      <c r="BE9" s="41">
        <f t="shared" si="22"/>
        <v>0</v>
      </c>
      <c r="BF9" s="41">
        <f t="shared" si="23"/>
        <v>0</v>
      </c>
      <c r="BG9" s="41">
        <f t="shared" si="24"/>
        <v>0</v>
      </c>
      <c r="BH9" s="41">
        <f t="shared" si="25"/>
        <v>0</v>
      </c>
      <c r="BI9" s="72">
        <f t="shared" si="26"/>
        <v>0</v>
      </c>
    </row>
    <row r="10" spans="1:61" s="26" customFormat="1">
      <c r="A10" s="3" t="s">
        <v>587</v>
      </c>
      <c r="B10" s="41"/>
      <c r="C10" s="41"/>
      <c r="D10" s="41"/>
      <c r="E10" s="42"/>
      <c r="F10" s="43"/>
      <c r="G10" s="41"/>
      <c r="H10" s="41"/>
      <c r="I10" s="41"/>
      <c r="J10" s="42"/>
      <c r="K10" s="43"/>
      <c r="L10" s="41"/>
      <c r="M10" s="41"/>
      <c r="N10" s="41"/>
      <c r="O10" s="42"/>
      <c r="P10" s="43"/>
      <c r="Q10" s="41"/>
      <c r="R10" s="41"/>
      <c r="S10" s="41"/>
      <c r="T10" s="42"/>
      <c r="U10" s="43"/>
      <c r="V10" s="41"/>
      <c r="W10" s="41"/>
      <c r="X10" s="41"/>
      <c r="Y10" s="42"/>
      <c r="Z10" s="43"/>
      <c r="AA10" s="41"/>
      <c r="AB10" s="41"/>
      <c r="AC10" s="41"/>
      <c r="AD10" s="41"/>
      <c r="AE10" s="72"/>
      <c r="AF10" s="41">
        <v>5500</v>
      </c>
      <c r="AG10" s="41">
        <f>AF10</f>
        <v>5500</v>
      </c>
      <c r="AH10" s="41">
        <f t="shared" si="1"/>
        <v>5500</v>
      </c>
      <c r="AI10" s="41">
        <f t="shared" si="1"/>
        <v>5500</v>
      </c>
      <c r="AJ10" s="72">
        <f t="shared" si="1"/>
        <v>5500</v>
      </c>
      <c r="AK10" s="41">
        <f t="shared" si="3"/>
        <v>5500</v>
      </c>
      <c r="AL10" s="41">
        <f t="shared" si="4"/>
        <v>5500</v>
      </c>
      <c r="AM10" s="41">
        <f t="shared" si="5"/>
        <v>5500</v>
      </c>
      <c r="AN10" s="41">
        <f t="shared" si="6"/>
        <v>5500</v>
      </c>
      <c r="AO10" s="72">
        <f t="shared" si="6"/>
        <v>5500</v>
      </c>
      <c r="AP10" s="41">
        <f t="shared" ref="AP10:AP13" si="30">AO10</f>
        <v>5500</v>
      </c>
      <c r="AQ10" s="41">
        <f t="shared" si="8"/>
        <v>5500</v>
      </c>
      <c r="AR10" s="41">
        <f t="shared" si="9"/>
        <v>5500</v>
      </c>
      <c r="AS10" s="446">
        <f t="shared" si="10"/>
        <v>5500</v>
      </c>
      <c r="AT10" s="72">
        <f t="shared" si="11"/>
        <v>5500</v>
      </c>
      <c r="AU10" s="41">
        <f t="shared" si="12"/>
        <v>5500</v>
      </c>
      <c r="AV10" s="41">
        <f t="shared" si="13"/>
        <v>5500</v>
      </c>
      <c r="AW10" s="41">
        <f t="shared" si="14"/>
        <v>5500</v>
      </c>
      <c r="AX10" s="41">
        <f t="shared" si="15"/>
        <v>5500</v>
      </c>
      <c r="AY10" s="72">
        <f t="shared" si="16"/>
        <v>5500</v>
      </c>
      <c r="AZ10" s="41">
        <f t="shared" si="17"/>
        <v>5500</v>
      </c>
      <c r="BA10" s="41">
        <f t="shared" si="18"/>
        <v>5500</v>
      </c>
      <c r="BB10" s="41">
        <f t="shared" si="19"/>
        <v>5500</v>
      </c>
      <c r="BC10" s="41">
        <f t="shared" si="20"/>
        <v>5500</v>
      </c>
      <c r="BD10" s="72">
        <f t="shared" si="21"/>
        <v>5500</v>
      </c>
      <c r="BE10" s="41">
        <f t="shared" si="22"/>
        <v>5500</v>
      </c>
      <c r="BF10" s="543">
        <v>3500</v>
      </c>
      <c r="BG10" s="41">
        <f t="shared" si="24"/>
        <v>3500</v>
      </c>
      <c r="BH10" s="41">
        <f t="shared" si="25"/>
        <v>3500</v>
      </c>
      <c r="BI10" s="72">
        <f t="shared" si="26"/>
        <v>3500</v>
      </c>
    </row>
    <row r="11" spans="1:61" s="26" customFormat="1">
      <c r="A11" s="3" t="s">
        <v>358</v>
      </c>
      <c r="B11" s="41"/>
      <c r="C11" s="41"/>
      <c r="D11" s="41"/>
      <c r="E11" s="42"/>
      <c r="F11" s="43"/>
      <c r="G11" s="41"/>
      <c r="H11" s="41"/>
      <c r="I11" s="41"/>
      <c r="J11" s="42"/>
      <c r="K11" s="43"/>
      <c r="L11" s="41"/>
      <c r="M11" s="41"/>
      <c r="N11" s="41"/>
      <c r="O11" s="42"/>
      <c r="P11" s="43">
        <v>250</v>
      </c>
      <c r="Q11" s="41">
        <f t="shared" si="27"/>
        <v>250</v>
      </c>
      <c r="R11" s="41">
        <f t="shared" si="27"/>
        <v>250</v>
      </c>
      <c r="S11" s="41">
        <f t="shared" si="27"/>
        <v>250</v>
      </c>
      <c r="T11" s="42">
        <f t="shared" si="28"/>
        <v>250</v>
      </c>
      <c r="U11" s="43">
        <v>250</v>
      </c>
      <c r="V11" s="41">
        <f t="shared" si="0"/>
        <v>250</v>
      </c>
      <c r="W11" s="41">
        <f t="shared" si="0"/>
        <v>250</v>
      </c>
      <c r="X11" s="41">
        <f t="shared" si="0"/>
        <v>250</v>
      </c>
      <c r="Y11" s="42">
        <f t="shared" si="29"/>
        <v>250</v>
      </c>
      <c r="Z11" s="43">
        <v>250</v>
      </c>
      <c r="AA11" s="41">
        <v>250</v>
      </c>
      <c r="AB11" s="41">
        <f t="shared" si="1"/>
        <v>250</v>
      </c>
      <c r="AC11" s="41">
        <f t="shared" si="1"/>
        <v>250</v>
      </c>
      <c r="AD11" s="41">
        <f t="shared" si="1"/>
        <v>250</v>
      </c>
      <c r="AE11" s="72">
        <f t="shared" si="1"/>
        <v>250</v>
      </c>
      <c r="AF11" s="41">
        <f t="shared" si="1"/>
        <v>250</v>
      </c>
      <c r="AG11" s="41">
        <f t="shared" si="1"/>
        <v>250</v>
      </c>
      <c r="AH11" s="41">
        <f t="shared" si="1"/>
        <v>250</v>
      </c>
      <c r="AI11" s="41">
        <f t="shared" si="1"/>
        <v>250</v>
      </c>
      <c r="AJ11" s="72">
        <f t="shared" si="1"/>
        <v>250</v>
      </c>
      <c r="AK11" s="41">
        <f t="shared" si="3"/>
        <v>250</v>
      </c>
      <c r="AL11" s="41">
        <f t="shared" si="4"/>
        <v>250</v>
      </c>
      <c r="AM11" s="41">
        <f t="shared" si="5"/>
        <v>250</v>
      </c>
      <c r="AN11" s="41">
        <v>0</v>
      </c>
      <c r="AO11" s="72">
        <f t="shared" si="6"/>
        <v>0</v>
      </c>
      <c r="AP11" s="41">
        <f t="shared" si="30"/>
        <v>0</v>
      </c>
      <c r="AQ11" s="41">
        <f t="shared" si="8"/>
        <v>0</v>
      </c>
      <c r="AR11" s="41">
        <f t="shared" si="9"/>
        <v>0</v>
      </c>
      <c r="AS11" s="446">
        <v>0</v>
      </c>
      <c r="AT11" s="72">
        <f t="shared" si="11"/>
        <v>0</v>
      </c>
      <c r="AU11" s="41">
        <f t="shared" si="12"/>
        <v>0</v>
      </c>
      <c r="AV11" s="41">
        <f t="shared" si="13"/>
        <v>0</v>
      </c>
      <c r="AW11" s="41">
        <f t="shared" si="14"/>
        <v>0</v>
      </c>
      <c r="AX11" s="41">
        <f t="shared" si="15"/>
        <v>0</v>
      </c>
      <c r="AY11" s="72">
        <f t="shared" si="16"/>
        <v>0</v>
      </c>
      <c r="AZ11" s="41">
        <f t="shared" si="17"/>
        <v>0</v>
      </c>
      <c r="BA11" s="41">
        <f t="shared" si="18"/>
        <v>0</v>
      </c>
      <c r="BB11" s="41">
        <f t="shared" si="19"/>
        <v>0</v>
      </c>
      <c r="BC11" s="41">
        <f t="shared" si="20"/>
        <v>0</v>
      </c>
      <c r="BD11" s="72">
        <f t="shared" si="21"/>
        <v>0</v>
      </c>
      <c r="BE11" s="41">
        <f t="shared" si="22"/>
        <v>0</v>
      </c>
      <c r="BF11" s="41">
        <f t="shared" si="23"/>
        <v>0</v>
      </c>
      <c r="BG11" s="41">
        <f t="shared" si="24"/>
        <v>0</v>
      </c>
      <c r="BH11" s="41">
        <f t="shared" si="25"/>
        <v>0</v>
      </c>
      <c r="BI11" s="72">
        <f t="shared" si="26"/>
        <v>0</v>
      </c>
    </row>
    <row r="12" spans="1:61" s="26" customFormat="1">
      <c r="A12" s="3" t="s">
        <v>359</v>
      </c>
      <c r="B12" s="41"/>
      <c r="C12" s="41"/>
      <c r="D12" s="41"/>
      <c r="E12" s="42"/>
      <c r="F12" s="43"/>
      <c r="G12" s="41"/>
      <c r="H12" s="41"/>
      <c r="I12" s="41"/>
      <c r="J12" s="42"/>
      <c r="K12" s="43"/>
      <c r="L12" s="41"/>
      <c r="M12" s="41"/>
      <c r="N12" s="41"/>
      <c r="O12" s="42"/>
      <c r="P12" s="43">
        <v>400</v>
      </c>
      <c r="Q12" s="41">
        <f t="shared" si="27"/>
        <v>400</v>
      </c>
      <c r="R12" s="41">
        <f t="shared" si="27"/>
        <v>400</v>
      </c>
      <c r="S12" s="41">
        <f t="shared" si="27"/>
        <v>400</v>
      </c>
      <c r="T12" s="42">
        <f t="shared" si="28"/>
        <v>400</v>
      </c>
      <c r="U12" s="43">
        <v>400</v>
      </c>
      <c r="V12" s="41">
        <f t="shared" si="0"/>
        <v>400</v>
      </c>
      <c r="W12" s="41">
        <f t="shared" si="0"/>
        <v>400</v>
      </c>
      <c r="X12" s="41">
        <f t="shared" si="0"/>
        <v>400</v>
      </c>
      <c r="Y12" s="42">
        <f t="shared" si="29"/>
        <v>400</v>
      </c>
      <c r="Z12" s="43">
        <v>400</v>
      </c>
      <c r="AA12" s="41">
        <v>400</v>
      </c>
      <c r="AB12" s="41">
        <f t="shared" si="1"/>
        <v>400</v>
      </c>
      <c r="AC12" s="41">
        <f t="shared" si="1"/>
        <v>400</v>
      </c>
      <c r="AD12" s="41">
        <f t="shared" si="1"/>
        <v>400</v>
      </c>
      <c r="AE12" s="72">
        <f t="shared" si="1"/>
        <v>400</v>
      </c>
      <c r="AF12" s="41">
        <f t="shared" si="1"/>
        <v>400</v>
      </c>
      <c r="AG12" s="41">
        <f t="shared" si="1"/>
        <v>400</v>
      </c>
      <c r="AH12" s="41">
        <f t="shared" si="1"/>
        <v>400</v>
      </c>
      <c r="AI12" s="41">
        <f t="shared" si="1"/>
        <v>400</v>
      </c>
      <c r="AJ12" s="72">
        <f t="shared" si="1"/>
        <v>400</v>
      </c>
      <c r="AK12" s="41">
        <f t="shared" si="3"/>
        <v>400</v>
      </c>
      <c r="AL12" s="41">
        <f t="shared" si="4"/>
        <v>400</v>
      </c>
      <c r="AM12" s="41">
        <f t="shared" si="5"/>
        <v>400</v>
      </c>
      <c r="AN12" s="41">
        <f t="shared" si="6"/>
        <v>400</v>
      </c>
      <c r="AO12" s="72">
        <f t="shared" si="6"/>
        <v>400</v>
      </c>
      <c r="AP12" s="41">
        <f t="shared" si="30"/>
        <v>400</v>
      </c>
      <c r="AQ12" s="41">
        <f t="shared" si="8"/>
        <v>400</v>
      </c>
      <c r="AR12" s="41">
        <f t="shared" si="9"/>
        <v>400</v>
      </c>
      <c r="AS12" s="446">
        <f t="shared" ref="AS12:AS13" si="31">AR12</f>
        <v>400</v>
      </c>
      <c r="AT12" s="72">
        <f t="shared" si="11"/>
        <v>400</v>
      </c>
      <c r="AU12" s="41">
        <f t="shared" si="12"/>
        <v>400</v>
      </c>
      <c r="AV12" s="41">
        <f t="shared" si="13"/>
        <v>400</v>
      </c>
      <c r="AW12" s="41">
        <f t="shared" si="14"/>
        <v>400</v>
      </c>
      <c r="AX12" s="41">
        <f t="shared" si="15"/>
        <v>400</v>
      </c>
      <c r="AY12" s="72">
        <f t="shared" si="16"/>
        <v>400</v>
      </c>
      <c r="AZ12" s="41">
        <f t="shared" si="17"/>
        <v>400</v>
      </c>
      <c r="BA12" s="41">
        <f t="shared" si="18"/>
        <v>400</v>
      </c>
      <c r="BB12" s="41">
        <f t="shared" si="19"/>
        <v>400</v>
      </c>
      <c r="BC12" s="41">
        <f t="shared" si="20"/>
        <v>400</v>
      </c>
      <c r="BD12" s="72">
        <f t="shared" si="21"/>
        <v>400</v>
      </c>
      <c r="BE12" s="41">
        <f t="shared" si="22"/>
        <v>400</v>
      </c>
      <c r="BF12" s="41">
        <f t="shared" si="23"/>
        <v>400</v>
      </c>
      <c r="BG12" s="543">
        <v>0</v>
      </c>
      <c r="BH12" s="41">
        <f t="shared" si="25"/>
        <v>0</v>
      </c>
      <c r="BI12" s="72">
        <f t="shared" si="26"/>
        <v>0</v>
      </c>
    </row>
    <row r="13" spans="1:61" s="26" customFormat="1">
      <c r="A13" s="3" t="s">
        <v>360</v>
      </c>
      <c r="B13" s="41"/>
      <c r="C13" s="41"/>
      <c r="D13" s="41"/>
      <c r="E13" s="42"/>
      <c r="F13" s="43"/>
      <c r="G13" s="41"/>
      <c r="H13" s="41"/>
      <c r="I13" s="41"/>
      <c r="J13" s="42"/>
      <c r="K13" s="43"/>
      <c r="L13" s="41"/>
      <c r="M13" s="41"/>
      <c r="N13" s="41"/>
      <c r="O13" s="42"/>
      <c r="P13" s="43">
        <v>0</v>
      </c>
      <c r="Q13" s="41">
        <f>P13</f>
        <v>0</v>
      </c>
      <c r="R13" s="41">
        <f t="shared" si="27"/>
        <v>0</v>
      </c>
      <c r="S13" s="41">
        <f t="shared" si="27"/>
        <v>0</v>
      </c>
      <c r="T13" s="42">
        <f t="shared" si="27"/>
        <v>0</v>
      </c>
      <c r="U13" s="43">
        <v>0</v>
      </c>
      <c r="V13" s="41">
        <f t="shared" si="0"/>
        <v>0</v>
      </c>
      <c r="W13" s="41">
        <f t="shared" si="0"/>
        <v>0</v>
      </c>
      <c r="X13" s="41">
        <v>750</v>
      </c>
      <c r="Y13" s="42">
        <f t="shared" si="29"/>
        <v>750</v>
      </c>
      <c r="Z13" s="43">
        <v>750</v>
      </c>
      <c r="AA13" s="41">
        <v>750</v>
      </c>
      <c r="AB13" s="41">
        <f t="shared" si="1"/>
        <v>750</v>
      </c>
      <c r="AC13" s="41">
        <f t="shared" si="1"/>
        <v>750</v>
      </c>
      <c r="AD13" s="41">
        <f t="shared" si="1"/>
        <v>750</v>
      </c>
      <c r="AE13" s="72">
        <f t="shared" si="1"/>
        <v>750</v>
      </c>
      <c r="AF13" s="41">
        <f t="shared" si="1"/>
        <v>750</v>
      </c>
      <c r="AG13" s="41">
        <f t="shared" si="1"/>
        <v>750</v>
      </c>
      <c r="AH13" s="41">
        <v>0</v>
      </c>
      <c r="AI13" s="41">
        <f t="shared" si="1"/>
        <v>0</v>
      </c>
      <c r="AJ13" s="72">
        <f t="shared" si="1"/>
        <v>0</v>
      </c>
      <c r="AK13" s="41">
        <f t="shared" si="3"/>
        <v>0</v>
      </c>
      <c r="AL13" s="41">
        <f t="shared" si="4"/>
        <v>0</v>
      </c>
      <c r="AM13" s="41">
        <f t="shared" si="5"/>
        <v>0</v>
      </c>
      <c r="AN13" s="41">
        <f t="shared" si="6"/>
        <v>0</v>
      </c>
      <c r="AO13" s="72">
        <f t="shared" si="6"/>
        <v>0</v>
      </c>
      <c r="AP13" s="41">
        <f t="shared" si="30"/>
        <v>0</v>
      </c>
      <c r="AQ13" s="41">
        <f t="shared" si="8"/>
        <v>0</v>
      </c>
      <c r="AR13" s="41">
        <f t="shared" si="9"/>
        <v>0</v>
      </c>
      <c r="AS13" s="446">
        <f t="shared" si="31"/>
        <v>0</v>
      </c>
      <c r="AT13" s="72">
        <f t="shared" si="11"/>
        <v>0</v>
      </c>
      <c r="AU13" s="41">
        <f t="shared" si="12"/>
        <v>0</v>
      </c>
      <c r="AV13" s="41">
        <f t="shared" si="13"/>
        <v>0</v>
      </c>
      <c r="AW13" s="41">
        <f t="shared" si="14"/>
        <v>0</v>
      </c>
      <c r="AX13" s="41">
        <f t="shared" si="15"/>
        <v>0</v>
      </c>
      <c r="AY13" s="72">
        <f t="shared" si="16"/>
        <v>0</v>
      </c>
      <c r="AZ13" s="41">
        <f t="shared" si="17"/>
        <v>0</v>
      </c>
      <c r="BA13" s="41">
        <f t="shared" si="18"/>
        <v>0</v>
      </c>
      <c r="BB13" s="41">
        <f t="shared" si="19"/>
        <v>0</v>
      </c>
      <c r="BC13" s="41">
        <f t="shared" si="20"/>
        <v>0</v>
      </c>
      <c r="BD13" s="72">
        <f t="shared" si="21"/>
        <v>0</v>
      </c>
      <c r="BE13" s="41">
        <v>0</v>
      </c>
      <c r="BF13" s="41">
        <f t="shared" si="23"/>
        <v>0</v>
      </c>
      <c r="BG13" s="41">
        <f t="shared" si="24"/>
        <v>0</v>
      </c>
      <c r="BH13" s="41">
        <f t="shared" si="25"/>
        <v>0</v>
      </c>
      <c r="BI13" s="72">
        <f t="shared" si="26"/>
        <v>0</v>
      </c>
    </row>
    <row r="14" spans="1:61" s="26" customFormat="1">
      <c r="A14" s="3" t="s">
        <v>361</v>
      </c>
      <c r="B14" s="41"/>
      <c r="C14" s="41"/>
      <c r="D14" s="41"/>
      <c r="E14" s="42"/>
      <c r="F14" s="43"/>
      <c r="G14" s="41"/>
      <c r="H14" s="41"/>
      <c r="I14" s="41"/>
      <c r="J14" s="42"/>
      <c r="K14" s="43"/>
      <c r="L14" s="41"/>
      <c r="M14" s="41"/>
      <c r="N14" s="41"/>
      <c r="O14" s="42"/>
      <c r="P14" s="43">
        <v>300</v>
      </c>
      <c r="Q14" s="41">
        <f t="shared" si="27"/>
        <v>300</v>
      </c>
      <c r="R14" s="41">
        <f t="shared" si="27"/>
        <v>300</v>
      </c>
      <c r="S14" s="41">
        <f t="shared" si="27"/>
        <v>300</v>
      </c>
      <c r="T14" s="42">
        <f t="shared" si="28"/>
        <v>300</v>
      </c>
      <c r="U14" s="43">
        <v>300</v>
      </c>
      <c r="V14" s="41">
        <f t="shared" si="0"/>
        <v>300</v>
      </c>
      <c r="W14" s="41">
        <f t="shared" si="0"/>
        <v>300</v>
      </c>
      <c r="X14" s="41">
        <f t="shared" si="0"/>
        <v>300</v>
      </c>
      <c r="Y14" s="42">
        <f t="shared" si="29"/>
        <v>300</v>
      </c>
      <c r="Z14" s="43">
        <v>300</v>
      </c>
      <c r="AA14" s="41">
        <v>300</v>
      </c>
      <c r="AB14" s="41">
        <f t="shared" si="1"/>
        <v>300</v>
      </c>
      <c r="AC14" s="41">
        <f t="shared" si="1"/>
        <v>300</v>
      </c>
      <c r="AD14" s="41">
        <f t="shared" si="1"/>
        <v>300</v>
      </c>
      <c r="AE14" s="72">
        <f t="shared" si="1"/>
        <v>300</v>
      </c>
      <c r="AF14" s="41">
        <f t="shared" si="1"/>
        <v>300</v>
      </c>
      <c r="AG14" s="41">
        <f t="shared" si="1"/>
        <v>300</v>
      </c>
      <c r="AH14" s="41">
        <f t="shared" si="1"/>
        <v>300</v>
      </c>
      <c r="AI14" s="41">
        <v>0</v>
      </c>
      <c r="AJ14" s="72">
        <f t="shared" si="1"/>
        <v>0</v>
      </c>
      <c r="AK14" s="41">
        <v>0</v>
      </c>
      <c r="AL14" s="41">
        <v>0</v>
      </c>
      <c r="AM14" s="41">
        <v>0</v>
      </c>
      <c r="AN14" s="41">
        <v>0</v>
      </c>
      <c r="AO14" s="72">
        <f t="shared" si="6"/>
        <v>0</v>
      </c>
      <c r="AP14" s="41">
        <v>0</v>
      </c>
      <c r="AQ14" s="41">
        <v>0</v>
      </c>
      <c r="AR14" s="41">
        <v>0</v>
      </c>
      <c r="AS14" s="446">
        <v>0</v>
      </c>
      <c r="AT14" s="72">
        <f t="shared" si="11"/>
        <v>0</v>
      </c>
      <c r="AU14" s="41">
        <f t="shared" si="12"/>
        <v>0</v>
      </c>
      <c r="AV14" s="41">
        <f t="shared" si="13"/>
        <v>0</v>
      </c>
      <c r="AW14" s="41">
        <f t="shared" si="14"/>
        <v>0</v>
      </c>
      <c r="AX14" s="41">
        <f t="shared" si="15"/>
        <v>0</v>
      </c>
      <c r="AY14" s="72">
        <f t="shared" si="16"/>
        <v>0</v>
      </c>
      <c r="AZ14" s="41">
        <f t="shared" si="17"/>
        <v>0</v>
      </c>
      <c r="BA14" s="41">
        <f t="shared" si="18"/>
        <v>0</v>
      </c>
      <c r="BB14" s="41">
        <f t="shared" si="19"/>
        <v>0</v>
      </c>
      <c r="BC14" s="41">
        <f t="shared" si="20"/>
        <v>0</v>
      </c>
      <c r="BD14" s="72">
        <f t="shared" si="21"/>
        <v>0</v>
      </c>
      <c r="BE14" s="41">
        <f t="shared" si="22"/>
        <v>0</v>
      </c>
      <c r="BF14" s="41">
        <f t="shared" si="23"/>
        <v>0</v>
      </c>
      <c r="BG14" s="41">
        <f t="shared" si="24"/>
        <v>0</v>
      </c>
      <c r="BH14" s="41">
        <f t="shared" si="25"/>
        <v>0</v>
      </c>
      <c r="BI14" s="72">
        <f t="shared" si="26"/>
        <v>0</v>
      </c>
    </row>
    <row r="15" spans="1:61" s="26" customFormat="1">
      <c r="A15" s="3" t="s">
        <v>362</v>
      </c>
      <c r="B15" s="41"/>
      <c r="C15" s="41"/>
      <c r="D15" s="41"/>
      <c r="E15" s="42"/>
      <c r="F15" s="43"/>
      <c r="G15" s="41"/>
      <c r="H15" s="41"/>
      <c r="I15" s="41"/>
      <c r="J15" s="42"/>
      <c r="K15" s="43"/>
      <c r="L15" s="41"/>
      <c r="M15" s="41"/>
      <c r="N15" s="41"/>
      <c r="O15" s="42"/>
      <c r="P15" s="43">
        <v>250</v>
      </c>
      <c r="Q15" s="41">
        <f t="shared" si="27"/>
        <v>250</v>
      </c>
      <c r="R15" s="41">
        <f t="shared" si="27"/>
        <v>250</v>
      </c>
      <c r="S15" s="41">
        <f t="shared" si="27"/>
        <v>250</v>
      </c>
      <c r="T15" s="42">
        <f t="shared" si="28"/>
        <v>250</v>
      </c>
      <c r="U15" s="43">
        <v>250</v>
      </c>
      <c r="V15" s="41">
        <f t="shared" si="0"/>
        <v>250</v>
      </c>
      <c r="W15" s="41">
        <f t="shared" si="0"/>
        <v>250</v>
      </c>
      <c r="X15" s="41">
        <f t="shared" si="0"/>
        <v>250</v>
      </c>
      <c r="Y15" s="42">
        <f t="shared" si="29"/>
        <v>250</v>
      </c>
      <c r="Z15" s="43">
        <v>250</v>
      </c>
      <c r="AA15" s="41">
        <v>250</v>
      </c>
      <c r="AB15" s="41">
        <f t="shared" si="1"/>
        <v>250</v>
      </c>
      <c r="AC15" s="41">
        <f t="shared" si="1"/>
        <v>250</v>
      </c>
      <c r="AD15" s="41">
        <f t="shared" si="1"/>
        <v>250</v>
      </c>
      <c r="AE15" s="72">
        <f t="shared" si="1"/>
        <v>250</v>
      </c>
      <c r="AF15" s="41">
        <f t="shared" si="1"/>
        <v>250</v>
      </c>
      <c r="AG15" s="41">
        <f t="shared" si="1"/>
        <v>250</v>
      </c>
      <c r="AH15" s="41">
        <f t="shared" si="1"/>
        <v>250</v>
      </c>
      <c r="AI15" s="41">
        <f t="shared" si="1"/>
        <v>250</v>
      </c>
      <c r="AJ15" s="72">
        <f t="shared" si="1"/>
        <v>250</v>
      </c>
      <c r="AK15" s="41">
        <f t="shared" ref="AK15:AK60" si="32">AJ15</f>
        <v>250</v>
      </c>
      <c r="AL15" s="41">
        <f t="shared" ref="AL15:AL60" si="33">AK15</f>
        <v>250</v>
      </c>
      <c r="AM15" s="41">
        <f t="shared" ref="AM15:AM60" si="34">AL15</f>
        <v>250</v>
      </c>
      <c r="AN15" s="41">
        <f t="shared" ref="AN15:AO60" si="35">AM15</f>
        <v>250</v>
      </c>
      <c r="AO15" s="72">
        <f t="shared" si="6"/>
        <v>250</v>
      </c>
      <c r="AP15" s="41">
        <f t="shared" ref="AP15:AP60" si="36">AO15</f>
        <v>250</v>
      </c>
      <c r="AQ15" s="41">
        <f t="shared" ref="AQ15:AQ17" si="37">AP15</f>
        <v>250</v>
      </c>
      <c r="AR15" s="41">
        <f t="shared" ref="AR15:AR60" si="38">AQ15</f>
        <v>250</v>
      </c>
      <c r="AS15" s="446">
        <f t="shared" ref="AS15:AS60" si="39">AR15</f>
        <v>250</v>
      </c>
      <c r="AT15" s="72">
        <f t="shared" si="11"/>
        <v>250</v>
      </c>
      <c r="AU15" s="41">
        <f t="shared" si="12"/>
        <v>250</v>
      </c>
      <c r="AV15" s="41">
        <f t="shared" si="13"/>
        <v>250</v>
      </c>
      <c r="AW15" s="41">
        <f t="shared" si="14"/>
        <v>250</v>
      </c>
      <c r="AX15" s="41">
        <f t="shared" si="15"/>
        <v>250</v>
      </c>
      <c r="AY15" s="72">
        <f t="shared" si="16"/>
        <v>250</v>
      </c>
      <c r="AZ15" s="41">
        <f t="shared" si="17"/>
        <v>250</v>
      </c>
      <c r="BA15" s="41">
        <f t="shared" si="18"/>
        <v>250</v>
      </c>
      <c r="BB15" s="41">
        <f t="shared" si="19"/>
        <v>250</v>
      </c>
      <c r="BC15" s="41">
        <f t="shared" si="20"/>
        <v>250</v>
      </c>
      <c r="BD15" s="72">
        <f t="shared" si="21"/>
        <v>250</v>
      </c>
      <c r="BE15" s="543">
        <v>0</v>
      </c>
      <c r="BF15" s="41">
        <f t="shared" si="23"/>
        <v>0</v>
      </c>
      <c r="BG15" s="41">
        <f t="shared" si="24"/>
        <v>0</v>
      </c>
      <c r="BH15" s="41">
        <f t="shared" si="25"/>
        <v>0</v>
      </c>
      <c r="BI15" s="72">
        <f t="shared" si="26"/>
        <v>0</v>
      </c>
    </row>
    <row r="16" spans="1:61" s="26" customFormat="1">
      <c r="A16" s="3" t="s">
        <v>363</v>
      </c>
      <c r="B16" s="41"/>
      <c r="C16" s="41"/>
      <c r="D16" s="41"/>
      <c r="E16" s="42"/>
      <c r="F16" s="43"/>
      <c r="G16" s="41"/>
      <c r="H16" s="41"/>
      <c r="I16" s="41"/>
      <c r="J16" s="42"/>
      <c r="K16" s="43"/>
      <c r="L16" s="41"/>
      <c r="M16" s="41"/>
      <c r="N16" s="41"/>
      <c r="O16" s="42"/>
      <c r="P16" s="43">
        <v>300</v>
      </c>
      <c r="Q16" s="41">
        <f t="shared" si="27"/>
        <v>300</v>
      </c>
      <c r="R16" s="41">
        <f t="shared" si="27"/>
        <v>300</v>
      </c>
      <c r="S16" s="41">
        <f t="shared" si="27"/>
        <v>300</v>
      </c>
      <c r="T16" s="42">
        <f t="shared" si="28"/>
        <v>300</v>
      </c>
      <c r="U16" s="43">
        <v>300</v>
      </c>
      <c r="V16" s="41">
        <f t="shared" si="0"/>
        <v>300</v>
      </c>
      <c r="W16" s="41">
        <f t="shared" si="0"/>
        <v>300</v>
      </c>
      <c r="X16" s="41">
        <f t="shared" si="0"/>
        <v>300</v>
      </c>
      <c r="Y16" s="42">
        <f t="shared" si="29"/>
        <v>300</v>
      </c>
      <c r="Z16" s="43">
        <v>300</v>
      </c>
      <c r="AA16" s="41">
        <v>300</v>
      </c>
      <c r="AB16" s="41">
        <f t="shared" si="1"/>
        <v>300</v>
      </c>
      <c r="AC16" s="41">
        <f t="shared" si="1"/>
        <v>300</v>
      </c>
      <c r="AD16" s="41">
        <f t="shared" si="1"/>
        <v>300</v>
      </c>
      <c r="AE16" s="72">
        <f t="shared" si="1"/>
        <v>300</v>
      </c>
      <c r="AF16" s="41">
        <f t="shared" si="1"/>
        <v>300</v>
      </c>
      <c r="AG16" s="41">
        <f t="shared" si="1"/>
        <v>300</v>
      </c>
      <c r="AH16" s="41">
        <f t="shared" si="1"/>
        <v>300</v>
      </c>
      <c r="AI16" s="41">
        <f t="shared" si="1"/>
        <v>300</v>
      </c>
      <c r="AJ16" s="72">
        <f t="shared" si="1"/>
        <v>300</v>
      </c>
      <c r="AK16" s="41">
        <f t="shared" si="32"/>
        <v>300</v>
      </c>
      <c r="AL16" s="41">
        <f t="shared" si="33"/>
        <v>300</v>
      </c>
      <c r="AM16" s="41">
        <f t="shared" si="34"/>
        <v>300</v>
      </c>
      <c r="AN16" s="41">
        <f t="shared" si="35"/>
        <v>300</v>
      </c>
      <c r="AO16" s="72">
        <f t="shared" si="6"/>
        <v>300</v>
      </c>
      <c r="AP16" s="41">
        <f t="shared" si="36"/>
        <v>300</v>
      </c>
      <c r="AQ16" s="41">
        <f t="shared" si="37"/>
        <v>300</v>
      </c>
      <c r="AR16" s="41">
        <f t="shared" si="38"/>
        <v>300</v>
      </c>
      <c r="AS16" s="446">
        <f t="shared" si="39"/>
        <v>300</v>
      </c>
      <c r="AT16" s="72">
        <f t="shared" si="11"/>
        <v>300</v>
      </c>
      <c r="AU16" s="41">
        <f t="shared" si="12"/>
        <v>300</v>
      </c>
      <c r="AV16" s="41">
        <f t="shared" si="13"/>
        <v>300</v>
      </c>
      <c r="AW16" s="41">
        <f t="shared" si="14"/>
        <v>300</v>
      </c>
      <c r="AX16" s="41">
        <f t="shared" si="15"/>
        <v>300</v>
      </c>
      <c r="AY16" s="72">
        <f t="shared" si="16"/>
        <v>300</v>
      </c>
      <c r="AZ16" s="41">
        <f t="shared" si="17"/>
        <v>300</v>
      </c>
      <c r="BA16" s="41">
        <f t="shared" si="18"/>
        <v>300</v>
      </c>
      <c r="BB16" s="41">
        <f t="shared" si="19"/>
        <v>300</v>
      </c>
      <c r="BC16" s="41">
        <f t="shared" si="20"/>
        <v>300</v>
      </c>
      <c r="BD16" s="72">
        <f t="shared" si="21"/>
        <v>300</v>
      </c>
      <c r="BE16" s="543">
        <v>0</v>
      </c>
      <c r="BF16" s="41">
        <f t="shared" si="23"/>
        <v>0</v>
      </c>
      <c r="BG16" s="41">
        <f t="shared" si="24"/>
        <v>0</v>
      </c>
      <c r="BH16" s="41">
        <f t="shared" si="25"/>
        <v>0</v>
      </c>
      <c r="BI16" s="72">
        <f t="shared" si="26"/>
        <v>0</v>
      </c>
    </row>
    <row r="17" spans="1:61" s="26" customFormat="1">
      <c r="A17" s="3" t="s">
        <v>364</v>
      </c>
      <c r="B17" s="41"/>
      <c r="C17" s="41"/>
      <c r="D17" s="41"/>
      <c r="E17" s="42"/>
      <c r="F17" s="43"/>
      <c r="G17" s="41"/>
      <c r="H17" s="41"/>
      <c r="I17" s="41"/>
      <c r="J17" s="42"/>
      <c r="K17" s="43"/>
      <c r="L17" s="41"/>
      <c r="M17" s="41"/>
      <c r="N17" s="41"/>
      <c r="O17" s="42"/>
      <c r="P17" s="43">
        <v>0</v>
      </c>
      <c r="Q17" s="41">
        <f t="shared" si="27"/>
        <v>0</v>
      </c>
      <c r="R17" s="41">
        <f t="shared" si="27"/>
        <v>0</v>
      </c>
      <c r="S17" s="41">
        <f t="shared" si="27"/>
        <v>0</v>
      </c>
      <c r="T17" s="42">
        <f t="shared" si="28"/>
        <v>0</v>
      </c>
      <c r="U17" s="43">
        <v>0</v>
      </c>
      <c r="V17" s="41">
        <f t="shared" si="0"/>
        <v>0</v>
      </c>
      <c r="W17" s="41">
        <f t="shared" si="0"/>
        <v>0</v>
      </c>
      <c r="X17" s="41">
        <v>1000</v>
      </c>
      <c r="Y17" s="42">
        <f t="shared" si="29"/>
        <v>1000</v>
      </c>
      <c r="Z17" s="43">
        <v>1000</v>
      </c>
      <c r="AA17" s="41">
        <v>1000</v>
      </c>
      <c r="AB17" s="41">
        <f t="shared" si="1"/>
        <v>1000</v>
      </c>
      <c r="AC17" s="41">
        <f t="shared" si="1"/>
        <v>1000</v>
      </c>
      <c r="AD17" s="41">
        <f t="shared" si="1"/>
        <v>1000</v>
      </c>
      <c r="AE17" s="72">
        <f t="shared" si="1"/>
        <v>1000</v>
      </c>
      <c r="AF17" s="41">
        <f t="shared" si="1"/>
        <v>1000</v>
      </c>
      <c r="AG17" s="41">
        <f t="shared" si="1"/>
        <v>1000</v>
      </c>
      <c r="AH17" s="41">
        <f t="shared" si="1"/>
        <v>1000</v>
      </c>
      <c r="AI17" s="41">
        <f t="shared" si="1"/>
        <v>1000</v>
      </c>
      <c r="AJ17" s="72">
        <f t="shared" si="1"/>
        <v>1000</v>
      </c>
      <c r="AK17" s="41">
        <f t="shared" si="32"/>
        <v>1000</v>
      </c>
      <c r="AL17" s="41">
        <f t="shared" si="33"/>
        <v>1000</v>
      </c>
      <c r="AM17" s="41">
        <f t="shared" si="34"/>
        <v>1000</v>
      </c>
      <c r="AN17" s="41">
        <f t="shared" si="35"/>
        <v>1000</v>
      </c>
      <c r="AO17" s="72">
        <f t="shared" si="6"/>
        <v>1000</v>
      </c>
      <c r="AP17" s="41">
        <f t="shared" si="36"/>
        <v>1000</v>
      </c>
      <c r="AQ17" s="41">
        <f t="shared" si="37"/>
        <v>1000</v>
      </c>
      <c r="AR17" s="41">
        <f t="shared" si="38"/>
        <v>1000</v>
      </c>
      <c r="AS17" s="446">
        <f t="shared" si="39"/>
        <v>1000</v>
      </c>
      <c r="AT17" s="72">
        <f t="shared" si="11"/>
        <v>1000</v>
      </c>
      <c r="AU17" s="41">
        <f t="shared" si="12"/>
        <v>1000</v>
      </c>
      <c r="AV17" s="41">
        <f t="shared" si="13"/>
        <v>1000</v>
      </c>
      <c r="AW17" s="41">
        <f t="shared" si="14"/>
        <v>1000</v>
      </c>
      <c r="AX17" s="41">
        <f t="shared" si="15"/>
        <v>1000</v>
      </c>
      <c r="AY17" s="72">
        <f t="shared" si="16"/>
        <v>1000</v>
      </c>
      <c r="AZ17" s="41">
        <f t="shared" si="17"/>
        <v>1000</v>
      </c>
      <c r="BA17" s="41">
        <f t="shared" si="18"/>
        <v>1000</v>
      </c>
      <c r="BB17" s="41">
        <f t="shared" si="19"/>
        <v>1000</v>
      </c>
      <c r="BC17" s="41">
        <f t="shared" si="20"/>
        <v>1000</v>
      </c>
      <c r="BD17" s="72">
        <f t="shared" si="21"/>
        <v>1000</v>
      </c>
      <c r="BE17" s="41">
        <f t="shared" si="22"/>
        <v>1000</v>
      </c>
      <c r="BF17" s="41">
        <f t="shared" si="23"/>
        <v>1000</v>
      </c>
      <c r="BG17" s="41">
        <f t="shared" si="24"/>
        <v>1000</v>
      </c>
      <c r="BH17" s="41">
        <f t="shared" si="25"/>
        <v>1000</v>
      </c>
      <c r="BI17" s="72">
        <f t="shared" si="26"/>
        <v>1000</v>
      </c>
    </row>
    <row r="18" spans="1:61" s="26" customFormat="1">
      <c r="A18" s="3" t="s">
        <v>365</v>
      </c>
      <c r="B18" s="41"/>
      <c r="C18" s="41"/>
      <c r="D18" s="41"/>
      <c r="E18" s="42"/>
      <c r="F18" s="43"/>
      <c r="G18" s="41"/>
      <c r="H18" s="41"/>
      <c r="I18" s="41"/>
      <c r="J18" s="42"/>
      <c r="K18" s="43"/>
      <c r="L18" s="41"/>
      <c r="M18" s="41"/>
      <c r="N18" s="41"/>
      <c r="O18" s="42"/>
      <c r="P18" s="43">
        <v>0</v>
      </c>
      <c r="Q18" s="41">
        <f t="shared" si="27"/>
        <v>0</v>
      </c>
      <c r="R18" s="41">
        <f t="shared" si="27"/>
        <v>0</v>
      </c>
      <c r="S18" s="41">
        <f t="shared" si="27"/>
        <v>0</v>
      </c>
      <c r="T18" s="42">
        <f t="shared" si="28"/>
        <v>0</v>
      </c>
      <c r="U18" s="43">
        <v>0</v>
      </c>
      <c r="V18" s="41">
        <f t="shared" si="0"/>
        <v>0</v>
      </c>
      <c r="W18" s="41">
        <v>600</v>
      </c>
      <c r="X18" s="41">
        <f t="shared" si="0"/>
        <v>600</v>
      </c>
      <c r="Y18" s="42">
        <f t="shared" si="29"/>
        <v>600</v>
      </c>
      <c r="Z18" s="43">
        <v>600</v>
      </c>
      <c r="AA18" s="41">
        <v>600</v>
      </c>
      <c r="AB18" s="41">
        <f t="shared" si="1"/>
        <v>600</v>
      </c>
      <c r="AC18" s="41">
        <f t="shared" si="1"/>
        <v>600</v>
      </c>
      <c r="AD18" s="41">
        <f t="shared" si="1"/>
        <v>600</v>
      </c>
      <c r="AE18" s="72">
        <f t="shared" si="1"/>
        <v>600</v>
      </c>
      <c r="AF18" s="41">
        <f t="shared" si="1"/>
        <v>600</v>
      </c>
      <c r="AG18" s="41">
        <f t="shared" si="1"/>
        <v>600</v>
      </c>
      <c r="AH18" s="41">
        <f t="shared" si="1"/>
        <v>600</v>
      </c>
      <c r="AI18" s="41">
        <f t="shared" si="1"/>
        <v>600</v>
      </c>
      <c r="AJ18" s="72">
        <f t="shared" si="1"/>
        <v>600</v>
      </c>
      <c r="AK18" s="41">
        <f t="shared" si="32"/>
        <v>600</v>
      </c>
      <c r="AL18" s="41">
        <v>0</v>
      </c>
      <c r="AM18" s="41">
        <f t="shared" si="34"/>
        <v>0</v>
      </c>
      <c r="AN18" s="41">
        <f t="shared" si="35"/>
        <v>0</v>
      </c>
      <c r="AO18" s="72">
        <f t="shared" si="6"/>
        <v>0</v>
      </c>
      <c r="AP18" s="41">
        <f t="shared" si="36"/>
        <v>0</v>
      </c>
      <c r="AQ18" s="41">
        <v>0</v>
      </c>
      <c r="AR18" s="41">
        <f t="shared" si="38"/>
        <v>0</v>
      </c>
      <c r="AS18" s="446">
        <f t="shared" si="39"/>
        <v>0</v>
      </c>
      <c r="AT18" s="72">
        <f t="shared" si="11"/>
        <v>0</v>
      </c>
      <c r="AU18" s="41">
        <f t="shared" si="12"/>
        <v>0</v>
      </c>
      <c r="AV18" s="41">
        <f t="shared" si="13"/>
        <v>0</v>
      </c>
      <c r="AW18" s="41">
        <f t="shared" si="14"/>
        <v>0</v>
      </c>
      <c r="AX18" s="41">
        <f t="shared" si="15"/>
        <v>0</v>
      </c>
      <c r="AY18" s="72">
        <f t="shared" si="16"/>
        <v>0</v>
      </c>
      <c r="AZ18" s="41">
        <f t="shared" si="17"/>
        <v>0</v>
      </c>
      <c r="BA18" s="41">
        <f t="shared" si="18"/>
        <v>0</v>
      </c>
      <c r="BB18" s="41">
        <f t="shared" si="19"/>
        <v>0</v>
      </c>
      <c r="BC18" s="41">
        <f t="shared" si="20"/>
        <v>0</v>
      </c>
      <c r="BD18" s="72">
        <f t="shared" si="21"/>
        <v>0</v>
      </c>
      <c r="BE18" s="41">
        <f t="shared" si="22"/>
        <v>0</v>
      </c>
      <c r="BF18" s="41">
        <f t="shared" si="23"/>
        <v>0</v>
      </c>
      <c r="BG18" s="41">
        <f t="shared" si="24"/>
        <v>0</v>
      </c>
      <c r="BH18" s="41">
        <f t="shared" si="25"/>
        <v>0</v>
      </c>
      <c r="BI18" s="72">
        <f t="shared" si="26"/>
        <v>0</v>
      </c>
    </row>
    <row r="19" spans="1:61" s="26" customFormat="1">
      <c r="A19" s="3" t="s">
        <v>366</v>
      </c>
      <c r="B19" s="41"/>
      <c r="C19" s="41"/>
      <c r="D19" s="41"/>
      <c r="E19" s="42"/>
      <c r="F19" s="43"/>
      <c r="G19" s="41"/>
      <c r="H19" s="41"/>
      <c r="I19" s="41"/>
      <c r="J19" s="42"/>
      <c r="K19" s="43"/>
      <c r="L19" s="41"/>
      <c r="M19" s="41"/>
      <c r="N19" s="41"/>
      <c r="O19" s="42"/>
      <c r="P19" s="43">
        <v>0</v>
      </c>
      <c r="Q19" s="41">
        <f t="shared" si="27"/>
        <v>0</v>
      </c>
      <c r="R19" s="41">
        <f t="shared" si="27"/>
        <v>0</v>
      </c>
      <c r="S19" s="41">
        <f t="shared" si="27"/>
        <v>0</v>
      </c>
      <c r="T19" s="42">
        <f t="shared" si="28"/>
        <v>0</v>
      </c>
      <c r="U19" s="43">
        <v>0</v>
      </c>
      <c r="V19" s="41">
        <v>400</v>
      </c>
      <c r="W19" s="41">
        <f t="shared" si="0"/>
        <v>400</v>
      </c>
      <c r="X19" s="41">
        <f t="shared" si="0"/>
        <v>400</v>
      </c>
      <c r="Y19" s="42">
        <f t="shared" si="29"/>
        <v>400</v>
      </c>
      <c r="Z19" s="43">
        <v>400</v>
      </c>
      <c r="AA19" s="41">
        <v>400</v>
      </c>
      <c r="AB19" s="41">
        <f t="shared" si="1"/>
        <v>400</v>
      </c>
      <c r="AC19" s="41">
        <f t="shared" si="1"/>
        <v>400</v>
      </c>
      <c r="AD19" s="41">
        <f t="shared" si="1"/>
        <v>400</v>
      </c>
      <c r="AE19" s="72">
        <f t="shared" si="1"/>
        <v>400</v>
      </c>
      <c r="AF19" s="41">
        <f t="shared" si="1"/>
        <v>400</v>
      </c>
      <c r="AG19" s="41">
        <f t="shared" si="1"/>
        <v>400</v>
      </c>
      <c r="AH19" s="41">
        <f t="shared" si="1"/>
        <v>400</v>
      </c>
      <c r="AI19" s="41">
        <f t="shared" si="1"/>
        <v>400</v>
      </c>
      <c r="AJ19" s="72">
        <f t="shared" si="1"/>
        <v>400</v>
      </c>
      <c r="AK19" s="41">
        <f t="shared" si="32"/>
        <v>400</v>
      </c>
      <c r="AL19" s="41">
        <f t="shared" si="33"/>
        <v>400</v>
      </c>
      <c r="AM19" s="41">
        <f t="shared" si="34"/>
        <v>400</v>
      </c>
      <c r="AN19" s="41">
        <f t="shared" si="35"/>
        <v>400</v>
      </c>
      <c r="AO19" s="72">
        <f t="shared" si="6"/>
        <v>400</v>
      </c>
      <c r="AP19" s="41">
        <f t="shared" si="36"/>
        <v>400</v>
      </c>
      <c r="AQ19" s="41">
        <f t="shared" ref="AQ19:AQ60" si="40">AP19</f>
        <v>400</v>
      </c>
      <c r="AR19" s="41">
        <f t="shared" si="38"/>
        <v>400</v>
      </c>
      <c r="AS19" s="446">
        <f t="shared" si="39"/>
        <v>400</v>
      </c>
      <c r="AT19" s="72">
        <f t="shared" si="11"/>
        <v>400</v>
      </c>
      <c r="AU19" s="528">
        <v>0</v>
      </c>
      <c r="AV19" s="41">
        <f>AU19</f>
        <v>0</v>
      </c>
      <c r="AW19" s="41">
        <f t="shared" si="14"/>
        <v>0</v>
      </c>
      <c r="AX19" s="41">
        <f t="shared" si="15"/>
        <v>0</v>
      </c>
      <c r="AY19" s="72">
        <f t="shared" si="16"/>
        <v>0</v>
      </c>
      <c r="AZ19" s="41">
        <f t="shared" si="17"/>
        <v>0</v>
      </c>
      <c r="BA19" s="41">
        <f t="shared" si="18"/>
        <v>0</v>
      </c>
      <c r="BB19" s="41">
        <f t="shared" si="19"/>
        <v>0</v>
      </c>
      <c r="BC19" s="41">
        <f t="shared" si="20"/>
        <v>0</v>
      </c>
      <c r="BD19" s="72">
        <f t="shared" si="21"/>
        <v>0</v>
      </c>
      <c r="BE19" s="41">
        <f t="shared" si="22"/>
        <v>0</v>
      </c>
      <c r="BF19" s="41">
        <f t="shared" si="23"/>
        <v>0</v>
      </c>
      <c r="BG19" s="41">
        <f t="shared" si="24"/>
        <v>0</v>
      </c>
      <c r="BH19" s="41">
        <f t="shared" si="25"/>
        <v>0</v>
      </c>
      <c r="BI19" s="72">
        <f t="shared" si="26"/>
        <v>0</v>
      </c>
    </row>
    <row r="20" spans="1:61" s="26" customFormat="1">
      <c r="A20" s="3" t="s">
        <v>589</v>
      </c>
      <c r="B20" s="41"/>
      <c r="C20" s="41"/>
      <c r="D20" s="41"/>
      <c r="E20" s="42"/>
      <c r="F20" s="43"/>
      <c r="G20" s="41"/>
      <c r="H20" s="41"/>
      <c r="I20" s="41"/>
      <c r="J20" s="42"/>
      <c r="K20" s="43"/>
      <c r="L20" s="41"/>
      <c r="M20" s="41"/>
      <c r="N20" s="41"/>
      <c r="O20" s="42"/>
      <c r="P20" s="43"/>
      <c r="Q20" s="41"/>
      <c r="R20" s="41"/>
      <c r="S20" s="41"/>
      <c r="T20" s="42"/>
      <c r="U20" s="43"/>
      <c r="V20" s="41"/>
      <c r="W20" s="41"/>
      <c r="X20" s="41"/>
      <c r="Y20" s="42"/>
      <c r="Z20" s="43"/>
      <c r="AA20" s="41"/>
      <c r="AB20" s="41"/>
      <c r="AC20" s="41"/>
      <c r="AD20" s="41"/>
      <c r="AE20" s="72"/>
      <c r="AF20" s="41">
        <v>1325</v>
      </c>
      <c r="AG20" s="41">
        <f t="shared" ref="AG20:AJ22" si="41">AF20</f>
        <v>1325</v>
      </c>
      <c r="AH20" s="41">
        <f t="shared" si="41"/>
        <v>1325</v>
      </c>
      <c r="AI20" s="41">
        <f t="shared" si="41"/>
        <v>1325</v>
      </c>
      <c r="AJ20" s="72">
        <f t="shared" si="41"/>
        <v>1325</v>
      </c>
      <c r="AK20" s="41">
        <f t="shared" si="32"/>
        <v>1325</v>
      </c>
      <c r="AL20" s="41">
        <f t="shared" si="33"/>
        <v>1325</v>
      </c>
      <c r="AM20" s="41">
        <f t="shared" si="34"/>
        <v>1325</v>
      </c>
      <c r="AN20" s="41">
        <f t="shared" si="35"/>
        <v>1325</v>
      </c>
      <c r="AO20" s="72">
        <f t="shared" si="35"/>
        <v>1325</v>
      </c>
      <c r="AP20" s="41">
        <v>0</v>
      </c>
      <c r="AQ20" s="41">
        <f>AP20/2</f>
        <v>0</v>
      </c>
      <c r="AR20" s="41">
        <v>0</v>
      </c>
      <c r="AS20" s="446">
        <v>0</v>
      </c>
      <c r="AT20" s="72">
        <f t="shared" si="11"/>
        <v>0</v>
      </c>
      <c r="AU20" s="41">
        <f t="shared" si="12"/>
        <v>0</v>
      </c>
      <c r="AV20" s="41">
        <f t="shared" si="13"/>
        <v>0</v>
      </c>
      <c r="AW20" s="41">
        <f t="shared" si="14"/>
        <v>0</v>
      </c>
      <c r="AX20" s="41">
        <f t="shared" si="15"/>
        <v>0</v>
      </c>
      <c r="AY20" s="72">
        <f t="shared" si="16"/>
        <v>0</v>
      </c>
      <c r="AZ20" s="41">
        <f t="shared" si="17"/>
        <v>0</v>
      </c>
      <c r="BA20" s="41">
        <f t="shared" si="18"/>
        <v>0</v>
      </c>
      <c r="BB20" s="41">
        <f t="shared" si="19"/>
        <v>0</v>
      </c>
      <c r="BC20" s="41">
        <f t="shared" si="20"/>
        <v>0</v>
      </c>
      <c r="BD20" s="72">
        <f t="shared" si="21"/>
        <v>0</v>
      </c>
      <c r="BE20" s="41">
        <f t="shared" si="22"/>
        <v>0</v>
      </c>
      <c r="BF20" s="41">
        <f t="shared" si="23"/>
        <v>0</v>
      </c>
      <c r="BG20" s="41">
        <f t="shared" si="24"/>
        <v>0</v>
      </c>
      <c r="BH20" s="41">
        <f t="shared" si="25"/>
        <v>0</v>
      </c>
      <c r="BI20" s="72">
        <f t="shared" si="26"/>
        <v>0</v>
      </c>
    </row>
    <row r="21" spans="1:61" s="26" customFormat="1">
      <c r="A21" s="3" t="s">
        <v>590</v>
      </c>
      <c r="B21" s="41"/>
      <c r="C21" s="41"/>
      <c r="D21" s="41"/>
      <c r="E21" s="42"/>
      <c r="F21" s="43"/>
      <c r="G21" s="41"/>
      <c r="H21" s="41"/>
      <c r="I21" s="41"/>
      <c r="J21" s="42"/>
      <c r="K21" s="43"/>
      <c r="L21" s="41"/>
      <c r="M21" s="41"/>
      <c r="N21" s="41"/>
      <c r="O21" s="42"/>
      <c r="P21" s="43"/>
      <c r="Q21" s="41"/>
      <c r="R21" s="41"/>
      <c r="S21" s="41"/>
      <c r="T21" s="42"/>
      <c r="U21" s="43"/>
      <c r="V21" s="41"/>
      <c r="W21" s="41"/>
      <c r="X21" s="41"/>
      <c r="Y21" s="42"/>
      <c r="Z21" s="43"/>
      <c r="AA21" s="41"/>
      <c r="AB21" s="41"/>
      <c r="AC21" s="41"/>
      <c r="AD21" s="41"/>
      <c r="AE21" s="72"/>
      <c r="AF21" s="41">
        <v>3000</v>
      </c>
      <c r="AG21" s="41">
        <f t="shared" si="41"/>
        <v>3000</v>
      </c>
      <c r="AH21" s="41">
        <f t="shared" si="41"/>
        <v>3000</v>
      </c>
      <c r="AI21" s="41">
        <f t="shared" si="41"/>
        <v>3000</v>
      </c>
      <c r="AJ21" s="72">
        <f t="shared" si="41"/>
        <v>3000</v>
      </c>
      <c r="AK21" s="41">
        <f t="shared" si="32"/>
        <v>3000</v>
      </c>
      <c r="AL21" s="41">
        <f t="shared" si="33"/>
        <v>3000</v>
      </c>
      <c r="AM21" s="41">
        <f t="shared" si="34"/>
        <v>3000</v>
      </c>
      <c r="AN21" s="41">
        <f t="shared" si="35"/>
        <v>3000</v>
      </c>
      <c r="AO21" s="72">
        <f t="shared" si="35"/>
        <v>3000</v>
      </c>
      <c r="AP21" s="41">
        <f t="shared" si="36"/>
        <v>3000</v>
      </c>
      <c r="AQ21" s="41">
        <f t="shared" si="40"/>
        <v>3000</v>
      </c>
      <c r="AR21" s="41">
        <f t="shared" si="38"/>
        <v>3000</v>
      </c>
      <c r="AS21" s="446">
        <f t="shared" si="39"/>
        <v>3000</v>
      </c>
      <c r="AT21" s="72">
        <f t="shared" si="11"/>
        <v>3000</v>
      </c>
      <c r="AU21" s="528">
        <v>0</v>
      </c>
      <c r="AV21" s="41">
        <f>AU21</f>
        <v>0</v>
      </c>
      <c r="AW21" s="41">
        <f t="shared" si="14"/>
        <v>0</v>
      </c>
      <c r="AX21" s="41">
        <f t="shared" si="15"/>
        <v>0</v>
      </c>
      <c r="AY21" s="72">
        <f t="shared" si="16"/>
        <v>0</v>
      </c>
      <c r="AZ21" s="41">
        <f t="shared" si="17"/>
        <v>0</v>
      </c>
      <c r="BA21" s="41">
        <f t="shared" si="18"/>
        <v>0</v>
      </c>
      <c r="BB21" s="41">
        <f t="shared" si="19"/>
        <v>0</v>
      </c>
      <c r="BC21" s="41">
        <f t="shared" si="20"/>
        <v>0</v>
      </c>
      <c r="BD21" s="72">
        <f t="shared" si="21"/>
        <v>0</v>
      </c>
      <c r="BE21" s="41">
        <f t="shared" si="22"/>
        <v>0</v>
      </c>
      <c r="BF21" s="41">
        <f t="shared" si="23"/>
        <v>0</v>
      </c>
      <c r="BG21" s="41">
        <f t="shared" si="24"/>
        <v>0</v>
      </c>
      <c r="BH21" s="41">
        <f t="shared" si="25"/>
        <v>0</v>
      </c>
      <c r="BI21" s="72">
        <f t="shared" si="26"/>
        <v>0</v>
      </c>
    </row>
    <row r="22" spans="1:61" s="26" customFormat="1">
      <c r="A22" s="3" t="s">
        <v>591</v>
      </c>
      <c r="B22" s="41"/>
      <c r="C22" s="41"/>
      <c r="D22" s="41"/>
      <c r="E22" s="42"/>
      <c r="F22" s="43"/>
      <c r="G22" s="41"/>
      <c r="H22" s="41"/>
      <c r="I22" s="41"/>
      <c r="J22" s="42"/>
      <c r="K22" s="43"/>
      <c r="L22" s="41"/>
      <c r="M22" s="41"/>
      <c r="N22" s="41"/>
      <c r="O22" s="42"/>
      <c r="P22" s="43"/>
      <c r="Q22" s="41"/>
      <c r="R22" s="41"/>
      <c r="S22" s="41"/>
      <c r="T22" s="42"/>
      <c r="U22" s="43"/>
      <c r="V22" s="41"/>
      <c r="W22" s="41"/>
      <c r="X22" s="41"/>
      <c r="Y22" s="42"/>
      <c r="Z22" s="43"/>
      <c r="AA22" s="41"/>
      <c r="AB22" s="41"/>
      <c r="AC22" s="41"/>
      <c r="AD22" s="41"/>
      <c r="AE22" s="72"/>
      <c r="AF22" s="41">
        <v>5500</v>
      </c>
      <c r="AG22" s="41">
        <f t="shared" si="41"/>
        <v>5500</v>
      </c>
      <c r="AH22" s="41">
        <f t="shared" si="41"/>
        <v>5500</v>
      </c>
      <c r="AI22" s="41">
        <f t="shared" si="41"/>
        <v>5500</v>
      </c>
      <c r="AJ22" s="72">
        <f t="shared" si="41"/>
        <v>5500</v>
      </c>
      <c r="AK22" s="41">
        <f t="shared" si="32"/>
        <v>5500</v>
      </c>
      <c r="AL22" s="41">
        <f t="shared" si="33"/>
        <v>5500</v>
      </c>
      <c r="AM22" s="41">
        <f t="shared" si="34"/>
        <v>5500</v>
      </c>
      <c r="AN22" s="41">
        <f t="shared" si="35"/>
        <v>5500</v>
      </c>
      <c r="AO22" s="72">
        <f>AN22</f>
        <v>5500</v>
      </c>
      <c r="AP22" s="41">
        <f t="shared" si="36"/>
        <v>5500</v>
      </c>
      <c r="AQ22" s="41">
        <f t="shared" si="40"/>
        <v>5500</v>
      </c>
      <c r="AR22" s="41">
        <f t="shared" si="38"/>
        <v>5500</v>
      </c>
      <c r="AS22" s="446">
        <f t="shared" si="39"/>
        <v>5500</v>
      </c>
      <c r="AT22" s="72">
        <f>AS22</f>
        <v>5500</v>
      </c>
      <c r="AU22" s="41">
        <f t="shared" si="12"/>
        <v>5500</v>
      </c>
      <c r="AV22" s="41">
        <f t="shared" si="13"/>
        <v>5500</v>
      </c>
      <c r="AW22" s="41">
        <f t="shared" si="14"/>
        <v>5500</v>
      </c>
      <c r="AX22" s="41">
        <f t="shared" si="15"/>
        <v>5500</v>
      </c>
      <c r="AY22" s="72">
        <f>AX22</f>
        <v>5500</v>
      </c>
      <c r="AZ22" s="41">
        <f t="shared" si="17"/>
        <v>5500</v>
      </c>
      <c r="BA22" s="41">
        <f t="shared" si="18"/>
        <v>5500</v>
      </c>
      <c r="BB22" s="41">
        <f t="shared" si="19"/>
        <v>5500</v>
      </c>
      <c r="BC22" s="41">
        <f t="shared" si="20"/>
        <v>5500</v>
      </c>
      <c r="BD22" s="72">
        <f>BC22</f>
        <v>5500</v>
      </c>
      <c r="BE22" s="41">
        <f t="shared" si="22"/>
        <v>5500</v>
      </c>
      <c r="BF22" s="543">
        <v>4900</v>
      </c>
      <c r="BG22" s="41">
        <f t="shared" si="24"/>
        <v>4900</v>
      </c>
      <c r="BH22" s="41">
        <f t="shared" si="25"/>
        <v>4900</v>
      </c>
      <c r="BI22" s="72">
        <f>BH22</f>
        <v>4900</v>
      </c>
    </row>
    <row r="23" spans="1:61" s="26" customFormat="1">
      <c r="A23" s="3" t="s">
        <v>367</v>
      </c>
      <c r="B23" s="41"/>
      <c r="C23" s="41"/>
      <c r="D23" s="41"/>
      <c r="E23" s="42"/>
      <c r="F23" s="43"/>
      <c r="G23" s="41"/>
      <c r="H23" s="41"/>
      <c r="I23" s="41"/>
      <c r="J23" s="42"/>
      <c r="K23" s="43"/>
      <c r="L23" s="41"/>
      <c r="M23" s="41"/>
      <c r="N23" s="41"/>
      <c r="O23" s="42"/>
      <c r="P23" s="43">
        <v>0</v>
      </c>
      <c r="Q23" s="41">
        <v>350</v>
      </c>
      <c r="R23" s="41">
        <f t="shared" si="27"/>
        <v>350</v>
      </c>
      <c r="S23" s="41">
        <f t="shared" si="27"/>
        <v>350</v>
      </c>
      <c r="T23" s="42">
        <f t="shared" si="28"/>
        <v>350</v>
      </c>
      <c r="U23" s="43">
        <v>350</v>
      </c>
      <c r="V23" s="41">
        <f>U23</f>
        <v>350</v>
      </c>
      <c r="W23" s="41">
        <f t="shared" si="0"/>
        <v>350</v>
      </c>
      <c r="X23" s="41">
        <f t="shared" si="0"/>
        <v>350</v>
      </c>
      <c r="Y23" s="42">
        <f t="shared" si="29"/>
        <v>350</v>
      </c>
      <c r="Z23" s="43">
        <v>350</v>
      </c>
      <c r="AA23" s="41">
        <v>350</v>
      </c>
      <c r="AB23" s="41">
        <f t="shared" si="1"/>
        <v>350</v>
      </c>
      <c r="AC23" s="41">
        <f t="shared" si="1"/>
        <v>350</v>
      </c>
      <c r="AD23" s="41">
        <f t="shared" si="1"/>
        <v>350</v>
      </c>
      <c r="AE23" s="72">
        <f t="shared" si="1"/>
        <v>350</v>
      </c>
      <c r="AF23" s="41">
        <f t="shared" si="1"/>
        <v>350</v>
      </c>
      <c r="AG23" s="41">
        <f t="shared" si="1"/>
        <v>350</v>
      </c>
      <c r="AH23" s="41">
        <f t="shared" si="1"/>
        <v>350</v>
      </c>
      <c r="AI23" s="41">
        <f t="shared" si="1"/>
        <v>350</v>
      </c>
      <c r="AJ23" s="72">
        <f t="shared" si="1"/>
        <v>350</v>
      </c>
      <c r="AK23" s="41">
        <f t="shared" si="32"/>
        <v>350</v>
      </c>
      <c r="AL23" s="41">
        <f t="shared" si="33"/>
        <v>350</v>
      </c>
      <c r="AM23" s="41">
        <f t="shared" si="34"/>
        <v>350</v>
      </c>
      <c r="AN23" s="41">
        <f t="shared" si="35"/>
        <v>350</v>
      </c>
      <c r="AO23" s="72">
        <f t="shared" si="35"/>
        <v>350</v>
      </c>
      <c r="AP23" s="41">
        <v>0</v>
      </c>
      <c r="AQ23" s="41">
        <f>AP23/2</f>
        <v>0</v>
      </c>
      <c r="AR23" s="41">
        <v>0</v>
      </c>
      <c r="AS23" s="446">
        <f t="shared" si="39"/>
        <v>0</v>
      </c>
      <c r="AT23" s="72">
        <f t="shared" ref="AT23:AT60" si="42">AS23</f>
        <v>0</v>
      </c>
      <c r="AU23" s="41">
        <f t="shared" si="12"/>
        <v>0</v>
      </c>
      <c r="AV23" s="41">
        <f t="shared" si="13"/>
        <v>0</v>
      </c>
      <c r="AW23" s="41">
        <f t="shared" si="14"/>
        <v>0</v>
      </c>
      <c r="AX23" s="41">
        <f t="shared" si="15"/>
        <v>0</v>
      </c>
      <c r="AY23" s="72">
        <f t="shared" ref="AY23:AY60" si="43">AX23</f>
        <v>0</v>
      </c>
      <c r="AZ23" s="41">
        <f t="shared" si="17"/>
        <v>0</v>
      </c>
      <c r="BA23" s="41">
        <f t="shared" si="18"/>
        <v>0</v>
      </c>
      <c r="BB23" s="41">
        <f t="shared" si="19"/>
        <v>0</v>
      </c>
      <c r="BC23" s="41">
        <f t="shared" si="20"/>
        <v>0</v>
      </c>
      <c r="BD23" s="72">
        <f t="shared" ref="BD23:BD60" si="44">BC23</f>
        <v>0</v>
      </c>
      <c r="BE23" s="41">
        <f t="shared" si="22"/>
        <v>0</v>
      </c>
      <c r="BF23" s="41">
        <f t="shared" si="23"/>
        <v>0</v>
      </c>
      <c r="BG23" s="41">
        <f t="shared" si="24"/>
        <v>0</v>
      </c>
      <c r="BH23" s="41">
        <f t="shared" si="25"/>
        <v>0</v>
      </c>
      <c r="BI23" s="72">
        <f t="shared" ref="BI23:BI60" si="45">BH23</f>
        <v>0</v>
      </c>
    </row>
    <row r="24" spans="1:61" s="26" customFormat="1">
      <c r="A24" s="3" t="s">
        <v>368</v>
      </c>
      <c r="B24" s="41"/>
      <c r="C24" s="41"/>
      <c r="D24" s="41"/>
      <c r="E24" s="42"/>
      <c r="F24" s="43"/>
      <c r="G24" s="41"/>
      <c r="H24" s="41"/>
      <c r="I24" s="41"/>
      <c r="J24" s="42"/>
      <c r="K24" s="43"/>
      <c r="L24" s="41"/>
      <c r="M24" s="41"/>
      <c r="N24" s="41"/>
      <c r="O24" s="42"/>
      <c r="P24" s="43">
        <v>300</v>
      </c>
      <c r="Q24" s="41">
        <f t="shared" si="27"/>
        <v>300</v>
      </c>
      <c r="R24" s="41">
        <f t="shared" si="27"/>
        <v>300</v>
      </c>
      <c r="S24" s="41">
        <f t="shared" si="27"/>
        <v>300</v>
      </c>
      <c r="T24" s="42">
        <f t="shared" si="28"/>
        <v>300</v>
      </c>
      <c r="U24" s="43">
        <v>300</v>
      </c>
      <c r="V24" s="41">
        <f>U24</f>
        <v>300</v>
      </c>
      <c r="W24" s="41">
        <f t="shared" si="0"/>
        <v>300</v>
      </c>
      <c r="X24" s="41">
        <f t="shared" si="0"/>
        <v>300</v>
      </c>
      <c r="Y24" s="42">
        <f t="shared" si="29"/>
        <v>300</v>
      </c>
      <c r="Z24" s="43">
        <v>300</v>
      </c>
      <c r="AA24" s="41">
        <v>300</v>
      </c>
      <c r="AB24" s="41">
        <f t="shared" si="1"/>
        <v>300</v>
      </c>
      <c r="AC24" s="41">
        <f t="shared" si="1"/>
        <v>300</v>
      </c>
      <c r="AD24" s="41">
        <f t="shared" si="1"/>
        <v>300</v>
      </c>
      <c r="AE24" s="72">
        <f t="shared" si="1"/>
        <v>300</v>
      </c>
      <c r="AF24" s="41">
        <f t="shared" si="1"/>
        <v>300</v>
      </c>
      <c r="AG24" s="41">
        <f t="shared" si="1"/>
        <v>300</v>
      </c>
      <c r="AH24" s="41">
        <f t="shared" si="1"/>
        <v>300</v>
      </c>
      <c r="AI24" s="41">
        <f t="shared" si="1"/>
        <v>300</v>
      </c>
      <c r="AJ24" s="72">
        <f t="shared" si="1"/>
        <v>300</v>
      </c>
      <c r="AK24" s="41">
        <f t="shared" si="32"/>
        <v>300</v>
      </c>
      <c r="AL24" s="41">
        <f t="shared" si="33"/>
        <v>300</v>
      </c>
      <c r="AM24" s="41">
        <f t="shared" si="34"/>
        <v>300</v>
      </c>
      <c r="AN24" s="41">
        <f t="shared" si="35"/>
        <v>300</v>
      </c>
      <c r="AO24" s="72">
        <f t="shared" si="35"/>
        <v>300</v>
      </c>
      <c r="AP24" s="41">
        <f t="shared" si="36"/>
        <v>300</v>
      </c>
      <c r="AQ24" s="41">
        <f t="shared" si="40"/>
        <v>300</v>
      </c>
      <c r="AR24" s="41">
        <f t="shared" si="38"/>
        <v>300</v>
      </c>
      <c r="AS24" s="446">
        <f t="shared" si="39"/>
        <v>300</v>
      </c>
      <c r="AT24" s="72">
        <f t="shared" si="42"/>
        <v>300</v>
      </c>
      <c r="AU24" s="41">
        <f t="shared" si="12"/>
        <v>300</v>
      </c>
      <c r="AV24" s="41">
        <f t="shared" si="13"/>
        <v>300</v>
      </c>
      <c r="AW24" s="41">
        <f t="shared" si="14"/>
        <v>300</v>
      </c>
      <c r="AX24" s="41">
        <f t="shared" si="15"/>
        <v>300</v>
      </c>
      <c r="AY24" s="72">
        <f t="shared" si="43"/>
        <v>300</v>
      </c>
      <c r="AZ24" s="41">
        <f t="shared" si="17"/>
        <v>300</v>
      </c>
      <c r="BA24" s="41">
        <f t="shared" si="18"/>
        <v>300</v>
      </c>
      <c r="BB24" s="41">
        <f t="shared" si="19"/>
        <v>300</v>
      </c>
      <c r="BC24" s="41">
        <f t="shared" si="20"/>
        <v>300</v>
      </c>
      <c r="BD24" s="72">
        <f t="shared" si="44"/>
        <v>300</v>
      </c>
      <c r="BE24" s="41">
        <f t="shared" si="22"/>
        <v>300</v>
      </c>
      <c r="BF24" s="41">
        <f t="shared" si="23"/>
        <v>300</v>
      </c>
      <c r="BG24" s="41">
        <f t="shared" si="24"/>
        <v>300</v>
      </c>
      <c r="BH24" s="41">
        <f t="shared" si="25"/>
        <v>300</v>
      </c>
      <c r="BI24" s="72">
        <f t="shared" si="45"/>
        <v>300</v>
      </c>
    </row>
    <row r="25" spans="1:61" s="26" customFormat="1">
      <c r="A25" s="3" t="s">
        <v>369</v>
      </c>
      <c r="B25" s="41"/>
      <c r="C25" s="41"/>
      <c r="D25" s="41"/>
      <c r="E25" s="42"/>
      <c r="F25" s="43"/>
      <c r="G25" s="41"/>
      <c r="H25" s="41"/>
      <c r="I25" s="41"/>
      <c r="J25" s="42"/>
      <c r="K25" s="43"/>
      <c r="L25" s="41"/>
      <c r="M25" s="41"/>
      <c r="N25" s="41"/>
      <c r="O25" s="42"/>
      <c r="P25" s="43">
        <v>300</v>
      </c>
      <c r="Q25" s="41">
        <f t="shared" si="27"/>
        <v>300</v>
      </c>
      <c r="R25" s="41">
        <f t="shared" si="27"/>
        <v>300</v>
      </c>
      <c r="S25" s="41">
        <f t="shared" si="27"/>
        <v>300</v>
      </c>
      <c r="T25" s="42">
        <f t="shared" si="28"/>
        <v>300</v>
      </c>
      <c r="U25" s="43">
        <v>300</v>
      </c>
      <c r="V25" s="41">
        <f>U25</f>
        <v>300</v>
      </c>
      <c r="W25" s="41">
        <f t="shared" si="0"/>
        <v>300</v>
      </c>
      <c r="X25" s="41">
        <f t="shared" si="0"/>
        <v>300</v>
      </c>
      <c r="Y25" s="42">
        <f t="shared" si="29"/>
        <v>300</v>
      </c>
      <c r="Z25" s="43">
        <v>300</v>
      </c>
      <c r="AA25" s="41">
        <v>300</v>
      </c>
      <c r="AB25" s="41">
        <f t="shared" si="1"/>
        <v>300</v>
      </c>
      <c r="AC25" s="41">
        <f t="shared" si="1"/>
        <v>300</v>
      </c>
      <c r="AD25" s="41">
        <f t="shared" si="1"/>
        <v>300</v>
      </c>
      <c r="AE25" s="72">
        <f t="shared" si="1"/>
        <v>300</v>
      </c>
      <c r="AF25" s="41">
        <f t="shared" si="1"/>
        <v>300</v>
      </c>
      <c r="AG25" s="41">
        <f t="shared" si="1"/>
        <v>300</v>
      </c>
      <c r="AH25" s="41">
        <f t="shared" si="1"/>
        <v>300</v>
      </c>
      <c r="AI25" s="41">
        <f t="shared" si="1"/>
        <v>300</v>
      </c>
      <c r="AJ25" s="72">
        <f t="shared" si="1"/>
        <v>300</v>
      </c>
      <c r="AK25" s="41">
        <f t="shared" si="32"/>
        <v>300</v>
      </c>
      <c r="AL25" s="41">
        <f t="shared" si="33"/>
        <v>300</v>
      </c>
      <c r="AM25" s="41">
        <f t="shared" si="34"/>
        <v>300</v>
      </c>
      <c r="AN25" s="41">
        <f t="shared" si="35"/>
        <v>300</v>
      </c>
      <c r="AO25" s="72">
        <f t="shared" si="35"/>
        <v>300</v>
      </c>
      <c r="AP25" s="41">
        <f t="shared" si="36"/>
        <v>300</v>
      </c>
      <c r="AQ25" s="41">
        <f t="shared" si="40"/>
        <v>300</v>
      </c>
      <c r="AR25" s="41">
        <f t="shared" si="38"/>
        <v>300</v>
      </c>
      <c r="AS25" s="446">
        <f t="shared" si="39"/>
        <v>300</v>
      </c>
      <c r="AT25" s="72">
        <f t="shared" si="42"/>
        <v>300</v>
      </c>
      <c r="AU25" s="41">
        <f t="shared" si="12"/>
        <v>300</v>
      </c>
      <c r="AV25" s="41">
        <f t="shared" si="13"/>
        <v>300</v>
      </c>
      <c r="AW25" s="41">
        <f t="shared" si="14"/>
        <v>300</v>
      </c>
      <c r="AX25" s="528">
        <v>0</v>
      </c>
      <c r="AY25" s="72">
        <f t="shared" si="43"/>
        <v>0</v>
      </c>
      <c r="AZ25" s="41">
        <f t="shared" si="17"/>
        <v>0</v>
      </c>
      <c r="BA25" s="41">
        <f t="shared" si="18"/>
        <v>0</v>
      </c>
      <c r="BB25" s="41">
        <f t="shared" si="19"/>
        <v>0</v>
      </c>
      <c r="BC25" s="41">
        <f t="shared" si="20"/>
        <v>0</v>
      </c>
      <c r="BD25" s="72">
        <f t="shared" si="44"/>
        <v>0</v>
      </c>
      <c r="BE25" s="41">
        <f t="shared" si="22"/>
        <v>0</v>
      </c>
      <c r="BF25" s="41">
        <f t="shared" si="23"/>
        <v>0</v>
      </c>
      <c r="BG25" s="41">
        <f t="shared" si="24"/>
        <v>0</v>
      </c>
      <c r="BH25" s="41">
        <f t="shared" si="25"/>
        <v>0</v>
      </c>
      <c r="BI25" s="72">
        <f t="shared" si="45"/>
        <v>0</v>
      </c>
    </row>
    <row r="26" spans="1:61" s="26" customFormat="1">
      <c r="A26" s="3" t="s">
        <v>370</v>
      </c>
      <c r="B26" s="41"/>
      <c r="C26" s="41"/>
      <c r="D26" s="41"/>
      <c r="E26" s="42"/>
      <c r="F26" s="43"/>
      <c r="G26" s="41"/>
      <c r="H26" s="41"/>
      <c r="I26" s="41"/>
      <c r="J26" s="42"/>
      <c r="K26" s="43"/>
      <c r="L26" s="41"/>
      <c r="M26" s="41"/>
      <c r="N26" s="41"/>
      <c r="O26" s="42"/>
      <c r="P26" s="43">
        <v>0</v>
      </c>
      <c r="Q26" s="41">
        <f t="shared" si="27"/>
        <v>0</v>
      </c>
      <c r="R26" s="41">
        <f t="shared" si="27"/>
        <v>0</v>
      </c>
      <c r="S26" s="41">
        <f t="shared" si="27"/>
        <v>0</v>
      </c>
      <c r="T26" s="42">
        <f t="shared" si="28"/>
        <v>0</v>
      </c>
      <c r="U26" s="43">
        <v>0</v>
      </c>
      <c r="V26" s="41">
        <f>U26</f>
        <v>0</v>
      </c>
      <c r="W26" s="41">
        <f>V26</f>
        <v>0</v>
      </c>
      <c r="X26" s="41">
        <v>750</v>
      </c>
      <c r="Y26" s="42">
        <f t="shared" si="29"/>
        <v>750</v>
      </c>
      <c r="Z26" s="43">
        <v>750</v>
      </c>
      <c r="AA26" s="41">
        <v>750</v>
      </c>
      <c r="AB26" s="41">
        <f t="shared" ref="AB26:AJ54" si="46">AA26</f>
        <v>750</v>
      </c>
      <c r="AC26" s="41">
        <f t="shared" ref="AC26:AC54" si="47">AB26</f>
        <v>750</v>
      </c>
      <c r="AD26" s="41">
        <f t="shared" si="46"/>
        <v>750</v>
      </c>
      <c r="AE26" s="72">
        <f t="shared" si="46"/>
        <v>750</v>
      </c>
      <c r="AF26" s="41">
        <f t="shared" si="46"/>
        <v>750</v>
      </c>
      <c r="AG26" s="41">
        <f t="shared" si="46"/>
        <v>750</v>
      </c>
      <c r="AH26" s="41">
        <f t="shared" si="46"/>
        <v>750</v>
      </c>
      <c r="AI26" s="41">
        <f t="shared" si="46"/>
        <v>750</v>
      </c>
      <c r="AJ26" s="72">
        <f t="shared" si="46"/>
        <v>750</v>
      </c>
      <c r="AK26" s="41">
        <f t="shared" si="32"/>
        <v>750</v>
      </c>
      <c r="AL26" s="41">
        <f t="shared" si="33"/>
        <v>750</v>
      </c>
      <c r="AM26" s="41">
        <f t="shared" si="34"/>
        <v>750</v>
      </c>
      <c r="AN26" s="41">
        <f t="shared" si="35"/>
        <v>750</v>
      </c>
      <c r="AO26" s="72">
        <f t="shared" si="35"/>
        <v>750</v>
      </c>
      <c r="AP26" s="41">
        <f t="shared" si="36"/>
        <v>750</v>
      </c>
      <c r="AQ26" s="41">
        <f t="shared" si="40"/>
        <v>750</v>
      </c>
      <c r="AR26" s="41">
        <f t="shared" si="38"/>
        <v>750</v>
      </c>
      <c r="AS26" s="446">
        <f t="shared" si="39"/>
        <v>750</v>
      </c>
      <c r="AT26" s="72">
        <f t="shared" si="42"/>
        <v>750</v>
      </c>
      <c r="AU26" s="41">
        <f t="shared" si="12"/>
        <v>750</v>
      </c>
      <c r="AV26" s="41">
        <f t="shared" si="13"/>
        <v>750</v>
      </c>
      <c r="AW26" s="41">
        <f t="shared" si="14"/>
        <v>750</v>
      </c>
      <c r="AX26" s="41">
        <f t="shared" si="15"/>
        <v>750</v>
      </c>
      <c r="AY26" s="72">
        <f t="shared" si="43"/>
        <v>750</v>
      </c>
      <c r="AZ26" s="41">
        <f t="shared" si="17"/>
        <v>750</v>
      </c>
      <c r="BA26" s="41">
        <f t="shared" si="18"/>
        <v>750</v>
      </c>
      <c r="BB26" s="41">
        <f t="shared" si="19"/>
        <v>750</v>
      </c>
      <c r="BC26" s="41">
        <f t="shared" si="20"/>
        <v>750</v>
      </c>
      <c r="BD26" s="72">
        <f t="shared" si="44"/>
        <v>750</v>
      </c>
      <c r="BE26" s="41">
        <f t="shared" si="22"/>
        <v>750</v>
      </c>
      <c r="BF26" s="41">
        <f t="shared" si="23"/>
        <v>750</v>
      </c>
      <c r="BG26" s="41">
        <f t="shared" si="24"/>
        <v>750</v>
      </c>
      <c r="BH26" s="41">
        <f t="shared" si="25"/>
        <v>750</v>
      </c>
      <c r="BI26" s="72">
        <f t="shared" si="45"/>
        <v>750</v>
      </c>
    </row>
    <row r="27" spans="1:61" s="26" customFormat="1">
      <c r="A27" s="3" t="s">
        <v>371</v>
      </c>
      <c r="B27" s="41"/>
      <c r="C27" s="41"/>
      <c r="D27" s="41"/>
      <c r="E27" s="42"/>
      <c r="F27" s="43"/>
      <c r="G27" s="41"/>
      <c r="H27" s="41"/>
      <c r="I27" s="41"/>
      <c r="J27" s="42"/>
      <c r="K27" s="43"/>
      <c r="L27" s="41"/>
      <c r="M27" s="41"/>
      <c r="N27" s="41"/>
      <c r="O27" s="42"/>
      <c r="P27" s="43">
        <v>0</v>
      </c>
      <c r="Q27" s="41">
        <f t="shared" si="27"/>
        <v>0</v>
      </c>
      <c r="R27" s="41">
        <f t="shared" si="27"/>
        <v>0</v>
      </c>
      <c r="S27" s="41">
        <f t="shared" si="27"/>
        <v>0</v>
      </c>
      <c r="T27" s="42">
        <f t="shared" si="28"/>
        <v>0</v>
      </c>
      <c r="U27" s="43">
        <v>0</v>
      </c>
      <c r="V27" s="41">
        <f>U27</f>
        <v>0</v>
      </c>
      <c r="W27" s="41">
        <v>650</v>
      </c>
      <c r="X27" s="41">
        <f>W27</f>
        <v>650</v>
      </c>
      <c r="Y27" s="42">
        <f t="shared" si="29"/>
        <v>650</v>
      </c>
      <c r="Z27" s="43">
        <v>650</v>
      </c>
      <c r="AA27" s="41">
        <v>650</v>
      </c>
      <c r="AB27" s="41">
        <f t="shared" si="46"/>
        <v>650</v>
      </c>
      <c r="AC27" s="41">
        <f t="shared" si="47"/>
        <v>650</v>
      </c>
      <c r="AD27" s="41">
        <f t="shared" si="46"/>
        <v>650</v>
      </c>
      <c r="AE27" s="72">
        <f t="shared" si="46"/>
        <v>650</v>
      </c>
      <c r="AF27" s="41">
        <f t="shared" si="46"/>
        <v>650</v>
      </c>
      <c r="AG27" s="41">
        <f t="shared" si="46"/>
        <v>650</v>
      </c>
      <c r="AH27" s="41">
        <f t="shared" si="46"/>
        <v>650</v>
      </c>
      <c r="AI27" s="41">
        <f t="shared" si="46"/>
        <v>650</v>
      </c>
      <c r="AJ27" s="72">
        <f t="shared" si="46"/>
        <v>650</v>
      </c>
      <c r="AK27" s="41">
        <f t="shared" si="32"/>
        <v>650</v>
      </c>
      <c r="AL27" s="41">
        <f t="shared" si="33"/>
        <v>650</v>
      </c>
      <c r="AM27" s="41">
        <f t="shared" si="34"/>
        <v>650</v>
      </c>
      <c r="AN27" s="41">
        <f t="shared" si="35"/>
        <v>650</v>
      </c>
      <c r="AO27" s="72">
        <f t="shared" si="35"/>
        <v>650</v>
      </c>
      <c r="AP27" s="41">
        <f t="shared" si="36"/>
        <v>650</v>
      </c>
      <c r="AQ27" s="41">
        <f t="shared" si="40"/>
        <v>650</v>
      </c>
      <c r="AR27" s="41">
        <f t="shared" si="38"/>
        <v>650</v>
      </c>
      <c r="AS27" s="446">
        <f t="shared" si="39"/>
        <v>650</v>
      </c>
      <c r="AT27" s="72">
        <f t="shared" si="42"/>
        <v>650</v>
      </c>
      <c r="AU27" s="41">
        <f t="shared" si="12"/>
        <v>650</v>
      </c>
      <c r="AV27" s="41">
        <f t="shared" si="13"/>
        <v>650</v>
      </c>
      <c r="AW27" s="41">
        <f t="shared" si="14"/>
        <v>650</v>
      </c>
      <c r="AX27" s="41">
        <f t="shared" si="15"/>
        <v>650</v>
      </c>
      <c r="AY27" s="72">
        <f t="shared" si="43"/>
        <v>650</v>
      </c>
      <c r="AZ27" s="41">
        <f t="shared" si="17"/>
        <v>650</v>
      </c>
      <c r="BA27" s="41">
        <f t="shared" si="18"/>
        <v>650</v>
      </c>
      <c r="BB27" s="41">
        <f t="shared" si="19"/>
        <v>650</v>
      </c>
      <c r="BC27" s="41">
        <f t="shared" si="20"/>
        <v>650</v>
      </c>
      <c r="BD27" s="72">
        <f t="shared" si="44"/>
        <v>650</v>
      </c>
      <c r="BE27" s="41">
        <f t="shared" si="22"/>
        <v>650</v>
      </c>
      <c r="BF27" s="41">
        <f t="shared" si="23"/>
        <v>650</v>
      </c>
      <c r="BG27" s="543">
        <v>0</v>
      </c>
      <c r="BH27" s="41">
        <f t="shared" si="25"/>
        <v>0</v>
      </c>
      <c r="BI27" s="72">
        <f t="shared" si="45"/>
        <v>0</v>
      </c>
    </row>
    <row r="28" spans="1:61" s="26" customFormat="1">
      <c r="A28" s="3" t="s">
        <v>372</v>
      </c>
      <c r="B28" s="41"/>
      <c r="C28" s="41"/>
      <c r="D28" s="41"/>
      <c r="E28" s="42"/>
      <c r="F28" s="43"/>
      <c r="G28" s="41"/>
      <c r="H28" s="41"/>
      <c r="I28" s="41"/>
      <c r="J28" s="42"/>
      <c r="K28" s="43"/>
      <c r="L28" s="41"/>
      <c r="M28" s="41"/>
      <c r="N28" s="41"/>
      <c r="O28" s="42"/>
      <c r="P28" s="43">
        <v>0</v>
      </c>
      <c r="Q28" s="41">
        <f t="shared" si="27"/>
        <v>0</v>
      </c>
      <c r="R28" s="41">
        <f t="shared" si="27"/>
        <v>0</v>
      </c>
      <c r="S28" s="41">
        <f t="shared" si="27"/>
        <v>0</v>
      </c>
      <c r="T28" s="42">
        <f t="shared" si="28"/>
        <v>0</v>
      </c>
      <c r="U28" s="43">
        <v>0</v>
      </c>
      <c r="V28" s="41">
        <v>400</v>
      </c>
      <c r="W28" s="41">
        <f>V28+600</f>
        <v>1000</v>
      </c>
      <c r="X28" s="41">
        <f>W28</f>
        <v>1000</v>
      </c>
      <c r="Y28" s="42">
        <f t="shared" si="29"/>
        <v>1000</v>
      </c>
      <c r="Z28" s="43">
        <v>1000</v>
      </c>
      <c r="AA28" s="41">
        <v>1000</v>
      </c>
      <c r="AB28" s="41">
        <f t="shared" si="46"/>
        <v>1000</v>
      </c>
      <c r="AC28" s="41">
        <f t="shared" si="47"/>
        <v>1000</v>
      </c>
      <c r="AD28" s="41">
        <f t="shared" si="46"/>
        <v>1000</v>
      </c>
      <c r="AE28" s="72">
        <f t="shared" si="46"/>
        <v>1000</v>
      </c>
      <c r="AF28" s="41">
        <f t="shared" si="46"/>
        <v>1000</v>
      </c>
      <c r="AG28" s="41">
        <f t="shared" si="46"/>
        <v>1000</v>
      </c>
      <c r="AH28" s="41">
        <f t="shared" si="46"/>
        <v>1000</v>
      </c>
      <c r="AI28" s="41">
        <f t="shared" si="46"/>
        <v>1000</v>
      </c>
      <c r="AJ28" s="72">
        <f t="shared" si="46"/>
        <v>1000</v>
      </c>
      <c r="AK28" s="41">
        <f t="shared" si="32"/>
        <v>1000</v>
      </c>
      <c r="AL28" s="41">
        <f t="shared" si="33"/>
        <v>1000</v>
      </c>
      <c r="AM28" s="41">
        <f t="shared" si="34"/>
        <v>1000</v>
      </c>
      <c r="AN28" s="41">
        <f t="shared" si="35"/>
        <v>1000</v>
      </c>
      <c r="AO28" s="72">
        <f t="shared" si="35"/>
        <v>1000</v>
      </c>
      <c r="AP28" s="41">
        <f t="shared" si="36"/>
        <v>1000</v>
      </c>
      <c r="AQ28" s="41">
        <f t="shared" si="40"/>
        <v>1000</v>
      </c>
      <c r="AR28" s="41">
        <f t="shared" si="38"/>
        <v>1000</v>
      </c>
      <c r="AS28" s="446">
        <f t="shared" si="39"/>
        <v>1000</v>
      </c>
      <c r="AT28" s="72">
        <f t="shared" si="42"/>
        <v>1000</v>
      </c>
      <c r="AU28" s="41">
        <f t="shared" si="12"/>
        <v>1000</v>
      </c>
      <c r="AV28" s="41">
        <f t="shared" si="13"/>
        <v>1000</v>
      </c>
      <c r="AW28" s="41">
        <f t="shared" si="14"/>
        <v>1000</v>
      </c>
      <c r="AX28" s="41">
        <f t="shared" si="15"/>
        <v>1000</v>
      </c>
      <c r="AY28" s="72">
        <f t="shared" si="43"/>
        <v>1000</v>
      </c>
      <c r="AZ28" s="41">
        <f t="shared" si="17"/>
        <v>1000</v>
      </c>
      <c r="BA28" s="41">
        <f t="shared" si="18"/>
        <v>1000</v>
      </c>
      <c r="BB28" s="41">
        <f t="shared" si="19"/>
        <v>1000</v>
      </c>
      <c r="BC28" s="41">
        <f t="shared" si="20"/>
        <v>1000</v>
      </c>
      <c r="BD28" s="72">
        <f t="shared" si="44"/>
        <v>1000</v>
      </c>
      <c r="BE28" s="41">
        <f t="shared" si="22"/>
        <v>1000</v>
      </c>
      <c r="BF28" s="41">
        <f t="shared" si="23"/>
        <v>1000</v>
      </c>
      <c r="BG28" s="41">
        <f t="shared" si="24"/>
        <v>1000</v>
      </c>
      <c r="BH28" s="41">
        <f t="shared" si="25"/>
        <v>1000</v>
      </c>
      <c r="BI28" s="72">
        <f t="shared" si="45"/>
        <v>1000</v>
      </c>
    </row>
    <row r="29" spans="1:61" s="26" customFormat="1">
      <c r="A29" s="3" t="s">
        <v>373</v>
      </c>
      <c r="B29" s="41"/>
      <c r="C29" s="41"/>
      <c r="D29" s="41"/>
      <c r="E29" s="42"/>
      <c r="F29" s="43"/>
      <c r="G29" s="41"/>
      <c r="H29" s="41"/>
      <c r="I29" s="41"/>
      <c r="J29" s="42"/>
      <c r="K29" s="43"/>
      <c r="L29" s="41"/>
      <c r="M29" s="41"/>
      <c r="N29" s="41"/>
      <c r="O29" s="42"/>
      <c r="P29" s="43">
        <v>0</v>
      </c>
      <c r="Q29" s="41">
        <f t="shared" si="27"/>
        <v>0</v>
      </c>
      <c r="R29" s="41">
        <f t="shared" si="27"/>
        <v>0</v>
      </c>
      <c r="S29" s="41">
        <f t="shared" si="27"/>
        <v>0</v>
      </c>
      <c r="T29" s="42">
        <f t="shared" si="28"/>
        <v>0</v>
      </c>
      <c r="U29" s="43">
        <v>0</v>
      </c>
      <c r="V29" s="41">
        <f t="shared" ref="V29:X43" si="48">U29</f>
        <v>0</v>
      </c>
      <c r="W29" s="41">
        <f t="shared" si="48"/>
        <v>0</v>
      </c>
      <c r="X29" s="41">
        <v>750</v>
      </c>
      <c r="Y29" s="42">
        <f t="shared" si="29"/>
        <v>750</v>
      </c>
      <c r="Z29" s="43">
        <v>750</v>
      </c>
      <c r="AA29" s="41">
        <v>750</v>
      </c>
      <c r="AB29" s="41">
        <f t="shared" si="46"/>
        <v>750</v>
      </c>
      <c r="AC29" s="41">
        <f t="shared" si="47"/>
        <v>750</v>
      </c>
      <c r="AD29" s="41">
        <f t="shared" si="46"/>
        <v>750</v>
      </c>
      <c r="AE29" s="72">
        <f t="shared" si="46"/>
        <v>750</v>
      </c>
      <c r="AF29" s="41">
        <f t="shared" si="46"/>
        <v>750</v>
      </c>
      <c r="AG29" s="41">
        <f t="shared" si="46"/>
        <v>750</v>
      </c>
      <c r="AH29" s="41">
        <f t="shared" si="46"/>
        <v>750</v>
      </c>
      <c r="AI29" s="41">
        <f t="shared" si="46"/>
        <v>750</v>
      </c>
      <c r="AJ29" s="72">
        <f t="shared" si="46"/>
        <v>750</v>
      </c>
      <c r="AK29" s="41">
        <f t="shared" si="32"/>
        <v>750</v>
      </c>
      <c r="AL29" s="41">
        <f t="shared" si="33"/>
        <v>750</v>
      </c>
      <c r="AM29" s="41">
        <f t="shared" si="34"/>
        <v>750</v>
      </c>
      <c r="AN29" s="41">
        <f t="shared" si="35"/>
        <v>750</v>
      </c>
      <c r="AO29" s="72">
        <f t="shared" si="35"/>
        <v>750</v>
      </c>
      <c r="AP29" s="41">
        <f t="shared" si="36"/>
        <v>750</v>
      </c>
      <c r="AQ29" s="41">
        <f t="shared" si="40"/>
        <v>750</v>
      </c>
      <c r="AR29" s="41">
        <f t="shared" si="38"/>
        <v>750</v>
      </c>
      <c r="AS29" s="446">
        <f t="shared" si="39"/>
        <v>750</v>
      </c>
      <c r="AT29" s="72">
        <f t="shared" si="42"/>
        <v>750</v>
      </c>
      <c r="AU29" s="41">
        <f t="shared" si="12"/>
        <v>750</v>
      </c>
      <c r="AV29" s="41">
        <f t="shared" si="13"/>
        <v>750</v>
      </c>
      <c r="AW29" s="41">
        <f t="shared" si="14"/>
        <v>750</v>
      </c>
      <c r="AX29" s="41">
        <f t="shared" si="15"/>
        <v>750</v>
      </c>
      <c r="AY29" s="72">
        <f t="shared" si="43"/>
        <v>750</v>
      </c>
      <c r="AZ29" s="41">
        <f t="shared" si="17"/>
        <v>750</v>
      </c>
      <c r="BA29" s="41">
        <f t="shared" si="18"/>
        <v>750</v>
      </c>
      <c r="BB29" s="41">
        <f t="shared" si="19"/>
        <v>750</v>
      </c>
      <c r="BC29" s="41">
        <f t="shared" si="20"/>
        <v>750</v>
      </c>
      <c r="BD29" s="72">
        <f t="shared" si="44"/>
        <v>750</v>
      </c>
      <c r="BE29" s="41">
        <f t="shared" si="22"/>
        <v>750</v>
      </c>
      <c r="BF29" s="41">
        <f t="shared" si="23"/>
        <v>750</v>
      </c>
      <c r="BG29" s="41">
        <f t="shared" si="24"/>
        <v>750</v>
      </c>
      <c r="BH29" s="41">
        <f t="shared" si="25"/>
        <v>750</v>
      </c>
      <c r="BI29" s="72">
        <f t="shared" si="45"/>
        <v>750</v>
      </c>
    </row>
    <row r="30" spans="1:61" s="26" customFormat="1">
      <c r="A30" s="3" t="s">
        <v>374</v>
      </c>
      <c r="B30" s="41"/>
      <c r="C30" s="41"/>
      <c r="D30" s="41"/>
      <c r="E30" s="42"/>
      <c r="F30" s="43"/>
      <c r="G30" s="41"/>
      <c r="H30" s="41"/>
      <c r="I30" s="41"/>
      <c r="J30" s="42"/>
      <c r="K30" s="43"/>
      <c r="L30" s="41"/>
      <c r="M30" s="41"/>
      <c r="N30" s="41"/>
      <c r="O30" s="42"/>
      <c r="P30" s="43">
        <v>0</v>
      </c>
      <c r="Q30" s="41">
        <v>350</v>
      </c>
      <c r="R30" s="41">
        <f t="shared" si="27"/>
        <v>350</v>
      </c>
      <c r="S30" s="41">
        <f t="shared" si="27"/>
        <v>350</v>
      </c>
      <c r="T30" s="42">
        <f t="shared" si="28"/>
        <v>350</v>
      </c>
      <c r="U30" s="43">
        <v>350</v>
      </c>
      <c r="V30" s="41">
        <f t="shared" si="48"/>
        <v>350</v>
      </c>
      <c r="W30" s="41">
        <f t="shared" si="48"/>
        <v>350</v>
      </c>
      <c r="X30" s="41">
        <f t="shared" si="48"/>
        <v>350</v>
      </c>
      <c r="Y30" s="42">
        <f t="shared" si="29"/>
        <v>350</v>
      </c>
      <c r="Z30" s="43">
        <v>350</v>
      </c>
      <c r="AA30" s="41">
        <v>350</v>
      </c>
      <c r="AB30" s="41">
        <f t="shared" si="46"/>
        <v>350</v>
      </c>
      <c r="AC30" s="41">
        <f t="shared" si="47"/>
        <v>350</v>
      </c>
      <c r="AD30" s="41">
        <f t="shared" si="46"/>
        <v>350</v>
      </c>
      <c r="AE30" s="72">
        <f t="shared" si="46"/>
        <v>350</v>
      </c>
      <c r="AF30" s="41">
        <f t="shared" si="46"/>
        <v>350</v>
      </c>
      <c r="AG30" s="41">
        <f t="shared" si="46"/>
        <v>350</v>
      </c>
      <c r="AH30" s="41">
        <f t="shared" si="46"/>
        <v>350</v>
      </c>
      <c r="AI30" s="41">
        <f t="shared" si="46"/>
        <v>350</v>
      </c>
      <c r="AJ30" s="72">
        <f t="shared" si="46"/>
        <v>350</v>
      </c>
      <c r="AK30" s="41">
        <f t="shared" si="32"/>
        <v>350</v>
      </c>
      <c r="AL30" s="41">
        <f t="shared" si="33"/>
        <v>350</v>
      </c>
      <c r="AM30" s="41">
        <f t="shared" si="34"/>
        <v>350</v>
      </c>
      <c r="AN30" s="41">
        <f t="shared" si="35"/>
        <v>350</v>
      </c>
      <c r="AO30" s="72">
        <f t="shared" si="35"/>
        <v>350</v>
      </c>
      <c r="AP30" s="41">
        <f t="shared" si="36"/>
        <v>350</v>
      </c>
      <c r="AQ30" s="41">
        <f t="shared" si="40"/>
        <v>350</v>
      </c>
      <c r="AR30" s="41">
        <f t="shared" si="38"/>
        <v>350</v>
      </c>
      <c r="AS30" s="446">
        <f t="shared" si="39"/>
        <v>350</v>
      </c>
      <c r="AT30" s="72">
        <f t="shared" si="42"/>
        <v>350</v>
      </c>
      <c r="AU30" s="41">
        <f t="shared" si="12"/>
        <v>350</v>
      </c>
      <c r="AV30" s="41">
        <f t="shared" si="13"/>
        <v>350</v>
      </c>
      <c r="AW30" s="41">
        <f t="shared" si="14"/>
        <v>350</v>
      </c>
      <c r="AX30" s="41">
        <f t="shared" si="15"/>
        <v>350</v>
      </c>
      <c r="AY30" s="72">
        <f t="shared" si="43"/>
        <v>350</v>
      </c>
      <c r="AZ30" s="41">
        <f t="shared" si="17"/>
        <v>350</v>
      </c>
      <c r="BA30" s="41">
        <f t="shared" si="18"/>
        <v>350</v>
      </c>
      <c r="BB30" s="41">
        <f t="shared" si="19"/>
        <v>350</v>
      </c>
      <c r="BC30" s="41">
        <f t="shared" si="20"/>
        <v>350</v>
      </c>
      <c r="BD30" s="72">
        <f t="shared" si="44"/>
        <v>350</v>
      </c>
      <c r="BE30" s="41">
        <f t="shared" si="22"/>
        <v>350</v>
      </c>
      <c r="BF30" s="41">
        <f t="shared" si="23"/>
        <v>350</v>
      </c>
      <c r="BG30" s="41">
        <f t="shared" si="24"/>
        <v>350</v>
      </c>
      <c r="BH30" s="41">
        <f t="shared" si="25"/>
        <v>350</v>
      </c>
      <c r="BI30" s="72">
        <f t="shared" si="45"/>
        <v>350</v>
      </c>
    </row>
    <row r="31" spans="1:61" s="26" customFormat="1">
      <c r="A31" s="3" t="s">
        <v>375</v>
      </c>
      <c r="B31" s="41"/>
      <c r="C31" s="41"/>
      <c r="D31" s="41"/>
      <c r="E31" s="42"/>
      <c r="F31" s="43"/>
      <c r="G31" s="41"/>
      <c r="H31" s="41"/>
      <c r="I31" s="41"/>
      <c r="J31" s="42"/>
      <c r="K31" s="43"/>
      <c r="L31" s="41"/>
      <c r="M31" s="41"/>
      <c r="N31" s="41"/>
      <c r="O31" s="42"/>
      <c r="P31" s="43">
        <v>250</v>
      </c>
      <c r="Q31" s="41">
        <f t="shared" si="27"/>
        <v>250</v>
      </c>
      <c r="R31" s="41">
        <f t="shared" si="27"/>
        <v>250</v>
      </c>
      <c r="S31" s="41">
        <f t="shared" si="27"/>
        <v>250</v>
      </c>
      <c r="T31" s="42">
        <f t="shared" si="28"/>
        <v>250</v>
      </c>
      <c r="U31" s="43">
        <v>250</v>
      </c>
      <c r="V31" s="41">
        <f t="shared" si="48"/>
        <v>250</v>
      </c>
      <c r="W31" s="41">
        <f t="shared" si="48"/>
        <v>250</v>
      </c>
      <c r="X31" s="41">
        <f t="shared" si="48"/>
        <v>250</v>
      </c>
      <c r="Y31" s="42">
        <f t="shared" si="29"/>
        <v>250</v>
      </c>
      <c r="Z31" s="43">
        <v>250</v>
      </c>
      <c r="AA31" s="41">
        <v>250</v>
      </c>
      <c r="AB31" s="41">
        <f t="shared" si="46"/>
        <v>250</v>
      </c>
      <c r="AC31" s="41">
        <f t="shared" si="47"/>
        <v>250</v>
      </c>
      <c r="AD31" s="41">
        <f t="shared" si="46"/>
        <v>250</v>
      </c>
      <c r="AE31" s="72">
        <f t="shared" si="46"/>
        <v>250</v>
      </c>
      <c r="AF31" s="41">
        <f t="shared" si="46"/>
        <v>250</v>
      </c>
      <c r="AG31" s="41">
        <f t="shared" si="46"/>
        <v>250</v>
      </c>
      <c r="AH31" s="41">
        <f t="shared" si="46"/>
        <v>250</v>
      </c>
      <c r="AI31" s="41">
        <f t="shared" si="46"/>
        <v>250</v>
      </c>
      <c r="AJ31" s="72">
        <f t="shared" si="46"/>
        <v>250</v>
      </c>
      <c r="AK31" s="41">
        <f t="shared" si="32"/>
        <v>250</v>
      </c>
      <c r="AL31" s="41">
        <f t="shared" si="33"/>
        <v>250</v>
      </c>
      <c r="AM31" s="41">
        <f t="shared" si="34"/>
        <v>250</v>
      </c>
      <c r="AN31" s="41">
        <f t="shared" si="35"/>
        <v>250</v>
      </c>
      <c r="AO31" s="72">
        <f t="shared" si="35"/>
        <v>250</v>
      </c>
      <c r="AP31" s="41">
        <f t="shared" si="36"/>
        <v>250</v>
      </c>
      <c r="AQ31" s="41">
        <f t="shared" si="40"/>
        <v>250</v>
      </c>
      <c r="AR31" s="41">
        <f t="shared" si="38"/>
        <v>250</v>
      </c>
      <c r="AS31" s="446">
        <f t="shared" si="39"/>
        <v>250</v>
      </c>
      <c r="AT31" s="72">
        <f t="shared" si="42"/>
        <v>250</v>
      </c>
      <c r="AU31" s="41">
        <f t="shared" si="12"/>
        <v>250</v>
      </c>
      <c r="AV31" s="41">
        <f t="shared" si="13"/>
        <v>250</v>
      </c>
      <c r="AW31" s="41">
        <f t="shared" si="14"/>
        <v>250</v>
      </c>
      <c r="AX31" s="41">
        <f t="shared" si="15"/>
        <v>250</v>
      </c>
      <c r="AY31" s="72">
        <f t="shared" si="43"/>
        <v>250</v>
      </c>
      <c r="AZ31" s="41">
        <f t="shared" si="17"/>
        <v>250</v>
      </c>
      <c r="BA31" s="41">
        <f t="shared" si="18"/>
        <v>250</v>
      </c>
      <c r="BB31" s="41">
        <f t="shared" si="19"/>
        <v>250</v>
      </c>
      <c r="BC31" s="41">
        <f t="shared" si="20"/>
        <v>250</v>
      </c>
      <c r="BD31" s="72">
        <f t="shared" si="44"/>
        <v>250</v>
      </c>
      <c r="BE31" s="41">
        <f t="shared" si="22"/>
        <v>250</v>
      </c>
      <c r="BF31" s="41">
        <f t="shared" si="23"/>
        <v>250</v>
      </c>
      <c r="BG31" s="41">
        <f t="shared" si="24"/>
        <v>250</v>
      </c>
      <c r="BH31" s="41">
        <f t="shared" si="25"/>
        <v>250</v>
      </c>
      <c r="BI31" s="72">
        <f t="shared" si="45"/>
        <v>250</v>
      </c>
    </row>
    <row r="32" spans="1:61" s="26" customFormat="1">
      <c r="A32" s="3" t="s">
        <v>376</v>
      </c>
      <c r="B32" s="41"/>
      <c r="C32" s="41"/>
      <c r="D32" s="41"/>
      <c r="E32" s="42"/>
      <c r="F32" s="43"/>
      <c r="G32" s="41"/>
      <c r="H32" s="41"/>
      <c r="I32" s="41"/>
      <c r="J32" s="42"/>
      <c r="K32" s="43"/>
      <c r="L32" s="41"/>
      <c r="M32" s="41"/>
      <c r="N32" s="41"/>
      <c r="O32" s="42"/>
      <c r="P32" s="43">
        <v>400</v>
      </c>
      <c r="Q32" s="41">
        <f t="shared" si="27"/>
        <v>400</v>
      </c>
      <c r="R32" s="41">
        <f t="shared" si="27"/>
        <v>400</v>
      </c>
      <c r="S32" s="41">
        <f t="shared" si="27"/>
        <v>400</v>
      </c>
      <c r="T32" s="42">
        <f t="shared" si="28"/>
        <v>400</v>
      </c>
      <c r="U32" s="43">
        <v>400</v>
      </c>
      <c r="V32" s="41">
        <f t="shared" si="48"/>
        <v>400</v>
      </c>
      <c r="W32" s="41">
        <f t="shared" si="48"/>
        <v>400</v>
      </c>
      <c r="X32" s="41">
        <f t="shared" si="48"/>
        <v>400</v>
      </c>
      <c r="Y32" s="42">
        <f t="shared" si="29"/>
        <v>400</v>
      </c>
      <c r="Z32" s="43">
        <v>400</v>
      </c>
      <c r="AA32" s="41">
        <v>400</v>
      </c>
      <c r="AB32" s="41">
        <f t="shared" si="46"/>
        <v>400</v>
      </c>
      <c r="AC32" s="41">
        <f t="shared" si="47"/>
        <v>400</v>
      </c>
      <c r="AD32" s="41">
        <f t="shared" si="46"/>
        <v>400</v>
      </c>
      <c r="AE32" s="72">
        <f t="shared" si="46"/>
        <v>400</v>
      </c>
      <c r="AF32" s="41">
        <f t="shared" si="46"/>
        <v>400</v>
      </c>
      <c r="AG32" s="41">
        <f t="shared" si="46"/>
        <v>400</v>
      </c>
      <c r="AH32" s="41">
        <f t="shared" si="46"/>
        <v>400</v>
      </c>
      <c r="AI32" s="41">
        <f t="shared" si="46"/>
        <v>400</v>
      </c>
      <c r="AJ32" s="72">
        <f t="shared" si="46"/>
        <v>400</v>
      </c>
      <c r="AK32" s="41">
        <f t="shared" si="32"/>
        <v>400</v>
      </c>
      <c r="AL32" s="41">
        <f t="shared" si="33"/>
        <v>400</v>
      </c>
      <c r="AM32" s="41">
        <f t="shared" si="34"/>
        <v>400</v>
      </c>
      <c r="AN32" s="41">
        <f t="shared" si="35"/>
        <v>400</v>
      </c>
      <c r="AO32" s="72">
        <f t="shared" si="35"/>
        <v>400</v>
      </c>
      <c r="AP32" s="41">
        <f t="shared" si="36"/>
        <v>400</v>
      </c>
      <c r="AQ32" s="41">
        <f t="shared" si="40"/>
        <v>400</v>
      </c>
      <c r="AR32" s="41">
        <f t="shared" si="38"/>
        <v>400</v>
      </c>
      <c r="AS32" s="446">
        <f t="shared" si="39"/>
        <v>400</v>
      </c>
      <c r="AT32" s="72">
        <f t="shared" si="42"/>
        <v>400</v>
      </c>
      <c r="AU32" s="41">
        <f t="shared" si="12"/>
        <v>400</v>
      </c>
      <c r="AV32" s="41">
        <f t="shared" si="13"/>
        <v>400</v>
      </c>
      <c r="AW32" s="41">
        <f t="shared" si="14"/>
        <v>400</v>
      </c>
      <c r="AX32" s="41">
        <f t="shared" si="15"/>
        <v>400</v>
      </c>
      <c r="AY32" s="72">
        <f t="shared" si="43"/>
        <v>400</v>
      </c>
      <c r="AZ32" s="41">
        <f t="shared" si="17"/>
        <v>400</v>
      </c>
      <c r="BA32" s="41">
        <f t="shared" si="18"/>
        <v>400</v>
      </c>
      <c r="BB32" s="41">
        <f t="shared" si="19"/>
        <v>400</v>
      </c>
      <c r="BC32" s="41">
        <f t="shared" si="20"/>
        <v>400</v>
      </c>
      <c r="BD32" s="72">
        <f t="shared" si="44"/>
        <v>400</v>
      </c>
      <c r="BE32" s="41">
        <f t="shared" si="22"/>
        <v>400</v>
      </c>
      <c r="BF32" s="41">
        <f t="shared" si="23"/>
        <v>400</v>
      </c>
      <c r="BG32" s="41">
        <f t="shared" si="24"/>
        <v>400</v>
      </c>
      <c r="BH32" s="41">
        <f t="shared" si="25"/>
        <v>400</v>
      </c>
      <c r="BI32" s="72">
        <f t="shared" si="45"/>
        <v>400</v>
      </c>
    </row>
    <row r="33" spans="1:61" s="26" customFormat="1">
      <c r="A33" s="3" t="s">
        <v>377</v>
      </c>
      <c r="B33" s="41"/>
      <c r="C33" s="41"/>
      <c r="D33" s="41"/>
      <c r="E33" s="42"/>
      <c r="F33" s="43"/>
      <c r="G33" s="41"/>
      <c r="H33" s="41"/>
      <c r="I33" s="41"/>
      <c r="J33" s="42"/>
      <c r="K33" s="43"/>
      <c r="L33" s="41"/>
      <c r="M33" s="41"/>
      <c r="N33" s="41"/>
      <c r="O33" s="42"/>
      <c r="P33" s="43">
        <v>0</v>
      </c>
      <c r="Q33" s="41">
        <f t="shared" si="27"/>
        <v>0</v>
      </c>
      <c r="R33" s="41">
        <f t="shared" si="27"/>
        <v>0</v>
      </c>
      <c r="S33" s="41">
        <f t="shared" si="27"/>
        <v>0</v>
      </c>
      <c r="T33" s="42">
        <f t="shared" si="28"/>
        <v>350</v>
      </c>
      <c r="U33" s="43">
        <v>350</v>
      </c>
      <c r="V33" s="41">
        <f t="shared" si="48"/>
        <v>350</v>
      </c>
      <c r="W33" s="41">
        <f t="shared" si="48"/>
        <v>350</v>
      </c>
      <c r="X33" s="41">
        <f t="shared" si="48"/>
        <v>350</v>
      </c>
      <c r="Y33" s="42">
        <f t="shared" si="29"/>
        <v>350</v>
      </c>
      <c r="Z33" s="43">
        <v>350</v>
      </c>
      <c r="AA33" s="41">
        <v>350</v>
      </c>
      <c r="AB33" s="41">
        <f t="shared" si="46"/>
        <v>350</v>
      </c>
      <c r="AC33" s="41">
        <f t="shared" si="47"/>
        <v>350</v>
      </c>
      <c r="AD33" s="41">
        <f t="shared" si="46"/>
        <v>350</v>
      </c>
      <c r="AE33" s="72">
        <f t="shared" si="46"/>
        <v>350</v>
      </c>
      <c r="AF33" s="41">
        <f t="shared" si="46"/>
        <v>350</v>
      </c>
      <c r="AG33" s="41">
        <f t="shared" si="46"/>
        <v>350</v>
      </c>
      <c r="AH33" s="41">
        <f t="shared" si="46"/>
        <v>350</v>
      </c>
      <c r="AI33" s="41">
        <f t="shared" si="46"/>
        <v>350</v>
      </c>
      <c r="AJ33" s="72">
        <f t="shared" si="46"/>
        <v>350</v>
      </c>
      <c r="AK33" s="41">
        <f t="shared" si="32"/>
        <v>350</v>
      </c>
      <c r="AL33" s="41">
        <f t="shared" si="33"/>
        <v>350</v>
      </c>
      <c r="AM33" s="41">
        <f t="shared" si="34"/>
        <v>350</v>
      </c>
      <c r="AN33" s="41">
        <f t="shared" si="35"/>
        <v>350</v>
      </c>
      <c r="AO33" s="72">
        <f t="shared" si="35"/>
        <v>350</v>
      </c>
      <c r="AP33" s="41">
        <f t="shared" si="36"/>
        <v>350</v>
      </c>
      <c r="AQ33" s="41">
        <f t="shared" si="40"/>
        <v>350</v>
      </c>
      <c r="AR33" s="41">
        <f t="shared" si="38"/>
        <v>350</v>
      </c>
      <c r="AS33" s="446">
        <f t="shared" si="39"/>
        <v>350</v>
      </c>
      <c r="AT33" s="72">
        <f t="shared" si="42"/>
        <v>350</v>
      </c>
      <c r="AU33" s="41">
        <f t="shared" si="12"/>
        <v>350</v>
      </c>
      <c r="AV33" s="41">
        <f t="shared" si="13"/>
        <v>350</v>
      </c>
      <c r="AW33" s="41">
        <f t="shared" si="14"/>
        <v>350</v>
      </c>
      <c r="AX33" s="41">
        <f t="shared" si="15"/>
        <v>350</v>
      </c>
      <c r="AY33" s="72">
        <f t="shared" si="43"/>
        <v>350</v>
      </c>
      <c r="AZ33" s="41">
        <f t="shared" si="17"/>
        <v>350</v>
      </c>
      <c r="BA33" s="41">
        <f t="shared" si="18"/>
        <v>350</v>
      </c>
      <c r="BB33" s="41">
        <f t="shared" si="19"/>
        <v>350</v>
      </c>
      <c r="BC33" s="41">
        <f t="shared" si="20"/>
        <v>350</v>
      </c>
      <c r="BD33" s="72">
        <f t="shared" si="44"/>
        <v>350</v>
      </c>
      <c r="BE33" s="41">
        <f t="shared" si="22"/>
        <v>350</v>
      </c>
      <c r="BF33" s="41">
        <f t="shared" si="23"/>
        <v>350</v>
      </c>
      <c r="BG33" s="41">
        <f t="shared" si="24"/>
        <v>350</v>
      </c>
      <c r="BH33" s="41">
        <f t="shared" si="25"/>
        <v>350</v>
      </c>
      <c r="BI33" s="72">
        <f t="shared" si="45"/>
        <v>350</v>
      </c>
    </row>
    <row r="34" spans="1:61" s="26" customFormat="1">
      <c r="A34" s="3" t="s">
        <v>378</v>
      </c>
      <c r="B34" s="41"/>
      <c r="C34" s="41"/>
      <c r="D34" s="41"/>
      <c r="E34" s="42"/>
      <c r="F34" s="43"/>
      <c r="G34" s="41"/>
      <c r="H34" s="41"/>
      <c r="I34" s="41"/>
      <c r="J34" s="42"/>
      <c r="K34" s="43"/>
      <c r="L34" s="41"/>
      <c r="M34" s="41"/>
      <c r="N34" s="41"/>
      <c r="O34" s="42"/>
      <c r="P34" s="43">
        <v>0</v>
      </c>
      <c r="Q34" s="41">
        <f t="shared" si="27"/>
        <v>0</v>
      </c>
      <c r="R34" s="41">
        <f t="shared" si="27"/>
        <v>0</v>
      </c>
      <c r="S34" s="41">
        <f t="shared" si="27"/>
        <v>0</v>
      </c>
      <c r="T34" s="42">
        <f t="shared" si="28"/>
        <v>0</v>
      </c>
      <c r="U34" s="43">
        <v>0</v>
      </c>
      <c r="V34" s="41">
        <v>400</v>
      </c>
      <c r="W34" s="41">
        <f t="shared" si="48"/>
        <v>400</v>
      </c>
      <c r="X34" s="41">
        <f t="shared" si="48"/>
        <v>400</v>
      </c>
      <c r="Y34" s="42">
        <f t="shared" si="29"/>
        <v>400</v>
      </c>
      <c r="Z34" s="43">
        <v>400</v>
      </c>
      <c r="AA34" s="41">
        <v>400</v>
      </c>
      <c r="AB34" s="41">
        <f t="shared" si="46"/>
        <v>400</v>
      </c>
      <c r="AC34" s="41">
        <f t="shared" si="47"/>
        <v>400</v>
      </c>
      <c r="AD34" s="41">
        <f t="shared" si="46"/>
        <v>400</v>
      </c>
      <c r="AE34" s="72">
        <f t="shared" si="46"/>
        <v>400</v>
      </c>
      <c r="AF34" s="41">
        <f t="shared" si="46"/>
        <v>400</v>
      </c>
      <c r="AG34" s="41">
        <f t="shared" si="46"/>
        <v>400</v>
      </c>
      <c r="AH34" s="41">
        <f t="shared" si="46"/>
        <v>400</v>
      </c>
      <c r="AI34" s="41">
        <f t="shared" si="46"/>
        <v>400</v>
      </c>
      <c r="AJ34" s="72">
        <f t="shared" si="46"/>
        <v>400</v>
      </c>
      <c r="AK34" s="41">
        <f t="shared" si="32"/>
        <v>400</v>
      </c>
      <c r="AL34" s="41">
        <f t="shared" si="33"/>
        <v>400</v>
      </c>
      <c r="AM34" s="41">
        <f t="shared" si="34"/>
        <v>400</v>
      </c>
      <c r="AN34" s="41">
        <f t="shared" si="35"/>
        <v>400</v>
      </c>
      <c r="AO34" s="72">
        <f t="shared" si="35"/>
        <v>400</v>
      </c>
      <c r="AP34" s="41">
        <f t="shared" si="36"/>
        <v>400</v>
      </c>
      <c r="AQ34" s="41">
        <f t="shared" si="40"/>
        <v>400</v>
      </c>
      <c r="AR34" s="41">
        <f t="shared" si="38"/>
        <v>400</v>
      </c>
      <c r="AS34" s="446">
        <f t="shared" si="39"/>
        <v>400</v>
      </c>
      <c r="AT34" s="72">
        <f t="shared" si="42"/>
        <v>400</v>
      </c>
      <c r="AU34" s="41">
        <f t="shared" si="12"/>
        <v>400</v>
      </c>
      <c r="AV34" s="41">
        <f t="shared" si="13"/>
        <v>400</v>
      </c>
      <c r="AW34" s="41">
        <f t="shared" si="14"/>
        <v>400</v>
      </c>
      <c r="AX34" s="41">
        <f t="shared" si="15"/>
        <v>400</v>
      </c>
      <c r="AY34" s="72">
        <f t="shared" si="43"/>
        <v>400</v>
      </c>
      <c r="AZ34" s="41">
        <f t="shared" si="17"/>
        <v>400</v>
      </c>
      <c r="BA34" s="41">
        <f t="shared" si="18"/>
        <v>400</v>
      </c>
      <c r="BB34" s="41">
        <f t="shared" si="19"/>
        <v>400</v>
      </c>
      <c r="BC34" s="41">
        <f t="shared" si="20"/>
        <v>400</v>
      </c>
      <c r="BD34" s="72">
        <f t="shared" si="44"/>
        <v>400</v>
      </c>
      <c r="BE34" s="41">
        <f t="shared" si="22"/>
        <v>400</v>
      </c>
      <c r="BF34" s="41">
        <f t="shared" si="23"/>
        <v>400</v>
      </c>
      <c r="BG34" s="41">
        <f t="shared" si="24"/>
        <v>400</v>
      </c>
      <c r="BH34" s="41">
        <f t="shared" si="25"/>
        <v>400</v>
      </c>
      <c r="BI34" s="72">
        <f t="shared" si="45"/>
        <v>400</v>
      </c>
    </row>
    <row r="35" spans="1:61" s="26" customFormat="1">
      <c r="A35" s="3" t="s">
        <v>379</v>
      </c>
      <c r="B35" s="41"/>
      <c r="C35" s="41"/>
      <c r="D35" s="41"/>
      <c r="E35" s="42"/>
      <c r="F35" s="43"/>
      <c r="G35" s="41"/>
      <c r="H35" s="41"/>
      <c r="I35" s="41"/>
      <c r="J35" s="42"/>
      <c r="K35" s="43"/>
      <c r="L35" s="41"/>
      <c r="M35" s="41"/>
      <c r="N35" s="41"/>
      <c r="O35" s="42"/>
      <c r="P35" s="43">
        <v>250</v>
      </c>
      <c r="Q35" s="41">
        <f t="shared" si="27"/>
        <v>250</v>
      </c>
      <c r="R35" s="41">
        <f t="shared" si="27"/>
        <v>250</v>
      </c>
      <c r="S35" s="41">
        <f t="shared" si="27"/>
        <v>250</v>
      </c>
      <c r="T35" s="42">
        <f t="shared" si="28"/>
        <v>250</v>
      </c>
      <c r="U35" s="43">
        <v>250</v>
      </c>
      <c r="V35" s="41">
        <f t="shared" ref="V35:W42" si="49">U35</f>
        <v>250</v>
      </c>
      <c r="W35" s="41">
        <f t="shared" si="48"/>
        <v>250</v>
      </c>
      <c r="X35" s="41">
        <f t="shared" si="48"/>
        <v>250</v>
      </c>
      <c r="Y35" s="42">
        <f t="shared" si="29"/>
        <v>250</v>
      </c>
      <c r="Z35" s="43">
        <v>250</v>
      </c>
      <c r="AA35" s="41">
        <v>250</v>
      </c>
      <c r="AB35" s="41">
        <f t="shared" si="46"/>
        <v>250</v>
      </c>
      <c r="AC35" s="41">
        <f t="shared" si="47"/>
        <v>250</v>
      </c>
      <c r="AD35" s="41">
        <f t="shared" si="46"/>
        <v>250</v>
      </c>
      <c r="AE35" s="72">
        <f t="shared" si="46"/>
        <v>250</v>
      </c>
      <c r="AF35" s="41">
        <f t="shared" si="46"/>
        <v>250</v>
      </c>
      <c r="AG35" s="41">
        <f t="shared" si="46"/>
        <v>250</v>
      </c>
      <c r="AH35" s="41">
        <f t="shared" si="46"/>
        <v>250</v>
      </c>
      <c r="AI35" s="41">
        <f t="shared" si="46"/>
        <v>250</v>
      </c>
      <c r="AJ35" s="72">
        <f t="shared" si="46"/>
        <v>250</v>
      </c>
      <c r="AK35" s="41">
        <f t="shared" si="32"/>
        <v>250</v>
      </c>
      <c r="AL35" s="41">
        <f t="shared" si="33"/>
        <v>250</v>
      </c>
      <c r="AM35" s="41">
        <f t="shared" si="34"/>
        <v>250</v>
      </c>
      <c r="AN35" s="41">
        <f t="shared" si="35"/>
        <v>250</v>
      </c>
      <c r="AO35" s="72">
        <f t="shared" si="35"/>
        <v>250</v>
      </c>
      <c r="AP35" s="41">
        <f t="shared" si="36"/>
        <v>250</v>
      </c>
      <c r="AQ35" s="41">
        <f t="shared" si="40"/>
        <v>250</v>
      </c>
      <c r="AR35" s="41">
        <f t="shared" si="38"/>
        <v>250</v>
      </c>
      <c r="AS35" s="446">
        <f t="shared" si="39"/>
        <v>250</v>
      </c>
      <c r="AT35" s="72">
        <f t="shared" si="42"/>
        <v>250</v>
      </c>
      <c r="AU35" s="41">
        <f t="shared" si="12"/>
        <v>250</v>
      </c>
      <c r="AV35" s="41">
        <f t="shared" si="13"/>
        <v>250</v>
      </c>
      <c r="AW35" s="41">
        <f t="shared" si="14"/>
        <v>250</v>
      </c>
      <c r="AX35" s="41">
        <f t="shared" si="15"/>
        <v>250</v>
      </c>
      <c r="AY35" s="72">
        <f t="shared" si="43"/>
        <v>250</v>
      </c>
      <c r="AZ35" s="41">
        <f t="shared" si="17"/>
        <v>250</v>
      </c>
      <c r="BA35" s="41">
        <f t="shared" si="18"/>
        <v>250</v>
      </c>
      <c r="BB35" s="41">
        <f t="shared" si="19"/>
        <v>250</v>
      </c>
      <c r="BC35" s="41">
        <f t="shared" si="20"/>
        <v>250</v>
      </c>
      <c r="BD35" s="72">
        <f t="shared" si="44"/>
        <v>250</v>
      </c>
      <c r="BE35" s="41">
        <f t="shared" si="22"/>
        <v>250</v>
      </c>
      <c r="BF35" s="41">
        <f t="shared" si="23"/>
        <v>250</v>
      </c>
      <c r="BG35" s="41">
        <f t="shared" si="24"/>
        <v>250</v>
      </c>
      <c r="BH35" s="41">
        <f t="shared" si="25"/>
        <v>250</v>
      </c>
      <c r="BI35" s="72">
        <f t="shared" si="45"/>
        <v>250</v>
      </c>
    </row>
    <row r="36" spans="1:61" s="26" customFormat="1">
      <c r="A36" s="3" t="s">
        <v>380</v>
      </c>
      <c r="B36" s="41"/>
      <c r="C36" s="41"/>
      <c r="D36" s="41"/>
      <c r="E36" s="42"/>
      <c r="F36" s="43"/>
      <c r="G36" s="41"/>
      <c r="H36" s="41"/>
      <c r="I36" s="41"/>
      <c r="J36" s="42"/>
      <c r="K36" s="43"/>
      <c r="L36" s="41"/>
      <c r="M36" s="41"/>
      <c r="N36" s="41"/>
      <c r="O36" s="42"/>
      <c r="P36" s="43">
        <v>0</v>
      </c>
      <c r="Q36" s="41">
        <v>350</v>
      </c>
      <c r="R36" s="41">
        <f t="shared" si="27"/>
        <v>350</v>
      </c>
      <c r="S36" s="41">
        <f t="shared" si="27"/>
        <v>350</v>
      </c>
      <c r="T36" s="42">
        <f t="shared" si="28"/>
        <v>350</v>
      </c>
      <c r="U36" s="43">
        <v>350</v>
      </c>
      <c r="V36" s="41">
        <f t="shared" si="49"/>
        <v>350</v>
      </c>
      <c r="W36" s="41">
        <f t="shared" si="48"/>
        <v>350</v>
      </c>
      <c r="X36" s="41">
        <f t="shared" si="48"/>
        <v>350</v>
      </c>
      <c r="Y36" s="42">
        <f t="shared" si="29"/>
        <v>350</v>
      </c>
      <c r="Z36" s="43">
        <v>350</v>
      </c>
      <c r="AA36" s="41">
        <v>350</v>
      </c>
      <c r="AB36" s="41">
        <f t="shared" si="46"/>
        <v>350</v>
      </c>
      <c r="AC36" s="41">
        <f t="shared" si="47"/>
        <v>350</v>
      </c>
      <c r="AD36" s="41">
        <f t="shared" si="46"/>
        <v>350</v>
      </c>
      <c r="AE36" s="72">
        <f t="shared" si="46"/>
        <v>350</v>
      </c>
      <c r="AF36" s="41">
        <f t="shared" si="46"/>
        <v>350</v>
      </c>
      <c r="AG36" s="41">
        <f t="shared" si="46"/>
        <v>350</v>
      </c>
      <c r="AH36" s="41">
        <f t="shared" si="46"/>
        <v>350</v>
      </c>
      <c r="AI36" s="41">
        <f t="shared" si="46"/>
        <v>350</v>
      </c>
      <c r="AJ36" s="72">
        <f t="shared" si="46"/>
        <v>350</v>
      </c>
      <c r="AK36" s="41">
        <f t="shared" si="32"/>
        <v>350</v>
      </c>
      <c r="AL36" s="41">
        <f t="shared" si="33"/>
        <v>350</v>
      </c>
      <c r="AM36" s="41">
        <f t="shared" si="34"/>
        <v>350</v>
      </c>
      <c r="AN36" s="41">
        <f t="shared" si="35"/>
        <v>350</v>
      </c>
      <c r="AO36" s="72">
        <f t="shared" si="35"/>
        <v>350</v>
      </c>
      <c r="AP36" s="41">
        <f t="shared" si="36"/>
        <v>350</v>
      </c>
      <c r="AQ36" s="41">
        <f t="shared" si="40"/>
        <v>350</v>
      </c>
      <c r="AR36" s="41">
        <f t="shared" si="38"/>
        <v>350</v>
      </c>
      <c r="AS36" s="446">
        <f t="shared" si="39"/>
        <v>350</v>
      </c>
      <c r="AT36" s="72">
        <f t="shared" si="42"/>
        <v>350</v>
      </c>
      <c r="AU36" s="41">
        <f t="shared" si="12"/>
        <v>350</v>
      </c>
      <c r="AV36" s="41">
        <f t="shared" si="13"/>
        <v>350</v>
      </c>
      <c r="AW36" s="41">
        <f t="shared" si="14"/>
        <v>350</v>
      </c>
      <c r="AX36" s="41">
        <f t="shared" si="15"/>
        <v>350</v>
      </c>
      <c r="AY36" s="72">
        <f t="shared" si="43"/>
        <v>350</v>
      </c>
      <c r="AZ36" s="41">
        <f t="shared" si="17"/>
        <v>350</v>
      </c>
      <c r="BA36" s="41">
        <f t="shared" si="18"/>
        <v>350</v>
      </c>
      <c r="BB36" s="41">
        <f t="shared" si="19"/>
        <v>350</v>
      </c>
      <c r="BC36" s="41">
        <f t="shared" si="20"/>
        <v>350</v>
      </c>
      <c r="BD36" s="72">
        <f t="shared" si="44"/>
        <v>350</v>
      </c>
      <c r="BE36" s="41">
        <f t="shared" si="22"/>
        <v>350</v>
      </c>
      <c r="BF36" s="41">
        <f t="shared" si="23"/>
        <v>350</v>
      </c>
      <c r="BG36" s="41">
        <f t="shared" si="24"/>
        <v>350</v>
      </c>
      <c r="BH36" s="41">
        <f t="shared" si="25"/>
        <v>350</v>
      </c>
      <c r="BI36" s="72">
        <f t="shared" si="45"/>
        <v>350</v>
      </c>
    </row>
    <row r="37" spans="1:61" s="26" customFormat="1">
      <c r="A37" s="3" t="s">
        <v>381</v>
      </c>
      <c r="B37" s="41"/>
      <c r="C37" s="41"/>
      <c r="D37" s="41"/>
      <c r="E37" s="42"/>
      <c r="F37" s="43"/>
      <c r="G37" s="41"/>
      <c r="H37" s="41"/>
      <c r="I37" s="41"/>
      <c r="J37" s="42"/>
      <c r="K37" s="43"/>
      <c r="L37" s="41"/>
      <c r="M37" s="41"/>
      <c r="N37" s="41"/>
      <c r="O37" s="42"/>
      <c r="P37" s="43">
        <v>0</v>
      </c>
      <c r="Q37" s="41">
        <f t="shared" si="27"/>
        <v>0</v>
      </c>
      <c r="R37" s="41">
        <f t="shared" si="27"/>
        <v>0</v>
      </c>
      <c r="S37" s="41">
        <f t="shared" si="27"/>
        <v>0</v>
      </c>
      <c r="T37" s="42">
        <f t="shared" si="28"/>
        <v>0</v>
      </c>
      <c r="U37" s="43">
        <v>0</v>
      </c>
      <c r="V37" s="41">
        <f t="shared" si="49"/>
        <v>0</v>
      </c>
      <c r="W37" s="41">
        <v>850</v>
      </c>
      <c r="X37" s="41">
        <f t="shared" si="48"/>
        <v>850</v>
      </c>
      <c r="Y37" s="42">
        <f t="shared" si="29"/>
        <v>850</v>
      </c>
      <c r="Z37" s="43">
        <v>850</v>
      </c>
      <c r="AA37" s="41">
        <v>850</v>
      </c>
      <c r="AB37" s="41">
        <f t="shared" si="46"/>
        <v>850</v>
      </c>
      <c r="AC37" s="41">
        <f t="shared" si="47"/>
        <v>850</v>
      </c>
      <c r="AD37" s="41">
        <f t="shared" si="46"/>
        <v>850</v>
      </c>
      <c r="AE37" s="72">
        <f t="shared" si="46"/>
        <v>850</v>
      </c>
      <c r="AF37" s="41">
        <f t="shared" si="46"/>
        <v>850</v>
      </c>
      <c r="AG37" s="41">
        <f t="shared" si="46"/>
        <v>850</v>
      </c>
      <c r="AH37" s="41">
        <f t="shared" si="46"/>
        <v>850</v>
      </c>
      <c r="AI37" s="41">
        <f t="shared" si="46"/>
        <v>850</v>
      </c>
      <c r="AJ37" s="72">
        <f t="shared" si="46"/>
        <v>850</v>
      </c>
      <c r="AK37" s="41">
        <f t="shared" si="32"/>
        <v>850</v>
      </c>
      <c r="AL37" s="41">
        <f t="shared" si="33"/>
        <v>850</v>
      </c>
      <c r="AM37" s="41">
        <f t="shared" si="34"/>
        <v>850</v>
      </c>
      <c r="AN37" s="41">
        <f t="shared" si="35"/>
        <v>850</v>
      </c>
      <c r="AO37" s="72">
        <f t="shared" si="35"/>
        <v>850</v>
      </c>
      <c r="AP37" s="41">
        <f t="shared" si="36"/>
        <v>850</v>
      </c>
      <c r="AQ37" s="41">
        <f t="shared" si="40"/>
        <v>850</v>
      </c>
      <c r="AR37" s="41">
        <f t="shared" si="38"/>
        <v>850</v>
      </c>
      <c r="AS37" s="446">
        <f t="shared" si="39"/>
        <v>850</v>
      </c>
      <c r="AT37" s="72">
        <f t="shared" si="42"/>
        <v>850</v>
      </c>
      <c r="AU37" s="41">
        <f t="shared" si="12"/>
        <v>850</v>
      </c>
      <c r="AV37" s="41">
        <f t="shared" si="13"/>
        <v>850</v>
      </c>
      <c r="AW37" s="41">
        <f t="shared" si="14"/>
        <v>850</v>
      </c>
      <c r="AX37" s="41">
        <f t="shared" si="15"/>
        <v>850</v>
      </c>
      <c r="AY37" s="72">
        <f t="shared" si="43"/>
        <v>850</v>
      </c>
      <c r="AZ37" s="41">
        <f t="shared" si="17"/>
        <v>850</v>
      </c>
      <c r="BA37" s="41">
        <f t="shared" si="18"/>
        <v>850</v>
      </c>
      <c r="BB37" s="41">
        <f t="shared" si="19"/>
        <v>850</v>
      </c>
      <c r="BC37" s="41">
        <f t="shared" si="20"/>
        <v>850</v>
      </c>
      <c r="BD37" s="72">
        <f t="shared" si="44"/>
        <v>850</v>
      </c>
      <c r="BE37" s="41">
        <f t="shared" si="22"/>
        <v>850</v>
      </c>
      <c r="BF37" s="41">
        <f t="shared" si="23"/>
        <v>850</v>
      </c>
      <c r="BG37" s="41">
        <f t="shared" si="24"/>
        <v>850</v>
      </c>
      <c r="BH37" s="41">
        <f t="shared" si="25"/>
        <v>850</v>
      </c>
      <c r="BI37" s="72">
        <f t="shared" si="45"/>
        <v>850</v>
      </c>
    </row>
    <row r="38" spans="1:61" s="26" customFormat="1">
      <c r="A38" s="3" t="s">
        <v>382</v>
      </c>
      <c r="B38" s="41"/>
      <c r="C38" s="41"/>
      <c r="D38" s="41"/>
      <c r="E38" s="42"/>
      <c r="F38" s="43"/>
      <c r="G38" s="41"/>
      <c r="H38" s="41"/>
      <c r="I38" s="41"/>
      <c r="J38" s="42"/>
      <c r="K38" s="43"/>
      <c r="L38" s="41"/>
      <c r="M38" s="41"/>
      <c r="N38" s="41"/>
      <c r="O38" s="42"/>
      <c r="P38" s="43">
        <v>0</v>
      </c>
      <c r="Q38" s="41">
        <v>350</v>
      </c>
      <c r="R38" s="41">
        <f t="shared" si="27"/>
        <v>350</v>
      </c>
      <c r="S38" s="41">
        <f t="shared" si="27"/>
        <v>350</v>
      </c>
      <c r="T38" s="42">
        <f t="shared" si="28"/>
        <v>350</v>
      </c>
      <c r="U38" s="43">
        <v>350</v>
      </c>
      <c r="V38" s="41">
        <f t="shared" si="49"/>
        <v>350</v>
      </c>
      <c r="W38" s="41">
        <f t="shared" si="49"/>
        <v>350</v>
      </c>
      <c r="X38" s="41">
        <f t="shared" si="48"/>
        <v>350</v>
      </c>
      <c r="Y38" s="42">
        <f t="shared" si="29"/>
        <v>350</v>
      </c>
      <c r="Z38" s="43">
        <v>350</v>
      </c>
      <c r="AA38" s="41">
        <v>350</v>
      </c>
      <c r="AB38" s="41">
        <f t="shared" si="46"/>
        <v>350</v>
      </c>
      <c r="AC38" s="41">
        <f t="shared" si="47"/>
        <v>350</v>
      </c>
      <c r="AD38" s="41">
        <f t="shared" si="46"/>
        <v>350</v>
      </c>
      <c r="AE38" s="72">
        <f t="shared" si="46"/>
        <v>350</v>
      </c>
      <c r="AF38" s="41">
        <f t="shared" si="46"/>
        <v>350</v>
      </c>
      <c r="AG38" s="41">
        <f t="shared" si="46"/>
        <v>350</v>
      </c>
      <c r="AH38" s="41">
        <f t="shared" si="46"/>
        <v>350</v>
      </c>
      <c r="AI38" s="41">
        <f t="shared" si="46"/>
        <v>350</v>
      </c>
      <c r="AJ38" s="72">
        <f t="shared" si="46"/>
        <v>350</v>
      </c>
      <c r="AK38" s="41">
        <f t="shared" si="32"/>
        <v>350</v>
      </c>
      <c r="AL38" s="41">
        <f t="shared" si="33"/>
        <v>350</v>
      </c>
      <c r="AM38" s="41">
        <f t="shared" si="34"/>
        <v>350</v>
      </c>
      <c r="AN38" s="41">
        <f t="shared" si="35"/>
        <v>350</v>
      </c>
      <c r="AO38" s="72">
        <f t="shared" si="35"/>
        <v>350</v>
      </c>
      <c r="AP38" s="41">
        <f t="shared" si="36"/>
        <v>350</v>
      </c>
      <c r="AQ38" s="41">
        <f t="shared" si="40"/>
        <v>350</v>
      </c>
      <c r="AR38" s="41">
        <f t="shared" si="38"/>
        <v>350</v>
      </c>
      <c r="AS38" s="446">
        <f t="shared" si="39"/>
        <v>350</v>
      </c>
      <c r="AT38" s="72">
        <f t="shared" si="42"/>
        <v>350</v>
      </c>
      <c r="AU38" s="41">
        <f t="shared" si="12"/>
        <v>350</v>
      </c>
      <c r="AV38" s="41">
        <f t="shared" si="13"/>
        <v>350</v>
      </c>
      <c r="AW38" s="41">
        <f t="shared" si="14"/>
        <v>350</v>
      </c>
      <c r="AX38" s="41">
        <f t="shared" si="15"/>
        <v>350</v>
      </c>
      <c r="AY38" s="72">
        <f t="shared" si="43"/>
        <v>350</v>
      </c>
      <c r="AZ38" s="41">
        <f t="shared" si="17"/>
        <v>350</v>
      </c>
      <c r="BA38" s="41">
        <f t="shared" si="18"/>
        <v>350</v>
      </c>
      <c r="BB38" s="41">
        <f t="shared" si="19"/>
        <v>350</v>
      </c>
      <c r="BC38" s="41">
        <f t="shared" si="20"/>
        <v>350</v>
      </c>
      <c r="BD38" s="72">
        <f t="shared" si="44"/>
        <v>350</v>
      </c>
      <c r="BE38" s="41">
        <f t="shared" si="22"/>
        <v>350</v>
      </c>
      <c r="BF38" s="41">
        <f t="shared" si="23"/>
        <v>350</v>
      </c>
      <c r="BG38" s="41">
        <f t="shared" si="24"/>
        <v>350</v>
      </c>
      <c r="BH38" s="41">
        <f t="shared" si="25"/>
        <v>350</v>
      </c>
      <c r="BI38" s="72">
        <f t="shared" si="45"/>
        <v>350</v>
      </c>
    </row>
    <row r="39" spans="1:61" s="26" customFormat="1">
      <c r="A39" s="3" t="s">
        <v>383</v>
      </c>
      <c r="B39" s="41"/>
      <c r="C39" s="41"/>
      <c r="D39" s="41"/>
      <c r="E39" s="42"/>
      <c r="F39" s="43"/>
      <c r="G39" s="41"/>
      <c r="H39" s="41"/>
      <c r="I39" s="41"/>
      <c r="J39" s="42"/>
      <c r="K39" s="43"/>
      <c r="L39" s="41"/>
      <c r="M39" s="41"/>
      <c r="N39" s="41"/>
      <c r="O39" s="42"/>
      <c r="P39" s="43">
        <v>300</v>
      </c>
      <c r="Q39" s="41">
        <f t="shared" si="27"/>
        <v>300</v>
      </c>
      <c r="R39" s="41">
        <f t="shared" si="27"/>
        <v>300</v>
      </c>
      <c r="S39" s="41">
        <f t="shared" si="27"/>
        <v>300</v>
      </c>
      <c r="T39" s="42">
        <f t="shared" si="28"/>
        <v>300</v>
      </c>
      <c r="U39" s="43">
        <v>300</v>
      </c>
      <c r="V39" s="41">
        <f t="shared" si="49"/>
        <v>300</v>
      </c>
      <c r="W39" s="41">
        <f t="shared" si="49"/>
        <v>300</v>
      </c>
      <c r="X39" s="41">
        <f t="shared" si="48"/>
        <v>300</v>
      </c>
      <c r="Y39" s="42">
        <f t="shared" si="29"/>
        <v>300</v>
      </c>
      <c r="Z39" s="43">
        <v>300</v>
      </c>
      <c r="AA39" s="41">
        <v>300</v>
      </c>
      <c r="AB39" s="41">
        <f t="shared" si="46"/>
        <v>300</v>
      </c>
      <c r="AC39" s="41">
        <f t="shared" si="47"/>
        <v>300</v>
      </c>
      <c r="AD39" s="41">
        <f t="shared" si="46"/>
        <v>300</v>
      </c>
      <c r="AE39" s="72">
        <f t="shared" si="46"/>
        <v>300</v>
      </c>
      <c r="AF39" s="41">
        <f t="shared" si="46"/>
        <v>300</v>
      </c>
      <c r="AG39" s="41">
        <f t="shared" si="46"/>
        <v>300</v>
      </c>
      <c r="AH39" s="41">
        <f t="shared" si="46"/>
        <v>300</v>
      </c>
      <c r="AI39" s="41">
        <f t="shared" si="46"/>
        <v>300</v>
      </c>
      <c r="AJ39" s="72">
        <f t="shared" si="46"/>
        <v>300</v>
      </c>
      <c r="AK39" s="41">
        <f t="shared" si="32"/>
        <v>300</v>
      </c>
      <c r="AL39" s="41">
        <f t="shared" si="33"/>
        <v>300</v>
      </c>
      <c r="AM39" s="41">
        <f t="shared" si="34"/>
        <v>300</v>
      </c>
      <c r="AN39" s="41">
        <f t="shared" si="35"/>
        <v>300</v>
      </c>
      <c r="AO39" s="72">
        <f t="shared" si="35"/>
        <v>300</v>
      </c>
      <c r="AP39" s="41">
        <f t="shared" si="36"/>
        <v>300</v>
      </c>
      <c r="AQ39" s="41">
        <f t="shared" si="40"/>
        <v>300</v>
      </c>
      <c r="AR39" s="41">
        <f t="shared" si="38"/>
        <v>300</v>
      </c>
      <c r="AS39" s="446">
        <f t="shared" si="39"/>
        <v>300</v>
      </c>
      <c r="AT39" s="72">
        <f t="shared" si="42"/>
        <v>300</v>
      </c>
      <c r="AU39" s="41">
        <f t="shared" si="12"/>
        <v>300</v>
      </c>
      <c r="AV39" s="41">
        <f t="shared" si="13"/>
        <v>300</v>
      </c>
      <c r="AW39" s="41">
        <f t="shared" si="14"/>
        <v>300</v>
      </c>
      <c r="AX39" s="41">
        <f t="shared" si="15"/>
        <v>300</v>
      </c>
      <c r="AY39" s="72">
        <f t="shared" si="43"/>
        <v>300</v>
      </c>
      <c r="AZ39" s="41">
        <f t="shared" si="17"/>
        <v>300</v>
      </c>
      <c r="BA39" s="41">
        <f t="shared" si="18"/>
        <v>300</v>
      </c>
      <c r="BB39" s="41">
        <f t="shared" si="19"/>
        <v>300</v>
      </c>
      <c r="BC39" s="41">
        <f t="shared" si="20"/>
        <v>300</v>
      </c>
      <c r="BD39" s="72">
        <f t="shared" si="44"/>
        <v>300</v>
      </c>
      <c r="BE39" s="41">
        <f t="shared" si="22"/>
        <v>300</v>
      </c>
      <c r="BF39" s="41">
        <f t="shared" si="23"/>
        <v>300</v>
      </c>
      <c r="BG39" s="41">
        <f t="shared" si="24"/>
        <v>300</v>
      </c>
      <c r="BH39" s="41">
        <f t="shared" si="25"/>
        <v>300</v>
      </c>
      <c r="BI39" s="72">
        <f t="shared" si="45"/>
        <v>300</v>
      </c>
    </row>
    <row r="40" spans="1:61" s="26" customFormat="1">
      <c r="A40" s="3" t="s">
        <v>384</v>
      </c>
      <c r="B40" s="41"/>
      <c r="C40" s="41"/>
      <c r="D40" s="41"/>
      <c r="E40" s="42"/>
      <c r="F40" s="43"/>
      <c r="G40" s="41"/>
      <c r="H40" s="41"/>
      <c r="I40" s="41"/>
      <c r="J40" s="42"/>
      <c r="K40" s="43"/>
      <c r="L40" s="41"/>
      <c r="M40" s="41"/>
      <c r="N40" s="41"/>
      <c r="O40" s="42"/>
      <c r="P40" s="43">
        <v>0</v>
      </c>
      <c r="Q40" s="41">
        <f t="shared" si="27"/>
        <v>0</v>
      </c>
      <c r="R40" s="41">
        <f t="shared" si="27"/>
        <v>0</v>
      </c>
      <c r="S40" s="41">
        <f t="shared" si="27"/>
        <v>0</v>
      </c>
      <c r="T40" s="42">
        <f t="shared" si="28"/>
        <v>0</v>
      </c>
      <c r="U40" s="43">
        <v>0</v>
      </c>
      <c r="V40" s="41">
        <f t="shared" si="49"/>
        <v>0</v>
      </c>
      <c r="W40" s="41">
        <f t="shared" si="49"/>
        <v>0</v>
      </c>
      <c r="X40" s="41">
        <v>1250</v>
      </c>
      <c r="Y40" s="42">
        <f t="shared" si="29"/>
        <v>1250</v>
      </c>
      <c r="Z40" s="43">
        <v>1250</v>
      </c>
      <c r="AA40" s="41">
        <v>1250</v>
      </c>
      <c r="AB40" s="41">
        <f t="shared" si="46"/>
        <v>1250</v>
      </c>
      <c r="AC40" s="41">
        <f t="shared" si="47"/>
        <v>1250</v>
      </c>
      <c r="AD40" s="41">
        <f t="shared" si="46"/>
        <v>1250</v>
      </c>
      <c r="AE40" s="72">
        <f t="shared" si="46"/>
        <v>1250</v>
      </c>
      <c r="AF40" s="41">
        <f t="shared" si="46"/>
        <v>1250</v>
      </c>
      <c r="AG40" s="41">
        <f t="shared" si="46"/>
        <v>1250</v>
      </c>
      <c r="AH40" s="41">
        <f t="shared" si="46"/>
        <v>1250</v>
      </c>
      <c r="AI40" s="41">
        <f t="shared" si="46"/>
        <v>1250</v>
      </c>
      <c r="AJ40" s="72">
        <f t="shared" si="46"/>
        <v>1250</v>
      </c>
      <c r="AK40" s="41">
        <f t="shared" si="32"/>
        <v>1250</v>
      </c>
      <c r="AL40" s="41">
        <f t="shared" si="33"/>
        <v>1250</v>
      </c>
      <c r="AM40" s="41">
        <f t="shared" si="34"/>
        <v>1250</v>
      </c>
      <c r="AN40" s="41">
        <f t="shared" si="35"/>
        <v>1250</v>
      </c>
      <c r="AO40" s="72">
        <f t="shared" si="35"/>
        <v>1250</v>
      </c>
      <c r="AP40" s="41">
        <f t="shared" si="36"/>
        <v>1250</v>
      </c>
      <c r="AQ40" s="41">
        <f t="shared" si="40"/>
        <v>1250</v>
      </c>
      <c r="AR40" s="41">
        <f t="shared" si="38"/>
        <v>1250</v>
      </c>
      <c r="AS40" s="446">
        <f t="shared" si="39"/>
        <v>1250</v>
      </c>
      <c r="AT40" s="72">
        <f t="shared" si="42"/>
        <v>1250</v>
      </c>
      <c r="AU40" s="41">
        <f t="shared" si="12"/>
        <v>1250</v>
      </c>
      <c r="AV40" s="41">
        <f t="shared" si="13"/>
        <v>1250</v>
      </c>
      <c r="AW40" s="41">
        <f t="shared" si="14"/>
        <v>1250</v>
      </c>
      <c r="AX40" s="41">
        <f t="shared" si="15"/>
        <v>1250</v>
      </c>
      <c r="AY40" s="72">
        <f t="shared" si="43"/>
        <v>1250</v>
      </c>
      <c r="AZ40" s="41">
        <f t="shared" si="17"/>
        <v>1250</v>
      </c>
      <c r="BA40" s="41">
        <f t="shared" si="18"/>
        <v>1250</v>
      </c>
      <c r="BB40" s="41">
        <f t="shared" si="19"/>
        <v>1250</v>
      </c>
      <c r="BC40" s="41">
        <f t="shared" si="20"/>
        <v>1250</v>
      </c>
      <c r="BD40" s="72">
        <f t="shared" si="44"/>
        <v>1250</v>
      </c>
      <c r="BE40" s="41">
        <f t="shared" si="22"/>
        <v>1250</v>
      </c>
      <c r="BF40" s="41">
        <f t="shared" si="23"/>
        <v>1250</v>
      </c>
      <c r="BG40" s="41">
        <f t="shared" si="24"/>
        <v>1250</v>
      </c>
      <c r="BH40" s="41">
        <f t="shared" si="25"/>
        <v>1250</v>
      </c>
      <c r="BI40" s="72">
        <f t="shared" si="45"/>
        <v>1250</v>
      </c>
    </row>
    <row r="41" spans="1:61" s="26" customFormat="1">
      <c r="A41" s="3" t="s">
        <v>385</v>
      </c>
      <c r="B41" s="41"/>
      <c r="C41" s="41"/>
      <c r="D41" s="41"/>
      <c r="E41" s="42"/>
      <c r="F41" s="43"/>
      <c r="G41" s="41"/>
      <c r="H41" s="41"/>
      <c r="I41" s="41"/>
      <c r="J41" s="42"/>
      <c r="K41" s="43"/>
      <c r="L41" s="41"/>
      <c r="M41" s="41"/>
      <c r="N41" s="41"/>
      <c r="O41" s="42"/>
      <c r="P41" s="43">
        <v>0</v>
      </c>
      <c r="Q41" s="41">
        <f t="shared" si="27"/>
        <v>0</v>
      </c>
      <c r="R41" s="41">
        <f t="shared" si="27"/>
        <v>0</v>
      </c>
      <c r="S41" s="41">
        <f t="shared" si="27"/>
        <v>0</v>
      </c>
      <c r="T41" s="42">
        <f t="shared" si="28"/>
        <v>0</v>
      </c>
      <c r="U41" s="43">
        <v>0</v>
      </c>
      <c r="V41" s="41">
        <v>300</v>
      </c>
      <c r="W41" s="41">
        <f t="shared" si="49"/>
        <v>300</v>
      </c>
      <c r="X41" s="41">
        <f t="shared" si="48"/>
        <v>300</v>
      </c>
      <c r="Y41" s="42">
        <f t="shared" si="29"/>
        <v>300</v>
      </c>
      <c r="Z41" s="43">
        <v>300</v>
      </c>
      <c r="AA41" s="41">
        <v>300</v>
      </c>
      <c r="AB41" s="41">
        <f t="shared" si="46"/>
        <v>300</v>
      </c>
      <c r="AC41" s="41">
        <f t="shared" si="47"/>
        <v>300</v>
      </c>
      <c r="AD41" s="41">
        <f t="shared" si="46"/>
        <v>300</v>
      </c>
      <c r="AE41" s="72">
        <f t="shared" si="46"/>
        <v>300</v>
      </c>
      <c r="AF41" s="41">
        <f t="shared" si="46"/>
        <v>300</v>
      </c>
      <c r="AG41" s="41">
        <f t="shared" si="46"/>
        <v>300</v>
      </c>
      <c r="AH41" s="41">
        <f t="shared" si="46"/>
        <v>300</v>
      </c>
      <c r="AI41" s="41">
        <f t="shared" si="46"/>
        <v>300</v>
      </c>
      <c r="AJ41" s="72">
        <f t="shared" si="46"/>
        <v>300</v>
      </c>
      <c r="AK41" s="41">
        <f t="shared" si="32"/>
        <v>300</v>
      </c>
      <c r="AL41" s="41">
        <f t="shared" si="33"/>
        <v>300</v>
      </c>
      <c r="AM41" s="41">
        <f t="shared" si="34"/>
        <v>300</v>
      </c>
      <c r="AN41" s="41">
        <f t="shared" si="35"/>
        <v>300</v>
      </c>
      <c r="AO41" s="72">
        <f t="shared" si="35"/>
        <v>300</v>
      </c>
      <c r="AP41" s="41">
        <f t="shared" si="36"/>
        <v>300</v>
      </c>
      <c r="AQ41" s="41">
        <f t="shared" si="40"/>
        <v>300</v>
      </c>
      <c r="AR41" s="41">
        <f t="shared" si="38"/>
        <v>300</v>
      </c>
      <c r="AS41" s="446">
        <f t="shared" si="39"/>
        <v>300</v>
      </c>
      <c r="AT41" s="72">
        <f t="shared" si="42"/>
        <v>300</v>
      </c>
      <c r="AU41" s="41">
        <f t="shared" si="12"/>
        <v>300</v>
      </c>
      <c r="AV41" s="41">
        <f t="shared" si="13"/>
        <v>300</v>
      </c>
      <c r="AW41" s="41">
        <f t="shared" si="14"/>
        <v>300</v>
      </c>
      <c r="AX41" s="41">
        <f t="shared" si="15"/>
        <v>300</v>
      </c>
      <c r="AY41" s="72">
        <f t="shared" si="43"/>
        <v>300</v>
      </c>
      <c r="AZ41" s="41">
        <f t="shared" si="17"/>
        <v>300</v>
      </c>
      <c r="BA41" s="41">
        <f t="shared" si="18"/>
        <v>300</v>
      </c>
      <c r="BB41" s="41">
        <f t="shared" si="19"/>
        <v>300</v>
      </c>
      <c r="BC41" s="41">
        <f t="shared" si="20"/>
        <v>300</v>
      </c>
      <c r="BD41" s="72">
        <f t="shared" si="44"/>
        <v>300</v>
      </c>
      <c r="BE41" s="41">
        <f t="shared" si="22"/>
        <v>300</v>
      </c>
      <c r="BF41" s="41">
        <f t="shared" si="23"/>
        <v>300</v>
      </c>
      <c r="BG41" s="41">
        <f t="shared" si="24"/>
        <v>300</v>
      </c>
      <c r="BH41" s="41">
        <f t="shared" si="25"/>
        <v>300</v>
      </c>
      <c r="BI41" s="72">
        <f t="shared" si="45"/>
        <v>300</v>
      </c>
    </row>
    <row r="42" spans="1:61" s="26" customFormat="1">
      <c r="A42" s="3" t="s">
        <v>386</v>
      </c>
      <c r="B42" s="41"/>
      <c r="C42" s="41"/>
      <c r="D42" s="41"/>
      <c r="E42" s="42"/>
      <c r="F42" s="43"/>
      <c r="G42" s="41"/>
      <c r="H42" s="41"/>
      <c r="I42" s="41"/>
      <c r="J42" s="42"/>
      <c r="K42" s="43"/>
      <c r="L42" s="41"/>
      <c r="M42" s="41"/>
      <c r="N42" s="41"/>
      <c r="O42" s="42"/>
      <c r="P42" s="43">
        <v>0</v>
      </c>
      <c r="Q42" s="41">
        <f t="shared" si="27"/>
        <v>0</v>
      </c>
      <c r="R42" s="41">
        <f t="shared" si="27"/>
        <v>0</v>
      </c>
      <c r="S42" s="41">
        <f t="shared" si="27"/>
        <v>0</v>
      </c>
      <c r="T42" s="42">
        <f t="shared" si="28"/>
        <v>350</v>
      </c>
      <c r="U42" s="43">
        <v>350</v>
      </c>
      <c r="V42" s="41">
        <f t="shared" ref="V42:X58" si="50">U42</f>
        <v>350</v>
      </c>
      <c r="W42" s="41">
        <f t="shared" si="49"/>
        <v>350</v>
      </c>
      <c r="X42" s="41">
        <f t="shared" si="48"/>
        <v>350</v>
      </c>
      <c r="Y42" s="42">
        <f t="shared" si="29"/>
        <v>350</v>
      </c>
      <c r="Z42" s="43">
        <v>350</v>
      </c>
      <c r="AA42" s="41">
        <v>350</v>
      </c>
      <c r="AB42" s="41">
        <f t="shared" si="46"/>
        <v>350</v>
      </c>
      <c r="AC42" s="41">
        <f t="shared" si="47"/>
        <v>350</v>
      </c>
      <c r="AD42" s="41">
        <f t="shared" si="46"/>
        <v>350</v>
      </c>
      <c r="AE42" s="72">
        <f t="shared" si="46"/>
        <v>350</v>
      </c>
      <c r="AF42" s="41">
        <f t="shared" si="46"/>
        <v>350</v>
      </c>
      <c r="AG42" s="41">
        <f t="shared" si="46"/>
        <v>350</v>
      </c>
      <c r="AH42" s="41">
        <f t="shared" si="46"/>
        <v>350</v>
      </c>
      <c r="AI42" s="41">
        <f t="shared" si="46"/>
        <v>350</v>
      </c>
      <c r="AJ42" s="72">
        <f t="shared" si="46"/>
        <v>350</v>
      </c>
      <c r="AK42" s="41">
        <f t="shared" si="32"/>
        <v>350</v>
      </c>
      <c r="AL42" s="41">
        <f t="shared" si="33"/>
        <v>350</v>
      </c>
      <c r="AM42" s="41">
        <f t="shared" si="34"/>
        <v>350</v>
      </c>
      <c r="AN42" s="41">
        <f t="shared" si="35"/>
        <v>350</v>
      </c>
      <c r="AO42" s="72">
        <f t="shared" si="35"/>
        <v>350</v>
      </c>
      <c r="AP42" s="41">
        <f t="shared" si="36"/>
        <v>350</v>
      </c>
      <c r="AQ42" s="41">
        <f t="shared" si="40"/>
        <v>350</v>
      </c>
      <c r="AR42" s="41">
        <f t="shared" si="38"/>
        <v>350</v>
      </c>
      <c r="AS42" s="446">
        <f t="shared" si="39"/>
        <v>350</v>
      </c>
      <c r="AT42" s="72">
        <f t="shared" si="42"/>
        <v>350</v>
      </c>
      <c r="AU42" s="41">
        <f t="shared" si="12"/>
        <v>350</v>
      </c>
      <c r="AV42" s="41">
        <f t="shared" si="13"/>
        <v>350</v>
      </c>
      <c r="AW42" s="41">
        <f t="shared" si="14"/>
        <v>350</v>
      </c>
      <c r="AX42" s="41">
        <f t="shared" si="15"/>
        <v>350</v>
      </c>
      <c r="AY42" s="72">
        <f t="shared" si="43"/>
        <v>350</v>
      </c>
      <c r="AZ42" s="41">
        <f t="shared" si="17"/>
        <v>350</v>
      </c>
      <c r="BA42" s="41">
        <f t="shared" si="18"/>
        <v>350</v>
      </c>
      <c r="BB42" s="41">
        <f t="shared" si="19"/>
        <v>350</v>
      </c>
      <c r="BC42" s="41">
        <f t="shared" si="20"/>
        <v>350</v>
      </c>
      <c r="BD42" s="72">
        <f t="shared" si="44"/>
        <v>350</v>
      </c>
      <c r="BE42" s="41">
        <f t="shared" si="22"/>
        <v>350</v>
      </c>
      <c r="BF42" s="41">
        <f t="shared" si="23"/>
        <v>350</v>
      </c>
      <c r="BG42" s="41">
        <f t="shared" si="24"/>
        <v>350</v>
      </c>
      <c r="BH42" s="41">
        <f t="shared" si="25"/>
        <v>350</v>
      </c>
      <c r="BI42" s="72">
        <f t="shared" si="45"/>
        <v>350</v>
      </c>
    </row>
    <row r="43" spans="1:61" s="26" customFormat="1">
      <c r="A43" s="3" t="s">
        <v>387</v>
      </c>
      <c r="B43" s="41"/>
      <c r="C43" s="41"/>
      <c r="D43" s="41"/>
      <c r="E43" s="42"/>
      <c r="F43" s="43"/>
      <c r="G43" s="41"/>
      <c r="H43" s="41"/>
      <c r="I43" s="41"/>
      <c r="J43" s="42"/>
      <c r="K43" s="43"/>
      <c r="L43" s="41"/>
      <c r="M43" s="41"/>
      <c r="N43" s="41"/>
      <c r="O43" s="42"/>
      <c r="P43" s="43">
        <v>0</v>
      </c>
      <c r="Q43" s="41">
        <f t="shared" si="27"/>
        <v>0</v>
      </c>
      <c r="R43" s="41">
        <f t="shared" si="27"/>
        <v>0</v>
      </c>
      <c r="S43" s="41">
        <f t="shared" si="27"/>
        <v>0</v>
      </c>
      <c r="T43" s="42">
        <f t="shared" si="28"/>
        <v>0</v>
      </c>
      <c r="U43" s="43">
        <v>0</v>
      </c>
      <c r="V43" s="41">
        <f t="shared" si="50"/>
        <v>0</v>
      </c>
      <c r="W43" s="41">
        <v>800</v>
      </c>
      <c r="X43" s="41">
        <f t="shared" si="48"/>
        <v>800</v>
      </c>
      <c r="Y43" s="42">
        <f t="shared" si="29"/>
        <v>800</v>
      </c>
      <c r="Z43" s="43">
        <v>800</v>
      </c>
      <c r="AA43" s="41">
        <v>800</v>
      </c>
      <c r="AB43" s="41">
        <f t="shared" si="46"/>
        <v>800</v>
      </c>
      <c r="AC43" s="41">
        <f t="shared" si="47"/>
        <v>800</v>
      </c>
      <c r="AD43" s="41">
        <f t="shared" si="46"/>
        <v>800</v>
      </c>
      <c r="AE43" s="72">
        <f t="shared" si="46"/>
        <v>800</v>
      </c>
      <c r="AF43" s="41">
        <f t="shared" si="46"/>
        <v>800</v>
      </c>
      <c r="AG43" s="41">
        <f t="shared" si="46"/>
        <v>800</v>
      </c>
      <c r="AH43" s="41">
        <f t="shared" si="46"/>
        <v>800</v>
      </c>
      <c r="AI43" s="41">
        <f t="shared" si="46"/>
        <v>800</v>
      </c>
      <c r="AJ43" s="72">
        <f t="shared" si="46"/>
        <v>800</v>
      </c>
      <c r="AK43" s="41">
        <f t="shared" si="32"/>
        <v>800</v>
      </c>
      <c r="AL43" s="41">
        <f t="shared" si="33"/>
        <v>800</v>
      </c>
      <c r="AM43" s="41">
        <f t="shared" si="34"/>
        <v>800</v>
      </c>
      <c r="AN43" s="41">
        <f t="shared" si="35"/>
        <v>800</v>
      </c>
      <c r="AO43" s="72">
        <f t="shared" si="35"/>
        <v>800</v>
      </c>
      <c r="AP43" s="41">
        <f t="shared" si="36"/>
        <v>800</v>
      </c>
      <c r="AQ43" s="41">
        <f t="shared" si="40"/>
        <v>800</v>
      </c>
      <c r="AR43" s="41">
        <f t="shared" si="38"/>
        <v>800</v>
      </c>
      <c r="AS43" s="446">
        <f t="shared" si="39"/>
        <v>800</v>
      </c>
      <c r="AT43" s="72">
        <f t="shared" si="42"/>
        <v>800</v>
      </c>
      <c r="AU43" s="41">
        <f t="shared" si="12"/>
        <v>800</v>
      </c>
      <c r="AV43" s="41">
        <f t="shared" si="13"/>
        <v>800</v>
      </c>
      <c r="AW43" s="41">
        <f t="shared" si="14"/>
        <v>800</v>
      </c>
      <c r="AX43" s="41">
        <f t="shared" si="15"/>
        <v>800</v>
      </c>
      <c r="AY43" s="72">
        <f t="shared" si="43"/>
        <v>800</v>
      </c>
      <c r="AZ43" s="41">
        <f t="shared" si="17"/>
        <v>800</v>
      </c>
      <c r="BA43" s="41">
        <f t="shared" si="18"/>
        <v>800</v>
      </c>
      <c r="BB43" s="41">
        <f t="shared" si="19"/>
        <v>800</v>
      </c>
      <c r="BC43" s="41">
        <f t="shared" si="20"/>
        <v>800</v>
      </c>
      <c r="BD43" s="72">
        <f t="shared" si="44"/>
        <v>800</v>
      </c>
      <c r="BE43" s="41">
        <f t="shared" si="22"/>
        <v>800</v>
      </c>
      <c r="BF43" s="41">
        <f t="shared" si="23"/>
        <v>800</v>
      </c>
      <c r="BG43" s="41">
        <f t="shared" si="24"/>
        <v>800</v>
      </c>
      <c r="BH43" s="41">
        <f t="shared" si="25"/>
        <v>800</v>
      </c>
      <c r="BI43" s="72">
        <f t="shared" si="45"/>
        <v>800</v>
      </c>
    </row>
    <row r="44" spans="1:61" s="26" customFormat="1">
      <c r="A44" s="3" t="s">
        <v>388</v>
      </c>
      <c r="B44" s="41"/>
      <c r="C44" s="41"/>
      <c r="D44" s="41"/>
      <c r="E44" s="42"/>
      <c r="F44" s="43"/>
      <c r="G44" s="41"/>
      <c r="H44" s="41"/>
      <c r="I44" s="41"/>
      <c r="J44" s="42"/>
      <c r="K44" s="43"/>
      <c r="L44" s="41"/>
      <c r="M44" s="41"/>
      <c r="N44" s="41"/>
      <c r="O44" s="42"/>
      <c r="P44" s="43">
        <v>0</v>
      </c>
      <c r="Q44" s="41">
        <f t="shared" si="27"/>
        <v>0</v>
      </c>
      <c r="R44" s="41">
        <f t="shared" si="27"/>
        <v>0</v>
      </c>
      <c r="S44" s="41">
        <f t="shared" si="27"/>
        <v>0</v>
      </c>
      <c r="T44" s="42">
        <f t="shared" si="28"/>
        <v>0</v>
      </c>
      <c r="U44" s="43">
        <v>0</v>
      </c>
      <c r="V44" s="41">
        <f t="shared" si="50"/>
        <v>0</v>
      </c>
      <c r="W44" s="41">
        <f t="shared" si="50"/>
        <v>0</v>
      </c>
      <c r="X44" s="41">
        <v>1000</v>
      </c>
      <c r="Y44" s="42">
        <f t="shared" si="29"/>
        <v>1000</v>
      </c>
      <c r="Z44" s="43">
        <v>1000</v>
      </c>
      <c r="AA44" s="41">
        <v>1000</v>
      </c>
      <c r="AB44" s="41">
        <f t="shared" si="46"/>
        <v>1000</v>
      </c>
      <c r="AC44" s="41">
        <f t="shared" si="47"/>
        <v>1000</v>
      </c>
      <c r="AD44" s="41">
        <f t="shared" si="46"/>
        <v>1000</v>
      </c>
      <c r="AE44" s="72">
        <f t="shared" si="46"/>
        <v>1000</v>
      </c>
      <c r="AF44" s="41">
        <f t="shared" si="46"/>
        <v>1000</v>
      </c>
      <c r="AG44" s="41">
        <f t="shared" si="46"/>
        <v>1000</v>
      </c>
      <c r="AH44" s="41">
        <f t="shared" si="46"/>
        <v>1000</v>
      </c>
      <c r="AI44" s="41">
        <f t="shared" si="46"/>
        <v>1000</v>
      </c>
      <c r="AJ44" s="72">
        <f t="shared" si="46"/>
        <v>1000</v>
      </c>
      <c r="AK44" s="41">
        <f t="shared" si="32"/>
        <v>1000</v>
      </c>
      <c r="AL44" s="41">
        <f t="shared" si="33"/>
        <v>1000</v>
      </c>
      <c r="AM44" s="41">
        <f t="shared" si="34"/>
        <v>1000</v>
      </c>
      <c r="AN44" s="41">
        <f t="shared" si="35"/>
        <v>1000</v>
      </c>
      <c r="AO44" s="72">
        <f t="shared" si="35"/>
        <v>1000</v>
      </c>
      <c r="AP44" s="41">
        <f t="shared" si="36"/>
        <v>1000</v>
      </c>
      <c r="AQ44" s="41">
        <f t="shared" si="40"/>
        <v>1000</v>
      </c>
      <c r="AR44" s="41">
        <f t="shared" si="38"/>
        <v>1000</v>
      </c>
      <c r="AS44" s="446">
        <f t="shared" si="39"/>
        <v>1000</v>
      </c>
      <c r="AT44" s="72">
        <f t="shared" si="42"/>
        <v>1000</v>
      </c>
      <c r="AU44" s="41">
        <f t="shared" si="12"/>
        <v>1000</v>
      </c>
      <c r="AV44" s="41">
        <f t="shared" si="13"/>
        <v>1000</v>
      </c>
      <c r="AW44" s="41">
        <f t="shared" si="14"/>
        <v>1000</v>
      </c>
      <c r="AX44" s="41">
        <f t="shared" si="15"/>
        <v>1000</v>
      </c>
      <c r="AY44" s="72">
        <f t="shared" si="43"/>
        <v>1000</v>
      </c>
      <c r="AZ44" s="41">
        <f t="shared" si="17"/>
        <v>1000</v>
      </c>
      <c r="BA44" s="41">
        <f t="shared" si="18"/>
        <v>1000</v>
      </c>
      <c r="BB44" s="41">
        <f t="shared" si="19"/>
        <v>1000</v>
      </c>
      <c r="BC44" s="41">
        <f t="shared" si="20"/>
        <v>1000</v>
      </c>
      <c r="BD44" s="72">
        <f t="shared" si="44"/>
        <v>1000</v>
      </c>
      <c r="BE44" s="41">
        <f t="shared" si="22"/>
        <v>1000</v>
      </c>
      <c r="BF44" s="41">
        <f t="shared" si="23"/>
        <v>1000</v>
      </c>
      <c r="BG44" s="41">
        <f t="shared" si="24"/>
        <v>1000</v>
      </c>
      <c r="BH44" s="41">
        <f t="shared" si="25"/>
        <v>1000</v>
      </c>
      <c r="BI44" s="72">
        <f t="shared" si="45"/>
        <v>1000</v>
      </c>
    </row>
    <row r="45" spans="1:61" s="26" customFormat="1">
      <c r="A45" s="3" t="s">
        <v>389</v>
      </c>
      <c r="B45" s="41"/>
      <c r="C45" s="41"/>
      <c r="D45" s="41"/>
      <c r="E45" s="42"/>
      <c r="F45" s="43"/>
      <c r="G45" s="41"/>
      <c r="H45" s="41"/>
      <c r="I45" s="41"/>
      <c r="J45" s="42"/>
      <c r="K45" s="43"/>
      <c r="L45" s="41"/>
      <c r="M45" s="41"/>
      <c r="N45" s="41"/>
      <c r="O45" s="42"/>
      <c r="P45" s="43">
        <v>750</v>
      </c>
      <c r="Q45" s="41">
        <f t="shared" si="27"/>
        <v>750</v>
      </c>
      <c r="R45" s="41">
        <f t="shared" si="27"/>
        <v>750</v>
      </c>
      <c r="S45" s="41">
        <f t="shared" si="27"/>
        <v>750</v>
      </c>
      <c r="T45" s="42">
        <f t="shared" si="28"/>
        <v>750</v>
      </c>
      <c r="U45" s="43">
        <v>750</v>
      </c>
      <c r="V45" s="41">
        <f t="shared" si="50"/>
        <v>750</v>
      </c>
      <c r="W45" s="41">
        <f t="shared" si="50"/>
        <v>750</v>
      </c>
      <c r="X45" s="41">
        <f t="shared" si="50"/>
        <v>750</v>
      </c>
      <c r="Y45" s="42">
        <f t="shared" si="29"/>
        <v>750</v>
      </c>
      <c r="Z45" s="43">
        <v>750</v>
      </c>
      <c r="AA45" s="41">
        <v>0</v>
      </c>
      <c r="AB45" s="41">
        <f t="shared" si="46"/>
        <v>0</v>
      </c>
      <c r="AC45" s="41">
        <f t="shared" si="47"/>
        <v>0</v>
      </c>
      <c r="AD45" s="41">
        <f t="shared" si="46"/>
        <v>0</v>
      </c>
      <c r="AE45" s="72">
        <f t="shared" si="46"/>
        <v>0</v>
      </c>
      <c r="AF45" s="41">
        <f t="shared" si="46"/>
        <v>0</v>
      </c>
      <c r="AG45" s="41">
        <f t="shared" si="46"/>
        <v>0</v>
      </c>
      <c r="AH45" s="41">
        <f t="shared" si="46"/>
        <v>0</v>
      </c>
      <c r="AI45" s="41">
        <f t="shared" si="46"/>
        <v>0</v>
      </c>
      <c r="AJ45" s="72">
        <f t="shared" si="46"/>
        <v>0</v>
      </c>
      <c r="AK45" s="41">
        <f t="shared" si="32"/>
        <v>0</v>
      </c>
      <c r="AL45" s="41">
        <f t="shared" si="33"/>
        <v>0</v>
      </c>
      <c r="AM45" s="41">
        <f t="shared" si="34"/>
        <v>0</v>
      </c>
      <c r="AN45" s="41">
        <f t="shared" si="35"/>
        <v>0</v>
      </c>
      <c r="AO45" s="72">
        <f t="shared" si="35"/>
        <v>0</v>
      </c>
      <c r="AP45" s="41">
        <f t="shared" si="36"/>
        <v>0</v>
      </c>
      <c r="AQ45" s="41">
        <f t="shared" si="40"/>
        <v>0</v>
      </c>
      <c r="AR45" s="41">
        <f t="shared" si="38"/>
        <v>0</v>
      </c>
      <c r="AS45" s="446">
        <f t="shared" si="39"/>
        <v>0</v>
      </c>
      <c r="AT45" s="72">
        <f t="shared" si="42"/>
        <v>0</v>
      </c>
      <c r="AU45" s="41">
        <f t="shared" si="12"/>
        <v>0</v>
      </c>
      <c r="AV45" s="41">
        <f t="shared" si="13"/>
        <v>0</v>
      </c>
      <c r="AW45" s="41">
        <f t="shared" si="14"/>
        <v>0</v>
      </c>
      <c r="AX45" s="41">
        <f t="shared" si="15"/>
        <v>0</v>
      </c>
      <c r="AY45" s="72">
        <f t="shared" si="43"/>
        <v>0</v>
      </c>
      <c r="AZ45" s="41">
        <f t="shared" si="17"/>
        <v>0</v>
      </c>
      <c r="BA45" s="41">
        <f t="shared" si="18"/>
        <v>0</v>
      </c>
      <c r="BB45" s="41">
        <f t="shared" si="19"/>
        <v>0</v>
      </c>
      <c r="BC45" s="41">
        <f t="shared" si="20"/>
        <v>0</v>
      </c>
      <c r="BD45" s="72">
        <f t="shared" si="44"/>
        <v>0</v>
      </c>
      <c r="BE45" s="41">
        <f t="shared" si="22"/>
        <v>0</v>
      </c>
      <c r="BF45" s="41">
        <f t="shared" si="23"/>
        <v>0</v>
      </c>
      <c r="BG45" s="41">
        <f t="shared" si="24"/>
        <v>0</v>
      </c>
      <c r="BH45" s="41">
        <f t="shared" si="25"/>
        <v>0</v>
      </c>
      <c r="BI45" s="72">
        <f t="shared" si="45"/>
        <v>0</v>
      </c>
    </row>
    <row r="46" spans="1:61" s="26" customFormat="1">
      <c r="A46" s="3" t="s">
        <v>390</v>
      </c>
      <c r="B46" s="41"/>
      <c r="C46" s="41"/>
      <c r="D46" s="41"/>
      <c r="E46" s="42"/>
      <c r="F46" s="43"/>
      <c r="G46" s="41"/>
      <c r="H46" s="41"/>
      <c r="I46" s="41"/>
      <c r="J46" s="42"/>
      <c r="K46" s="43"/>
      <c r="L46" s="41"/>
      <c r="M46" s="41"/>
      <c r="N46" s="41"/>
      <c r="O46" s="42"/>
      <c r="P46" s="43">
        <v>450</v>
      </c>
      <c r="Q46" s="41">
        <f t="shared" si="27"/>
        <v>450</v>
      </c>
      <c r="R46" s="41">
        <f t="shared" si="27"/>
        <v>450</v>
      </c>
      <c r="S46" s="41">
        <f t="shared" si="27"/>
        <v>450</v>
      </c>
      <c r="T46" s="42">
        <f t="shared" si="28"/>
        <v>450</v>
      </c>
      <c r="U46" s="43">
        <v>450</v>
      </c>
      <c r="V46" s="41">
        <f t="shared" si="50"/>
        <v>450</v>
      </c>
      <c r="W46" s="41">
        <f t="shared" si="50"/>
        <v>450</v>
      </c>
      <c r="X46" s="41">
        <f t="shared" si="50"/>
        <v>450</v>
      </c>
      <c r="Y46" s="42">
        <f t="shared" si="29"/>
        <v>450</v>
      </c>
      <c r="Z46" s="43">
        <v>450</v>
      </c>
      <c r="AA46" s="41">
        <v>450</v>
      </c>
      <c r="AB46" s="41">
        <f t="shared" si="46"/>
        <v>450</v>
      </c>
      <c r="AC46" s="41">
        <f t="shared" si="47"/>
        <v>450</v>
      </c>
      <c r="AD46" s="41">
        <f t="shared" si="46"/>
        <v>450</v>
      </c>
      <c r="AE46" s="72">
        <f t="shared" si="46"/>
        <v>450</v>
      </c>
      <c r="AF46" s="41">
        <f t="shared" si="46"/>
        <v>450</v>
      </c>
      <c r="AG46" s="41">
        <f t="shared" si="46"/>
        <v>450</v>
      </c>
      <c r="AH46" s="41">
        <f t="shared" si="46"/>
        <v>450</v>
      </c>
      <c r="AI46" s="41">
        <f t="shared" si="46"/>
        <v>450</v>
      </c>
      <c r="AJ46" s="72">
        <f t="shared" si="46"/>
        <v>450</v>
      </c>
      <c r="AK46" s="41">
        <f t="shared" si="32"/>
        <v>450</v>
      </c>
      <c r="AL46" s="41">
        <f t="shared" si="33"/>
        <v>450</v>
      </c>
      <c r="AM46" s="41">
        <f t="shared" si="34"/>
        <v>450</v>
      </c>
      <c r="AN46" s="41">
        <f t="shared" si="35"/>
        <v>450</v>
      </c>
      <c r="AO46" s="72">
        <f t="shared" si="35"/>
        <v>450</v>
      </c>
      <c r="AP46" s="41">
        <f t="shared" si="36"/>
        <v>450</v>
      </c>
      <c r="AQ46" s="41">
        <f t="shared" si="40"/>
        <v>450</v>
      </c>
      <c r="AR46" s="41">
        <f t="shared" si="38"/>
        <v>450</v>
      </c>
      <c r="AS46" s="446">
        <f t="shared" si="39"/>
        <v>450</v>
      </c>
      <c r="AT46" s="72">
        <f t="shared" si="42"/>
        <v>450</v>
      </c>
      <c r="AU46" s="41">
        <f t="shared" si="12"/>
        <v>450</v>
      </c>
      <c r="AV46" s="41">
        <f t="shared" si="13"/>
        <v>450</v>
      </c>
      <c r="AW46" s="41">
        <f t="shared" si="14"/>
        <v>450</v>
      </c>
      <c r="AX46" s="41">
        <f t="shared" si="15"/>
        <v>450</v>
      </c>
      <c r="AY46" s="72">
        <f t="shared" si="43"/>
        <v>450</v>
      </c>
      <c r="AZ46" s="41">
        <f t="shared" si="17"/>
        <v>450</v>
      </c>
      <c r="BA46" s="41">
        <f t="shared" si="18"/>
        <v>450</v>
      </c>
      <c r="BB46" s="41">
        <f t="shared" si="19"/>
        <v>450</v>
      </c>
      <c r="BC46" s="41">
        <f t="shared" si="20"/>
        <v>450</v>
      </c>
      <c r="BD46" s="72">
        <f t="shared" si="44"/>
        <v>450</v>
      </c>
      <c r="BE46" s="41">
        <f t="shared" si="22"/>
        <v>450</v>
      </c>
      <c r="BF46" s="41">
        <f t="shared" si="23"/>
        <v>450</v>
      </c>
      <c r="BG46" s="41">
        <f t="shared" si="24"/>
        <v>450</v>
      </c>
      <c r="BH46" s="41">
        <f t="shared" si="25"/>
        <v>450</v>
      </c>
      <c r="BI46" s="72">
        <f t="shared" si="45"/>
        <v>450</v>
      </c>
    </row>
    <row r="47" spans="1:61" s="26" customFormat="1">
      <c r="A47" s="3" t="s">
        <v>391</v>
      </c>
      <c r="B47" s="41"/>
      <c r="C47" s="41"/>
      <c r="D47" s="41"/>
      <c r="E47" s="42"/>
      <c r="F47" s="43"/>
      <c r="G47" s="41"/>
      <c r="H47" s="41"/>
      <c r="I47" s="41"/>
      <c r="J47" s="42"/>
      <c r="K47" s="43"/>
      <c r="L47" s="41"/>
      <c r="M47" s="41"/>
      <c r="N47" s="41"/>
      <c r="O47" s="42"/>
      <c r="P47" s="43">
        <v>650</v>
      </c>
      <c r="Q47" s="41">
        <f t="shared" si="27"/>
        <v>650</v>
      </c>
      <c r="R47" s="41">
        <f t="shared" si="27"/>
        <v>650</v>
      </c>
      <c r="S47" s="41">
        <f t="shared" si="27"/>
        <v>650</v>
      </c>
      <c r="T47" s="42">
        <f t="shared" si="28"/>
        <v>650</v>
      </c>
      <c r="U47" s="43">
        <v>650</v>
      </c>
      <c r="V47" s="41">
        <f>U47-650</f>
        <v>0</v>
      </c>
      <c r="W47" s="41">
        <f t="shared" si="50"/>
        <v>0</v>
      </c>
      <c r="X47" s="41">
        <f t="shared" si="50"/>
        <v>0</v>
      </c>
      <c r="Y47" s="42">
        <f t="shared" si="29"/>
        <v>0</v>
      </c>
      <c r="Z47" s="43">
        <v>0</v>
      </c>
      <c r="AA47" s="41">
        <v>0</v>
      </c>
      <c r="AB47" s="41">
        <f t="shared" si="46"/>
        <v>0</v>
      </c>
      <c r="AC47" s="41">
        <f t="shared" si="47"/>
        <v>0</v>
      </c>
      <c r="AD47" s="41">
        <f t="shared" si="46"/>
        <v>0</v>
      </c>
      <c r="AE47" s="72">
        <f t="shared" si="46"/>
        <v>0</v>
      </c>
      <c r="AF47" s="41">
        <f t="shared" si="46"/>
        <v>0</v>
      </c>
      <c r="AG47" s="41">
        <f t="shared" si="46"/>
        <v>0</v>
      </c>
      <c r="AH47" s="41">
        <f t="shared" si="46"/>
        <v>0</v>
      </c>
      <c r="AI47" s="41">
        <f t="shared" si="46"/>
        <v>0</v>
      </c>
      <c r="AJ47" s="72">
        <f t="shared" si="46"/>
        <v>0</v>
      </c>
      <c r="AK47" s="41">
        <f t="shared" si="32"/>
        <v>0</v>
      </c>
      <c r="AL47" s="41">
        <f t="shared" si="33"/>
        <v>0</v>
      </c>
      <c r="AM47" s="41">
        <f t="shared" si="34"/>
        <v>0</v>
      </c>
      <c r="AN47" s="41">
        <f t="shared" si="35"/>
        <v>0</v>
      </c>
      <c r="AO47" s="72">
        <f t="shared" si="35"/>
        <v>0</v>
      </c>
      <c r="AP47" s="41">
        <f t="shared" si="36"/>
        <v>0</v>
      </c>
      <c r="AQ47" s="41">
        <f t="shared" si="40"/>
        <v>0</v>
      </c>
      <c r="AR47" s="41">
        <f t="shared" si="38"/>
        <v>0</v>
      </c>
      <c r="AS47" s="446">
        <f t="shared" si="39"/>
        <v>0</v>
      </c>
      <c r="AT47" s="72">
        <f t="shared" si="42"/>
        <v>0</v>
      </c>
      <c r="AU47" s="41">
        <f t="shared" si="12"/>
        <v>0</v>
      </c>
      <c r="AV47" s="41">
        <f t="shared" si="13"/>
        <v>0</v>
      </c>
      <c r="AW47" s="41">
        <f t="shared" si="14"/>
        <v>0</v>
      </c>
      <c r="AX47" s="41">
        <f t="shared" si="15"/>
        <v>0</v>
      </c>
      <c r="AY47" s="72">
        <f t="shared" si="43"/>
        <v>0</v>
      </c>
      <c r="AZ47" s="41">
        <f t="shared" si="17"/>
        <v>0</v>
      </c>
      <c r="BA47" s="41">
        <f t="shared" si="18"/>
        <v>0</v>
      </c>
      <c r="BB47" s="41">
        <f t="shared" si="19"/>
        <v>0</v>
      </c>
      <c r="BC47" s="41">
        <f t="shared" si="20"/>
        <v>0</v>
      </c>
      <c r="BD47" s="72">
        <f t="shared" si="44"/>
        <v>0</v>
      </c>
      <c r="BE47" s="41">
        <f t="shared" si="22"/>
        <v>0</v>
      </c>
      <c r="BF47" s="41">
        <f t="shared" si="23"/>
        <v>0</v>
      </c>
      <c r="BG47" s="41">
        <f t="shared" si="24"/>
        <v>0</v>
      </c>
      <c r="BH47" s="41">
        <f t="shared" si="25"/>
        <v>0</v>
      </c>
      <c r="BI47" s="72">
        <f t="shared" si="45"/>
        <v>0</v>
      </c>
    </row>
    <row r="48" spans="1:61" s="26" customFormat="1">
      <c r="A48" s="3" t="s">
        <v>392</v>
      </c>
      <c r="B48" s="41"/>
      <c r="C48" s="41"/>
      <c r="D48" s="41"/>
      <c r="E48" s="42"/>
      <c r="F48" s="43"/>
      <c r="G48" s="41"/>
      <c r="H48" s="41"/>
      <c r="I48" s="41"/>
      <c r="J48" s="42"/>
      <c r="K48" s="43"/>
      <c r="L48" s="41"/>
      <c r="M48" s="41"/>
      <c r="N48" s="41"/>
      <c r="O48" s="42"/>
      <c r="P48" s="43">
        <v>400</v>
      </c>
      <c r="Q48" s="41">
        <f t="shared" si="27"/>
        <v>400</v>
      </c>
      <c r="R48" s="41">
        <f t="shared" si="27"/>
        <v>400</v>
      </c>
      <c r="S48" s="41">
        <f t="shared" si="27"/>
        <v>400</v>
      </c>
      <c r="T48" s="42">
        <f t="shared" si="28"/>
        <v>400</v>
      </c>
      <c r="U48" s="43">
        <v>400</v>
      </c>
      <c r="V48" s="41">
        <f t="shared" si="50"/>
        <v>400</v>
      </c>
      <c r="W48" s="41">
        <f t="shared" si="50"/>
        <v>400</v>
      </c>
      <c r="X48" s="41">
        <f t="shared" si="50"/>
        <v>400</v>
      </c>
      <c r="Y48" s="42">
        <f t="shared" si="29"/>
        <v>400</v>
      </c>
      <c r="Z48" s="43">
        <v>400</v>
      </c>
      <c r="AA48" s="41">
        <v>400</v>
      </c>
      <c r="AB48" s="41">
        <f t="shared" si="46"/>
        <v>400</v>
      </c>
      <c r="AC48" s="41">
        <f t="shared" si="47"/>
        <v>400</v>
      </c>
      <c r="AD48" s="41">
        <f t="shared" si="46"/>
        <v>400</v>
      </c>
      <c r="AE48" s="72">
        <f t="shared" si="46"/>
        <v>400</v>
      </c>
      <c r="AF48" s="41">
        <f t="shared" si="46"/>
        <v>400</v>
      </c>
      <c r="AG48" s="41">
        <f t="shared" si="46"/>
        <v>400</v>
      </c>
      <c r="AH48" s="41">
        <f t="shared" si="46"/>
        <v>400</v>
      </c>
      <c r="AI48" s="41">
        <f t="shared" si="46"/>
        <v>400</v>
      </c>
      <c r="AJ48" s="72">
        <f t="shared" si="46"/>
        <v>400</v>
      </c>
      <c r="AK48" s="41">
        <f t="shared" si="32"/>
        <v>400</v>
      </c>
      <c r="AL48" s="41">
        <f t="shared" si="33"/>
        <v>400</v>
      </c>
      <c r="AM48" s="41">
        <f t="shared" si="34"/>
        <v>400</v>
      </c>
      <c r="AN48" s="41">
        <f t="shared" si="35"/>
        <v>400</v>
      </c>
      <c r="AO48" s="72">
        <f t="shared" si="35"/>
        <v>400</v>
      </c>
      <c r="AP48" s="41">
        <f t="shared" si="36"/>
        <v>400</v>
      </c>
      <c r="AQ48" s="41">
        <f t="shared" si="40"/>
        <v>400</v>
      </c>
      <c r="AR48" s="41">
        <f t="shared" si="38"/>
        <v>400</v>
      </c>
      <c r="AS48" s="446">
        <f t="shared" si="39"/>
        <v>400</v>
      </c>
      <c r="AT48" s="72">
        <f t="shared" si="42"/>
        <v>400</v>
      </c>
      <c r="AU48" s="41">
        <f t="shared" si="12"/>
        <v>400</v>
      </c>
      <c r="AV48" s="41">
        <f t="shared" si="13"/>
        <v>400</v>
      </c>
      <c r="AW48" s="41">
        <f t="shared" si="14"/>
        <v>400</v>
      </c>
      <c r="AX48" s="41">
        <f t="shared" si="15"/>
        <v>400</v>
      </c>
      <c r="AY48" s="72">
        <f t="shared" si="43"/>
        <v>400</v>
      </c>
      <c r="AZ48" s="41">
        <f t="shared" si="17"/>
        <v>400</v>
      </c>
      <c r="BA48" s="41">
        <f t="shared" si="18"/>
        <v>400</v>
      </c>
      <c r="BB48" s="41">
        <f t="shared" si="19"/>
        <v>400</v>
      </c>
      <c r="BC48" s="41">
        <f t="shared" si="20"/>
        <v>400</v>
      </c>
      <c r="BD48" s="72">
        <f t="shared" si="44"/>
        <v>400</v>
      </c>
      <c r="BE48" s="41">
        <f t="shared" si="22"/>
        <v>400</v>
      </c>
      <c r="BF48" s="41">
        <f t="shared" si="23"/>
        <v>400</v>
      </c>
      <c r="BG48" s="41">
        <f t="shared" si="24"/>
        <v>400</v>
      </c>
      <c r="BH48" s="41">
        <f t="shared" si="25"/>
        <v>400</v>
      </c>
      <c r="BI48" s="72">
        <f t="shared" si="45"/>
        <v>400</v>
      </c>
    </row>
    <row r="49" spans="1:61" s="26" customFormat="1">
      <c r="A49" s="3" t="s">
        <v>393</v>
      </c>
      <c r="B49" s="41"/>
      <c r="C49" s="41"/>
      <c r="D49" s="41"/>
      <c r="E49" s="42"/>
      <c r="F49" s="43"/>
      <c r="G49" s="41"/>
      <c r="H49" s="41"/>
      <c r="I49" s="41"/>
      <c r="J49" s="42"/>
      <c r="K49" s="43"/>
      <c r="L49" s="41"/>
      <c r="M49" s="41"/>
      <c r="N49" s="41"/>
      <c r="O49" s="42"/>
      <c r="P49" s="43">
        <v>300</v>
      </c>
      <c r="Q49" s="41">
        <f t="shared" si="27"/>
        <v>300</v>
      </c>
      <c r="R49" s="41">
        <f t="shared" si="27"/>
        <v>300</v>
      </c>
      <c r="S49" s="41">
        <f t="shared" si="27"/>
        <v>300</v>
      </c>
      <c r="T49" s="42">
        <f t="shared" si="28"/>
        <v>300</v>
      </c>
      <c r="U49" s="43">
        <v>300</v>
      </c>
      <c r="V49" s="41">
        <f t="shared" si="50"/>
        <v>300</v>
      </c>
      <c r="W49" s="41">
        <f t="shared" si="50"/>
        <v>300</v>
      </c>
      <c r="X49" s="41">
        <f t="shared" si="50"/>
        <v>300</v>
      </c>
      <c r="Y49" s="42">
        <f t="shared" si="29"/>
        <v>300</v>
      </c>
      <c r="Z49" s="43">
        <v>300</v>
      </c>
      <c r="AA49" s="41">
        <v>300</v>
      </c>
      <c r="AB49" s="41">
        <f t="shared" si="46"/>
        <v>300</v>
      </c>
      <c r="AC49" s="41">
        <f t="shared" si="47"/>
        <v>300</v>
      </c>
      <c r="AD49" s="41">
        <f t="shared" si="46"/>
        <v>300</v>
      </c>
      <c r="AE49" s="72">
        <f t="shared" si="46"/>
        <v>300</v>
      </c>
      <c r="AF49" s="41">
        <f t="shared" si="46"/>
        <v>300</v>
      </c>
      <c r="AG49" s="41">
        <f t="shared" si="46"/>
        <v>300</v>
      </c>
      <c r="AH49" s="41">
        <f t="shared" si="46"/>
        <v>300</v>
      </c>
      <c r="AI49" s="41">
        <f t="shared" si="46"/>
        <v>300</v>
      </c>
      <c r="AJ49" s="72">
        <f t="shared" si="46"/>
        <v>300</v>
      </c>
      <c r="AK49" s="41">
        <f t="shared" si="32"/>
        <v>300</v>
      </c>
      <c r="AL49" s="41">
        <f t="shared" si="33"/>
        <v>300</v>
      </c>
      <c r="AM49" s="41">
        <f t="shared" si="34"/>
        <v>300</v>
      </c>
      <c r="AN49" s="41">
        <f t="shared" si="35"/>
        <v>300</v>
      </c>
      <c r="AO49" s="72">
        <f t="shared" si="35"/>
        <v>300</v>
      </c>
      <c r="AP49" s="41">
        <f t="shared" si="36"/>
        <v>300</v>
      </c>
      <c r="AQ49" s="41">
        <f t="shared" si="40"/>
        <v>300</v>
      </c>
      <c r="AR49" s="41">
        <f t="shared" si="38"/>
        <v>300</v>
      </c>
      <c r="AS49" s="446">
        <f t="shared" si="39"/>
        <v>300</v>
      </c>
      <c r="AT49" s="72">
        <f t="shared" si="42"/>
        <v>300</v>
      </c>
      <c r="AU49" s="41">
        <f t="shared" si="12"/>
        <v>300</v>
      </c>
      <c r="AV49" s="41">
        <f t="shared" si="13"/>
        <v>300</v>
      </c>
      <c r="AW49" s="41">
        <f t="shared" si="14"/>
        <v>300</v>
      </c>
      <c r="AX49" s="41">
        <f t="shared" si="15"/>
        <v>300</v>
      </c>
      <c r="AY49" s="72">
        <f t="shared" si="43"/>
        <v>300</v>
      </c>
      <c r="AZ49" s="41">
        <f t="shared" si="17"/>
        <v>300</v>
      </c>
      <c r="BA49" s="41">
        <f t="shared" si="18"/>
        <v>300</v>
      </c>
      <c r="BB49" s="41">
        <f t="shared" si="19"/>
        <v>300</v>
      </c>
      <c r="BC49" s="41">
        <f t="shared" si="20"/>
        <v>300</v>
      </c>
      <c r="BD49" s="72">
        <f t="shared" si="44"/>
        <v>300</v>
      </c>
      <c r="BE49" s="41">
        <f t="shared" si="22"/>
        <v>300</v>
      </c>
      <c r="BF49" s="41">
        <f t="shared" si="23"/>
        <v>300</v>
      </c>
      <c r="BG49" s="41">
        <f t="shared" si="24"/>
        <v>300</v>
      </c>
      <c r="BH49" s="41">
        <f t="shared" si="25"/>
        <v>300</v>
      </c>
      <c r="BI49" s="72">
        <f t="shared" si="45"/>
        <v>300</v>
      </c>
    </row>
    <row r="50" spans="1:61" s="26" customFormat="1">
      <c r="A50" s="3" t="s">
        <v>394</v>
      </c>
      <c r="B50" s="41"/>
      <c r="C50" s="41"/>
      <c r="D50" s="41"/>
      <c r="E50" s="42"/>
      <c r="F50" s="43"/>
      <c r="G50" s="41"/>
      <c r="H50" s="41"/>
      <c r="I50" s="41"/>
      <c r="J50" s="42"/>
      <c r="K50" s="43"/>
      <c r="L50" s="41"/>
      <c r="M50" s="41"/>
      <c r="N50" s="41"/>
      <c r="O50" s="42"/>
      <c r="P50" s="43">
        <v>500</v>
      </c>
      <c r="Q50" s="41">
        <f t="shared" si="27"/>
        <v>500</v>
      </c>
      <c r="R50" s="41">
        <f t="shared" si="27"/>
        <v>500</v>
      </c>
      <c r="S50" s="41">
        <f t="shared" si="27"/>
        <v>500</v>
      </c>
      <c r="T50" s="42">
        <f t="shared" si="28"/>
        <v>500</v>
      </c>
      <c r="U50" s="43">
        <v>500</v>
      </c>
      <c r="V50" s="41">
        <f t="shared" si="50"/>
        <v>500</v>
      </c>
      <c r="W50" s="41">
        <f t="shared" si="50"/>
        <v>500</v>
      </c>
      <c r="X50" s="41">
        <f t="shared" si="50"/>
        <v>500</v>
      </c>
      <c r="Y50" s="42">
        <f t="shared" si="29"/>
        <v>500</v>
      </c>
      <c r="Z50" s="43">
        <v>500</v>
      </c>
      <c r="AA50" s="41">
        <v>500</v>
      </c>
      <c r="AB50" s="41">
        <f t="shared" si="46"/>
        <v>500</v>
      </c>
      <c r="AC50" s="41">
        <f t="shared" si="47"/>
        <v>500</v>
      </c>
      <c r="AD50" s="41">
        <f t="shared" si="46"/>
        <v>500</v>
      </c>
      <c r="AE50" s="72">
        <f t="shared" si="46"/>
        <v>500</v>
      </c>
      <c r="AF50" s="41">
        <f t="shared" si="46"/>
        <v>500</v>
      </c>
      <c r="AG50" s="41">
        <f t="shared" si="46"/>
        <v>500</v>
      </c>
      <c r="AH50" s="41">
        <f t="shared" si="46"/>
        <v>500</v>
      </c>
      <c r="AI50" s="41">
        <f t="shared" si="46"/>
        <v>500</v>
      </c>
      <c r="AJ50" s="72">
        <f t="shared" si="46"/>
        <v>500</v>
      </c>
      <c r="AK50" s="41">
        <f t="shared" si="32"/>
        <v>500</v>
      </c>
      <c r="AL50" s="41">
        <f t="shared" si="33"/>
        <v>500</v>
      </c>
      <c r="AM50" s="41">
        <f t="shared" si="34"/>
        <v>500</v>
      </c>
      <c r="AN50" s="41">
        <f t="shared" si="35"/>
        <v>500</v>
      </c>
      <c r="AO50" s="72">
        <f t="shared" si="35"/>
        <v>500</v>
      </c>
      <c r="AP50" s="41">
        <f t="shared" si="36"/>
        <v>500</v>
      </c>
      <c r="AQ50" s="41">
        <f t="shared" si="40"/>
        <v>500</v>
      </c>
      <c r="AR50" s="41">
        <f t="shared" si="38"/>
        <v>500</v>
      </c>
      <c r="AS50" s="446">
        <f t="shared" si="39"/>
        <v>500</v>
      </c>
      <c r="AT50" s="72">
        <f t="shared" si="42"/>
        <v>500</v>
      </c>
      <c r="AU50" s="41">
        <f t="shared" si="12"/>
        <v>500</v>
      </c>
      <c r="AV50" s="41">
        <f t="shared" si="13"/>
        <v>500</v>
      </c>
      <c r="AW50" s="41">
        <f t="shared" si="14"/>
        <v>500</v>
      </c>
      <c r="AX50" s="41">
        <f t="shared" si="15"/>
        <v>500</v>
      </c>
      <c r="AY50" s="72">
        <f t="shared" si="43"/>
        <v>500</v>
      </c>
      <c r="AZ50" s="41">
        <f t="shared" si="17"/>
        <v>500</v>
      </c>
      <c r="BA50" s="41">
        <f t="shared" si="18"/>
        <v>500</v>
      </c>
      <c r="BB50" s="41">
        <f t="shared" si="19"/>
        <v>500</v>
      </c>
      <c r="BC50" s="41">
        <f t="shared" si="20"/>
        <v>500</v>
      </c>
      <c r="BD50" s="72">
        <f t="shared" si="44"/>
        <v>500</v>
      </c>
      <c r="BE50" s="41">
        <f t="shared" si="22"/>
        <v>500</v>
      </c>
      <c r="BF50" s="41">
        <f t="shared" si="23"/>
        <v>500</v>
      </c>
      <c r="BG50" s="41">
        <f t="shared" si="24"/>
        <v>500</v>
      </c>
      <c r="BH50" s="41">
        <f t="shared" si="25"/>
        <v>500</v>
      </c>
      <c r="BI50" s="72">
        <f t="shared" si="45"/>
        <v>500</v>
      </c>
    </row>
    <row r="51" spans="1:61" s="26" customFormat="1">
      <c r="A51" s="3" t="s">
        <v>395</v>
      </c>
      <c r="B51" s="41"/>
      <c r="C51" s="41"/>
      <c r="D51" s="41"/>
      <c r="E51" s="42"/>
      <c r="F51" s="43"/>
      <c r="G51" s="41"/>
      <c r="H51" s="41"/>
      <c r="I51" s="41"/>
      <c r="J51" s="42"/>
      <c r="K51" s="43"/>
      <c r="L51" s="41"/>
      <c r="M51" s="41"/>
      <c r="N51" s="41"/>
      <c r="O51" s="42"/>
      <c r="P51" s="43">
        <v>125</v>
      </c>
      <c r="Q51" s="41">
        <f t="shared" si="27"/>
        <v>125</v>
      </c>
      <c r="R51" s="41">
        <f t="shared" si="27"/>
        <v>125</v>
      </c>
      <c r="S51" s="41">
        <f t="shared" si="27"/>
        <v>125</v>
      </c>
      <c r="T51" s="42">
        <f t="shared" si="28"/>
        <v>125</v>
      </c>
      <c r="U51" s="43">
        <v>125</v>
      </c>
      <c r="V51" s="41">
        <f t="shared" si="50"/>
        <v>125</v>
      </c>
      <c r="W51" s="41">
        <f t="shared" si="50"/>
        <v>125</v>
      </c>
      <c r="X51" s="41">
        <f t="shared" si="50"/>
        <v>125</v>
      </c>
      <c r="Y51" s="42">
        <f t="shared" si="29"/>
        <v>124.99</v>
      </c>
      <c r="Z51" s="43">
        <v>124.99</v>
      </c>
      <c r="AA51" s="41">
        <v>125</v>
      </c>
      <c r="AB51" s="41">
        <f t="shared" si="46"/>
        <v>125</v>
      </c>
      <c r="AC51" s="41">
        <f t="shared" si="47"/>
        <v>125</v>
      </c>
      <c r="AD51" s="41">
        <f t="shared" si="46"/>
        <v>125</v>
      </c>
      <c r="AE51" s="72">
        <f t="shared" si="46"/>
        <v>125</v>
      </c>
      <c r="AF51" s="41">
        <f t="shared" si="46"/>
        <v>125</v>
      </c>
      <c r="AG51" s="41">
        <f t="shared" si="46"/>
        <v>125</v>
      </c>
      <c r="AH51" s="41">
        <f t="shared" si="46"/>
        <v>125</v>
      </c>
      <c r="AI51" s="41">
        <f t="shared" si="46"/>
        <v>125</v>
      </c>
      <c r="AJ51" s="72">
        <f t="shared" si="46"/>
        <v>125</v>
      </c>
      <c r="AK51" s="41">
        <f t="shared" si="32"/>
        <v>125</v>
      </c>
      <c r="AL51" s="41">
        <f t="shared" si="33"/>
        <v>125</v>
      </c>
      <c r="AM51" s="41">
        <f t="shared" si="34"/>
        <v>125</v>
      </c>
      <c r="AN51" s="41">
        <f t="shared" si="35"/>
        <v>125</v>
      </c>
      <c r="AO51" s="72">
        <f t="shared" si="35"/>
        <v>125</v>
      </c>
      <c r="AP51" s="41">
        <f t="shared" si="36"/>
        <v>125</v>
      </c>
      <c r="AQ51" s="41">
        <f t="shared" si="40"/>
        <v>125</v>
      </c>
      <c r="AR51" s="41">
        <f t="shared" si="38"/>
        <v>125</v>
      </c>
      <c r="AS51" s="446">
        <f t="shared" si="39"/>
        <v>125</v>
      </c>
      <c r="AT51" s="72">
        <f t="shared" si="42"/>
        <v>125</v>
      </c>
      <c r="AU51" s="41">
        <f t="shared" si="12"/>
        <v>125</v>
      </c>
      <c r="AV51" s="41">
        <f t="shared" si="13"/>
        <v>125</v>
      </c>
      <c r="AW51" s="41">
        <f t="shared" si="14"/>
        <v>125</v>
      </c>
      <c r="AX51" s="41">
        <f t="shared" si="15"/>
        <v>125</v>
      </c>
      <c r="AY51" s="72">
        <f t="shared" si="43"/>
        <v>125</v>
      </c>
      <c r="AZ51" s="41">
        <f t="shared" si="17"/>
        <v>125</v>
      </c>
      <c r="BA51" s="41">
        <f t="shared" si="18"/>
        <v>125</v>
      </c>
      <c r="BB51" s="41">
        <f t="shared" si="19"/>
        <v>125</v>
      </c>
      <c r="BC51" s="41">
        <f t="shared" si="20"/>
        <v>125</v>
      </c>
      <c r="BD51" s="72">
        <f t="shared" si="44"/>
        <v>125</v>
      </c>
      <c r="BE51" s="41">
        <f t="shared" si="22"/>
        <v>125</v>
      </c>
      <c r="BF51" s="41">
        <f t="shared" si="23"/>
        <v>125</v>
      </c>
      <c r="BG51" s="41">
        <f t="shared" si="24"/>
        <v>125</v>
      </c>
      <c r="BH51" s="41">
        <f t="shared" si="25"/>
        <v>125</v>
      </c>
      <c r="BI51" s="72">
        <f t="shared" si="45"/>
        <v>125</v>
      </c>
    </row>
    <row r="52" spans="1:61" s="26" customFormat="1">
      <c r="A52" s="3" t="s">
        <v>396</v>
      </c>
      <c r="B52" s="41"/>
      <c r="C52" s="41"/>
      <c r="D52" s="41"/>
      <c r="E52" s="42"/>
      <c r="F52" s="43"/>
      <c r="G52" s="41"/>
      <c r="H52" s="41"/>
      <c r="I52" s="41"/>
      <c r="J52" s="42"/>
      <c r="K52" s="43"/>
      <c r="L52" s="41"/>
      <c r="M52" s="41"/>
      <c r="N52" s="41"/>
      <c r="O52" s="42"/>
      <c r="P52" s="43">
        <v>247</v>
      </c>
      <c r="Q52" s="41">
        <f t="shared" si="27"/>
        <v>247</v>
      </c>
      <c r="R52" s="41">
        <f t="shared" si="27"/>
        <v>247</v>
      </c>
      <c r="S52" s="41">
        <f t="shared" si="27"/>
        <v>247</v>
      </c>
      <c r="T52" s="42">
        <f t="shared" si="28"/>
        <v>247</v>
      </c>
      <c r="U52" s="43">
        <v>247</v>
      </c>
      <c r="V52" s="41">
        <f t="shared" si="50"/>
        <v>247</v>
      </c>
      <c r="W52" s="41">
        <f t="shared" si="50"/>
        <v>247</v>
      </c>
      <c r="X52" s="41">
        <f t="shared" si="50"/>
        <v>247</v>
      </c>
      <c r="Y52" s="42">
        <f t="shared" si="29"/>
        <v>249.79300000000001</v>
      </c>
      <c r="Z52" s="43">
        <v>249.79300000000001</v>
      </c>
      <c r="AA52" s="41">
        <v>250</v>
      </c>
      <c r="AB52" s="41">
        <f t="shared" si="46"/>
        <v>250</v>
      </c>
      <c r="AC52" s="41">
        <f t="shared" si="47"/>
        <v>250</v>
      </c>
      <c r="AD52" s="41">
        <f t="shared" si="46"/>
        <v>250</v>
      </c>
      <c r="AE52" s="72">
        <f t="shared" si="46"/>
        <v>250</v>
      </c>
      <c r="AF52" s="41">
        <f t="shared" si="46"/>
        <v>250</v>
      </c>
      <c r="AG52" s="41">
        <f t="shared" si="46"/>
        <v>250</v>
      </c>
      <c r="AH52" s="41">
        <f t="shared" si="46"/>
        <v>250</v>
      </c>
      <c r="AI52" s="41">
        <f t="shared" si="46"/>
        <v>250</v>
      </c>
      <c r="AJ52" s="72">
        <f t="shared" si="46"/>
        <v>250</v>
      </c>
      <c r="AK52" s="41">
        <f t="shared" si="32"/>
        <v>250</v>
      </c>
      <c r="AL52" s="41">
        <f t="shared" si="33"/>
        <v>250</v>
      </c>
      <c r="AM52" s="41">
        <f t="shared" si="34"/>
        <v>250</v>
      </c>
      <c r="AN52" s="41">
        <f t="shared" si="35"/>
        <v>250</v>
      </c>
      <c r="AO52" s="72">
        <f t="shared" si="35"/>
        <v>250</v>
      </c>
      <c r="AP52" s="41">
        <f t="shared" si="36"/>
        <v>250</v>
      </c>
      <c r="AQ52" s="41">
        <f t="shared" si="40"/>
        <v>250</v>
      </c>
      <c r="AR52" s="41">
        <f t="shared" si="38"/>
        <v>250</v>
      </c>
      <c r="AS52" s="446">
        <f t="shared" si="39"/>
        <v>250</v>
      </c>
      <c r="AT52" s="72">
        <f t="shared" si="42"/>
        <v>250</v>
      </c>
      <c r="AU52" s="41">
        <f t="shared" si="12"/>
        <v>250</v>
      </c>
      <c r="AV52" s="41">
        <f t="shared" si="13"/>
        <v>250</v>
      </c>
      <c r="AW52" s="41">
        <f t="shared" si="14"/>
        <v>250</v>
      </c>
      <c r="AX52" s="41">
        <f t="shared" si="15"/>
        <v>250</v>
      </c>
      <c r="AY52" s="72">
        <f t="shared" si="43"/>
        <v>250</v>
      </c>
      <c r="AZ52" s="41">
        <f t="shared" si="17"/>
        <v>250</v>
      </c>
      <c r="BA52" s="41">
        <f t="shared" si="18"/>
        <v>250</v>
      </c>
      <c r="BB52" s="41">
        <f t="shared" si="19"/>
        <v>250</v>
      </c>
      <c r="BC52" s="41">
        <f t="shared" si="20"/>
        <v>250</v>
      </c>
      <c r="BD52" s="72">
        <f t="shared" si="44"/>
        <v>250</v>
      </c>
      <c r="BE52" s="41">
        <f t="shared" si="22"/>
        <v>250</v>
      </c>
      <c r="BF52" s="41">
        <f t="shared" si="23"/>
        <v>250</v>
      </c>
      <c r="BG52" s="543">
        <v>0</v>
      </c>
      <c r="BH52" s="41">
        <f t="shared" si="25"/>
        <v>0</v>
      </c>
      <c r="BI52" s="72">
        <f t="shared" si="45"/>
        <v>0</v>
      </c>
    </row>
    <row r="53" spans="1:61" s="26" customFormat="1">
      <c r="A53" s="3" t="s">
        <v>397</v>
      </c>
      <c r="B53" s="41"/>
      <c r="C53" s="41"/>
      <c r="D53" s="41"/>
      <c r="E53" s="42"/>
      <c r="F53" s="43"/>
      <c r="G53" s="41"/>
      <c r="H53" s="41"/>
      <c r="I53" s="41"/>
      <c r="J53" s="42"/>
      <c r="K53" s="43"/>
      <c r="L53" s="41"/>
      <c r="M53" s="41"/>
      <c r="N53" s="41"/>
      <c r="O53" s="42"/>
      <c r="P53" s="43">
        <v>100</v>
      </c>
      <c r="Q53" s="41">
        <f t="shared" si="27"/>
        <v>100</v>
      </c>
      <c r="R53" s="41">
        <f t="shared" si="27"/>
        <v>100</v>
      </c>
      <c r="S53" s="41">
        <f t="shared" si="27"/>
        <v>100</v>
      </c>
      <c r="T53" s="42">
        <f t="shared" si="28"/>
        <v>100</v>
      </c>
      <c r="U53" s="43">
        <v>100</v>
      </c>
      <c r="V53" s="41">
        <f t="shared" si="50"/>
        <v>100</v>
      </c>
      <c r="W53" s="41">
        <f t="shared" si="50"/>
        <v>100</v>
      </c>
      <c r="X53" s="41">
        <f t="shared" si="50"/>
        <v>100</v>
      </c>
      <c r="Y53" s="42">
        <f t="shared" si="29"/>
        <v>99.99</v>
      </c>
      <c r="Z53" s="43">
        <v>99.99</v>
      </c>
      <c r="AA53" s="41">
        <v>100</v>
      </c>
      <c r="AB53" s="41">
        <f t="shared" si="46"/>
        <v>100</v>
      </c>
      <c r="AC53" s="41">
        <f t="shared" si="47"/>
        <v>100</v>
      </c>
      <c r="AD53" s="41">
        <f t="shared" si="46"/>
        <v>100</v>
      </c>
      <c r="AE53" s="72">
        <f t="shared" si="46"/>
        <v>100</v>
      </c>
      <c r="AF53" s="41">
        <f t="shared" si="46"/>
        <v>100</v>
      </c>
      <c r="AG53" s="41">
        <f t="shared" si="46"/>
        <v>100</v>
      </c>
      <c r="AH53" s="41">
        <f t="shared" si="46"/>
        <v>100</v>
      </c>
      <c r="AI53" s="41">
        <f t="shared" si="46"/>
        <v>100</v>
      </c>
      <c r="AJ53" s="72">
        <f t="shared" si="46"/>
        <v>100</v>
      </c>
      <c r="AK53" s="41">
        <f t="shared" si="32"/>
        <v>100</v>
      </c>
      <c r="AL53" s="41">
        <f t="shared" si="33"/>
        <v>100</v>
      </c>
      <c r="AM53" s="41">
        <f t="shared" si="34"/>
        <v>100</v>
      </c>
      <c r="AN53" s="41">
        <f t="shared" si="35"/>
        <v>100</v>
      </c>
      <c r="AO53" s="72">
        <f t="shared" si="35"/>
        <v>100</v>
      </c>
      <c r="AP53" s="41">
        <f t="shared" si="36"/>
        <v>100</v>
      </c>
      <c r="AQ53" s="41">
        <f t="shared" si="40"/>
        <v>100</v>
      </c>
      <c r="AR53" s="41">
        <f t="shared" si="38"/>
        <v>100</v>
      </c>
      <c r="AS53" s="446">
        <f t="shared" si="39"/>
        <v>100</v>
      </c>
      <c r="AT53" s="72">
        <f t="shared" si="42"/>
        <v>100</v>
      </c>
      <c r="AU53" s="41">
        <f t="shared" si="12"/>
        <v>100</v>
      </c>
      <c r="AV53" s="41">
        <f t="shared" si="13"/>
        <v>100</v>
      </c>
      <c r="AW53" s="41">
        <f t="shared" si="14"/>
        <v>100</v>
      </c>
      <c r="AX53" s="41">
        <f t="shared" si="15"/>
        <v>100</v>
      </c>
      <c r="AY53" s="72">
        <f t="shared" si="43"/>
        <v>100</v>
      </c>
      <c r="AZ53" s="41">
        <f t="shared" si="17"/>
        <v>100</v>
      </c>
      <c r="BA53" s="41">
        <f t="shared" si="18"/>
        <v>100</v>
      </c>
      <c r="BB53" s="41">
        <f t="shared" si="19"/>
        <v>100</v>
      </c>
      <c r="BC53" s="41">
        <f t="shared" si="20"/>
        <v>100</v>
      </c>
      <c r="BD53" s="72">
        <f t="shared" si="44"/>
        <v>100</v>
      </c>
      <c r="BE53" s="41">
        <f t="shared" si="22"/>
        <v>100</v>
      </c>
      <c r="BF53" s="41">
        <f t="shared" si="23"/>
        <v>100</v>
      </c>
      <c r="BG53" s="41">
        <f t="shared" si="24"/>
        <v>100</v>
      </c>
      <c r="BH53" s="41">
        <f t="shared" si="25"/>
        <v>100</v>
      </c>
      <c r="BI53" s="72">
        <f t="shared" si="45"/>
        <v>100</v>
      </c>
    </row>
    <row r="54" spans="1:61" s="26" customFormat="1">
      <c r="A54" s="3" t="s">
        <v>398</v>
      </c>
      <c r="B54" s="41"/>
      <c r="C54" s="41"/>
      <c r="D54" s="41"/>
      <c r="E54" s="42"/>
      <c r="F54" s="43"/>
      <c r="G54" s="41"/>
      <c r="H54" s="41"/>
      <c r="I54" s="41"/>
      <c r="J54" s="42"/>
      <c r="K54" s="43"/>
      <c r="L54" s="41"/>
      <c r="M54" s="41"/>
      <c r="N54" s="41"/>
      <c r="O54" s="42"/>
      <c r="P54" s="43">
        <v>175</v>
      </c>
      <c r="Q54" s="41">
        <f t="shared" si="27"/>
        <v>175</v>
      </c>
      <c r="R54" s="41">
        <f t="shared" si="27"/>
        <v>175</v>
      </c>
      <c r="S54" s="41">
        <f t="shared" si="27"/>
        <v>175</v>
      </c>
      <c r="T54" s="42">
        <f t="shared" si="28"/>
        <v>175</v>
      </c>
      <c r="U54" s="43">
        <v>175</v>
      </c>
      <c r="V54" s="41">
        <f t="shared" si="50"/>
        <v>175</v>
      </c>
      <c r="W54" s="41">
        <f t="shared" si="50"/>
        <v>175</v>
      </c>
      <c r="X54" s="41">
        <f t="shared" si="50"/>
        <v>175</v>
      </c>
      <c r="Y54" s="42">
        <f t="shared" si="29"/>
        <v>175</v>
      </c>
      <c r="Z54" s="43">
        <v>175</v>
      </c>
      <c r="AA54" s="41">
        <v>175</v>
      </c>
      <c r="AB54" s="41">
        <f t="shared" si="46"/>
        <v>175</v>
      </c>
      <c r="AC54" s="41">
        <f t="shared" si="47"/>
        <v>175</v>
      </c>
      <c r="AD54" s="41">
        <f t="shared" si="46"/>
        <v>175</v>
      </c>
      <c r="AE54" s="72">
        <f t="shared" ref="AE54:AJ64" si="51">AD54</f>
        <v>175</v>
      </c>
      <c r="AF54" s="41">
        <f t="shared" si="51"/>
        <v>175</v>
      </c>
      <c r="AG54" s="41">
        <f t="shared" si="51"/>
        <v>175</v>
      </c>
      <c r="AH54" s="41">
        <f t="shared" si="51"/>
        <v>175</v>
      </c>
      <c r="AI54" s="41">
        <f t="shared" si="51"/>
        <v>175</v>
      </c>
      <c r="AJ54" s="72">
        <f t="shared" si="51"/>
        <v>175</v>
      </c>
      <c r="AK54" s="41">
        <f t="shared" si="32"/>
        <v>175</v>
      </c>
      <c r="AL54" s="41">
        <f t="shared" si="33"/>
        <v>175</v>
      </c>
      <c r="AM54" s="41">
        <f t="shared" si="34"/>
        <v>175</v>
      </c>
      <c r="AN54" s="41">
        <f t="shared" si="35"/>
        <v>175</v>
      </c>
      <c r="AO54" s="72">
        <f t="shared" si="35"/>
        <v>175</v>
      </c>
      <c r="AP54" s="41">
        <f t="shared" si="36"/>
        <v>175</v>
      </c>
      <c r="AQ54" s="41">
        <f t="shared" si="40"/>
        <v>175</v>
      </c>
      <c r="AR54" s="41">
        <f t="shared" si="38"/>
        <v>175</v>
      </c>
      <c r="AS54" s="446">
        <f t="shared" si="39"/>
        <v>175</v>
      </c>
      <c r="AT54" s="72">
        <f t="shared" si="42"/>
        <v>175</v>
      </c>
      <c r="AU54" s="41">
        <f t="shared" si="12"/>
        <v>175</v>
      </c>
      <c r="AV54" s="41">
        <f t="shared" si="13"/>
        <v>175</v>
      </c>
      <c r="AW54" s="41">
        <f t="shared" si="14"/>
        <v>175</v>
      </c>
      <c r="AX54" s="41">
        <f t="shared" si="15"/>
        <v>175</v>
      </c>
      <c r="AY54" s="72">
        <f t="shared" si="43"/>
        <v>175</v>
      </c>
      <c r="AZ54" s="41">
        <f t="shared" si="17"/>
        <v>175</v>
      </c>
      <c r="BA54" s="41">
        <f t="shared" si="18"/>
        <v>175</v>
      </c>
      <c r="BB54" s="41">
        <f t="shared" si="19"/>
        <v>175</v>
      </c>
      <c r="BC54" s="41">
        <f t="shared" si="20"/>
        <v>175</v>
      </c>
      <c r="BD54" s="72">
        <f t="shared" si="44"/>
        <v>175</v>
      </c>
      <c r="BE54" s="41">
        <f t="shared" si="22"/>
        <v>175</v>
      </c>
      <c r="BF54" s="41">
        <f t="shared" si="23"/>
        <v>175</v>
      </c>
      <c r="BG54" s="41">
        <f t="shared" si="24"/>
        <v>175</v>
      </c>
      <c r="BH54" s="41">
        <f t="shared" si="25"/>
        <v>175</v>
      </c>
      <c r="BI54" s="72">
        <f t="shared" si="45"/>
        <v>175</v>
      </c>
    </row>
    <row r="55" spans="1:61" s="26" customFormat="1">
      <c r="A55" s="3" t="s">
        <v>399</v>
      </c>
      <c r="B55" s="41"/>
      <c r="C55" s="41"/>
      <c r="D55" s="41"/>
      <c r="E55" s="42"/>
      <c r="F55" s="43"/>
      <c r="G55" s="41"/>
      <c r="H55" s="41"/>
      <c r="I55" s="41"/>
      <c r="J55" s="42"/>
      <c r="K55" s="43"/>
      <c r="L55" s="41"/>
      <c r="M55" s="41"/>
      <c r="N55" s="41"/>
      <c r="O55" s="42"/>
      <c r="P55" s="43">
        <v>299.88</v>
      </c>
      <c r="Q55" s="41">
        <f t="shared" si="27"/>
        <v>299.88</v>
      </c>
      <c r="R55" s="41">
        <f t="shared" si="27"/>
        <v>299.88</v>
      </c>
      <c r="S55" s="41">
        <f t="shared" si="27"/>
        <v>299.88</v>
      </c>
      <c r="T55" s="42">
        <f t="shared" si="28"/>
        <v>299.88</v>
      </c>
      <c r="U55" s="43">
        <v>299.88</v>
      </c>
      <c r="V55" s="41">
        <f t="shared" si="50"/>
        <v>299.88</v>
      </c>
      <c r="W55" s="41">
        <f t="shared" si="50"/>
        <v>299.88</v>
      </c>
      <c r="X55" s="41">
        <f t="shared" si="50"/>
        <v>299.88</v>
      </c>
      <c r="Y55" s="42">
        <f t="shared" si="29"/>
        <v>299.88</v>
      </c>
      <c r="Z55" s="43">
        <v>299.88</v>
      </c>
      <c r="AA55" s="41">
        <v>300</v>
      </c>
      <c r="AB55" s="41">
        <f t="shared" ref="AB55:AD59" si="52">AA55</f>
        <v>300</v>
      </c>
      <c r="AC55" s="41">
        <f t="shared" si="52"/>
        <v>300</v>
      </c>
      <c r="AD55" s="41">
        <f t="shared" si="52"/>
        <v>300</v>
      </c>
      <c r="AE55" s="72">
        <f t="shared" si="51"/>
        <v>300</v>
      </c>
      <c r="AF55" s="41">
        <f t="shared" si="51"/>
        <v>300</v>
      </c>
      <c r="AG55" s="41">
        <f t="shared" si="51"/>
        <v>300</v>
      </c>
      <c r="AH55" s="41">
        <f t="shared" si="51"/>
        <v>300</v>
      </c>
      <c r="AI55" s="41">
        <f t="shared" si="51"/>
        <v>300</v>
      </c>
      <c r="AJ55" s="72">
        <f t="shared" si="51"/>
        <v>300</v>
      </c>
      <c r="AK55" s="41">
        <f t="shared" si="32"/>
        <v>300</v>
      </c>
      <c r="AL55" s="41">
        <f t="shared" si="33"/>
        <v>300</v>
      </c>
      <c r="AM55" s="41">
        <f t="shared" si="34"/>
        <v>300</v>
      </c>
      <c r="AN55" s="41">
        <f t="shared" si="35"/>
        <v>300</v>
      </c>
      <c r="AO55" s="72">
        <f t="shared" si="35"/>
        <v>300</v>
      </c>
      <c r="AP55" s="41">
        <f t="shared" si="36"/>
        <v>300</v>
      </c>
      <c r="AQ55" s="41">
        <f t="shared" si="40"/>
        <v>300</v>
      </c>
      <c r="AR55" s="41">
        <f t="shared" si="38"/>
        <v>300</v>
      </c>
      <c r="AS55" s="446">
        <f t="shared" si="39"/>
        <v>300</v>
      </c>
      <c r="AT55" s="72">
        <f t="shared" si="42"/>
        <v>300</v>
      </c>
      <c r="AU55" s="41">
        <f t="shared" si="12"/>
        <v>300</v>
      </c>
      <c r="AV55" s="41">
        <f t="shared" si="13"/>
        <v>300</v>
      </c>
      <c r="AW55" s="528">
        <v>0</v>
      </c>
      <c r="AX55" s="41">
        <f>AW55</f>
        <v>0</v>
      </c>
      <c r="AY55" s="72">
        <f t="shared" si="43"/>
        <v>0</v>
      </c>
      <c r="AZ55" s="41">
        <f t="shared" si="17"/>
        <v>0</v>
      </c>
      <c r="BA55" s="41">
        <f t="shared" si="18"/>
        <v>0</v>
      </c>
      <c r="BB55" s="41">
        <f t="shared" si="19"/>
        <v>0</v>
      </c>
      <c r="BC55" s="41">
        <f t="shared" si="20"/>
        <v>0</v>
      </c>
      <c r="BD55" s="72">
        <f t="shared" si="44"/>
        <v>0</v>
      </c>
      <c r="BE55" s="41">
        <f t="shared" si="22"/>
        <v>0</v>
      </c>
      <c r="BF55" s="41">
        <f t="shared" si="23"/>
        <v>0</v>
      </c>
      <c r="BG55" s="41">
        <f t="shared" si="24"/>
        <v>0</v>
      </c>
      <c r="BH55" s="41">
        <f t="shared" si="25"/>
        <v>0</v>
      </c>
      <c r="BI55" s="72">
        <f t="shared" si="45"/>
        <v>0</v>
      </c>
    </row>
    <row r="56" spans="1:61" s="26" customFormat="1">
      <c r="A56" s="3" t="s">
        <v>400</v>
      </c>
      <c r="B56" s="41"/>
      <c r="C56" s="41"/>
      <c r="D56" s="41"/>
      <c r="E56" s="42"/>
      <c r="F56" s="43"/>
      <c r="G56" s="41"/>
      <c r="H56" s="41"/>
      <c r="I56" s="41"/>
      <c r="J56" s="42"/>
      <c r="K56" s="43"/>
      <c r="L56" s="41"/>
      <c r="M56" s="41"/>
      <c r="N56" s="41"/>
      <c r="O56" s="42"/>
      <c r="P56" s="43">
        <v>175</v>
      </c>
      <c r="Q56" s="41">
        <f t="shared" si="27"/>
        <v>175</v>
      </c>
      <c r="R56" s="41">
        <f t="shared" si="27"/>
        <v>175</v>
      </c>
      <c r="S56" s="41">
        <f t="shared" si="27"/>
        <v>175</v>
      </c>
      <c r="T56" s="42">
        <f t="shared" si="28"/>
        <v>175</v>
      </c>
      <c r="U56" s="43">
        <v>175</v>
      </c>
      <c r="V56" s="41">
        <f t="shared" si="50"/>
        <v>175</v>
      </c>
      <c r="W56" s="41">
        <f t="shared" si="50"/>
        <v>175</v>
      </c>
      <c r="X56" s="41">
        <f t="shared" si="50"/>
        <v>175</v>
      </c>
      <c r="Y56" s="42">
        <f t="shared" si="29"/>
        <v>175</v>
      </c>
      <c r="Z56" s="43">
        <v>175</v>
      </c>
      <c r="AA56" s="41">
        <v>175</v>
      </c>
      <c r="AB56" s="41">
        <f t="shared" si="52"/>
        <v>175</v>
      </c>
      <c r="AC56" s="41">
        <f t="shared" si="52"/>
        <v>175</v>
      </c>
      <c r="AD56" s="41">
        <f t="shared" si="52"/>
        <v>175</v>
      </c>
      <c r="AE56" s="72">
        <f t="shared" si="51"/>
        <v>175</v>
      </c>
      <c r="AF56" s="41">
        <f t="shared" si="51"/>
        <v>175</v>
      </c>
      <c r="AG56" s="41">
        <f t="shared" si="51"/>
        <v>175</v>
      </c>
      <c r="AH56" s="41">
        <f t="shared" si="51"/>
        <v>175</v>
      </c>
      <c r="AI56" s="41">
        <f t="shared" si="51"/>
        <v>175</v>
      </c>
      <c r="AJ56" s="72">
        <f t="shared" si="51"/>
        <v>175</v>
      </c>
      <c r="AK56" s="41">
        <f t="shared" si="32"/>
        <v>175</v>
      </c>
      <c r="AL56" s="41">
        <f t="shared" si="33"/>
        <v>175</v>
      </c>
      <c r="AM56" s="41">
        <f t="shared" si="34"/>
        <v>175</v>
      </c>
      <c r="AN56" s="41">
        <f t="shared" si="35"/>
        <v>175</v>
      </c>
      <c r="AO56" s="72">
        <f t="shared" si="35"/>
        <v>175</v>
      </c>
      <c r="AP56" s="41">
        <f t="shared" si="36"/>
        <v>175</v>
      </c>
      <c r="AQ56" s="41">
        <f t="shared" si="40"/>
        <v>175</v>
      </c>
      <c r="AR56" s="41">
        <f t="shared" si="38"/>
        <v>175</v>
      </c>
      <c r="AS56" s="446">
        <f t="shared" si="39"/>
        <v>175</v>
      </c>
      <c r="AT56" s="72">
        <f t="shared" si="42"/>
        <v>175</v>
      </c>
      <c r="AU56" s="41">
        <f t="shared" si="12"/>
        <v>175</v>
      </c>
      <c r="AV56" s="41">
        <f t="shared" si="13"/>
        <v>175</v>
      </c>
      <c r="AW56" s="41">
        <f t="shared" si="14"/>
        <v>175</v>
      </c>
      <c r="AX56" s="41">
        <f t="shared" si="15"/>
        <v>175</v>
      </c>
      <c r="AY56" s="72">
        <f t="shared" si="43"/>
        <v>175</v>
      </c>
      <c r="AZ56" s="41">
        <f t="shared" si="17"/>
        <v>175</v>
      </c>
      <c r="BA56" s="41">
        <f t="shared" si="18"/>
        <v>175</v>
      </c>
      <c r="BB56" s="41">
        <f t="shared" si="19"/>
        <v>175</v>
      </c>
      <c r="BC56" s="41">
        <f t="shared" si="20"/>
        <v>175</v>
      </c>
      <c r="BD56" s="72">
        <f t="shared" si="44"/>
        <v>175</v>
      </c>
      <c r="BE56" s="41">
        <f t="shared" si="22"/>
        <v>175</v>
      </c>
      <c r="BF56" s="41">
        <f t="shared" si="23"/>
        <v>175</v>
      </c>
      <c r="BG56" s="41">
        <f t="shared" si="24"/>
        <v>175</v>
      </c>
      <c r="BH56" s="41">
        <f t="shared" si="25"/>
        <v>175</v>
      </c>
      <c r="BI56" s="72">
        <f t="shared" si="45"/>
        <v>175</v>
      </c>
    </row>
    <row r="57" spans="1:61" s="26" customFormat="1">
      <c r="A57" s="3" t="s">
        <v>401</v>
      </c>
      <c r="B57" s="41"/>
      <c r="C57" s="41"/>
      <c r="D57" s="41"/>
      <c r="E57" s="42"/>
      <c r="F57" s="43"/>
      <c r="G57" s="41"/>
      <c r="H57" s="41"/>
      <c r="I57" s="41"/>
      <c r="J57" s="42"/>
      <c r="K57" s="43"/>
      <c r="L57" s="41"/>
      <c r="M57" s="41"/>
      <c r="N57" s="41"/>
      <c r="O57" s="42"/>
      <c r="P57" s="43">
        <v>248</v>
      </c>
      <c r="Q57" s="41">
        <f t="shared" si="27"/>
        <v>248</v>
      </c>
      <c r="R57" s="41">
        <f t="shared" si="27"/>
        <v>248</v>
      </c>
      <c r="S57" s="41">
        <f t="shared" si="27"/>
        <v>248</v>
      </c>
      <c r="T57" s="42">
        <f t="shared" si="28"/>
        <v>248</v>
      </c>
      <c r="U57" s="43">
        <v>248</v>
      </c>
      <c r="V57" s="41">
        <f t="shared" si="50"/>
        <v>248</v>
      </c>
      <c r="W57" s="41">
        <f t="shared" si="50"/>
        <v>248</v>
      </c>
      <c r="X57" s="41">
        <f t="shared" si="50"/>
        <v>248</v>
      </c>
      <c r="Y57" s="42">
        <f t="shared" si="29"/>
        <v>249.98</v>
      </c>
      <c r="Z57" s="43">
        <v>249.98</v>
      </c>
      <c r="AA57" s="41">
        <v>250</v>
      </c>
      <c r="AB57" s="41">
        <f t="shared" si="52"/>
        <v>250</v>
      </c>
      <c r="AC57" s="41">
        <f t="shared" si="52"/>
        <v>250</v>
      </c>
      <c r="AD57" s="41">
        <f t="shared" si="52"/>
        <v>250</v>
      </c>
      <c r="AE57" s="72">
        <f t="shared" si="51"/>
        <v>250</v>
      </c>
      <c r="AF57" s="41">
        <f t="shared" si="51"/>
        <v>250</v>
      </c>
      <c r="AG57" s="41">
        <f t="shared" si="51"/>
        <v>250</v>
      </c>
      <c r="AH57" s="41">
        <f t="shared" si="51"/>
        <v>250</v>
      </c>
      <c r="AI57" s="41">
        <f t="shared" si="51"/>
        <v>250</v>
      </c>
      <c r="AJ57" s="72">
        <f t="shared" si="51"/>
        <v>250</v>
      </c>
      <c r="AK57" s="41">
        <f t="shared" si="32"/>
        <v>250</v>
      </c>
      <c r="AL57" s="41">
        <f t="shared" si="33"/>
        <v>250</v>
      </c>
      <c r="AM57" s="41">
        <f t="shared" si="34"/>
        <v>250</v>
      </c>
      <c r="AN57" s="41">
        <f t="shared" si="35"/>
        <v>250</v>
      </c>
      <c r="AO57" s="72">
        <f t="shared" si="35"/>
        <v>250</v>
      </c>
      <c r="AP57" s="41">
        <f t="shared" si="36"/>
        <v>250</v>
      </c>
      <c r="AQ57" s="41">
        <f t="shared" si="40"/>
        <v>250</v>
      </c>
      <c r="AR57" s="41">
        <f t="shared" si="38"/>
        <v>250</v>
      </c>
      <c r="AS57" s="446">
        <f t="shared" si="39"/>
        <v>250</v>
      </c>
      <c r="AT57" s="72">
        <f t="shared" si="42"/>
        <v>250</v>
      </c>
      <c r="AU57" s="41">
        <f t="shared" si="12"/>
        <v>250</v>
      </c>
      <c r="AV57" s="41">
        <f t="shared" si="13"/>
        <v>250</v>
      </c>
      <c r="AW57" s="41">
        <f t="shared" si="14"/>
        <v>250</v>
      </c>
      <c r="AX57" s="41">
        <f t="shared" si="15"/>
        <v>250</v>
      </c>
      <c r="AY57" s="72">
        <f t="shared" si="43"/>
        <v>250</v>
      </c>
      <c r="AZ57" s="41">
        <f t="shared" si="17"/>
        <v>250</v>
      </c>
      <c r="BA57" s="41">
        <f t="shared" si="18"/>
        <v>250</v>
      </c>
      <c r="BB57" s="41">
        <f t="shared" si="19"/>
        <v>250</v>
      </c>
      <c r="BC57" s="41">
        <f t="shared" si="20"/>
        <v>250</v>
      </c>
      <c r="BD57" s="72">
        <f t="shared" si="44"/>
        <v>250</v>
      </c>
      <c r="BE57" s="41">
        <f t="shared" si="22"/>
        <v>250</v>
      </c>
      <c r="BF57" s="41">
        <f t="shared" si="23"/>
        <v>250</v>
      </c>
      <c r="BG57" s="41">
        <f t="shared" si="24"/>
        <v>250</v>
      </c>
      <c r="BH57" s="41">
        <f t="shared" si="25"/>
        <v>250</v>
      </c>
      <c r="BI57" s="72">
        <f t="shared" si="45"/>
        <v>250</v>
      </c>
    </row>
    <row r="58" spans="1:61" s="26" customFormat="1">
      <c r="A58" s="3" t="s">
        <v>402</v>
      </c>
      <c r="B58" s="41"/>
      <c r="C58" s="41"/>
      <c r="D58" s="41"/>
      <c r="E58" s="42"/>
      <c r="F58" s="43"/>
      <c r="G58" s="41"/>
      <c r="H58" s="41"/>
      <c r="I58" s="41"/>
      <c r="J58" s="42"/>
      <c r="K58" s="43"/>
      <c r="L58" s="41"/>
      <c r="M58" s="41"/>
      <c r="N58" s="41"/>
      <c r="O58" s="42"/>
      <c r="P58" s="43">
        <v>398</v>
      </c>
      <c r="Q58" s="41">
        <f t="shared" si="27"/>
        <v>398</v>
      </c>
      <c r="R58" s="41">
        <f t="shared" si="27"/>
        <v>398</v>
      </c>
      <c r="S58" s="41">
        <f t="shared" si="27"/>
        <v>398</v>
      </c>
      <c r="T58" s="42">
        <f t="shared" si="28"/>
        <v>398</v>
      </c>
      <c r="U58" s="43">
        <v>398</v>
      </c>
      <c r="V58" s="41">
        <f t="shared" si="50"/>
        <v>398</v>
      </c>
      <c r="W58" s="41">
        <f t="shared" si="50"/>
        <v>398</v>
      </c>
      <c r="X58" s="41">
        <f t="shared" si="50"/>
        <v>398</v>
      </c>
      <c r="Y58" s="42">
        <f t="shared" si="29"/>
        <v>399.964</v>
      </c>
      <c r="Z58" s="43">
        <v>399.964</v>
      </c>
      <c r="AA58" s="41">
        <v>400</v>
      </c>
      <c r="AB58" s="41">
        <f t="shared" si="52"/>
        <v>400</v>
      </c>
      <c r="AC58" s="41">
        <f t="shared" si="52"/>
        <v>400</v>
      </c>
      <c r="AD58" s="41">
        <f t="shared" si="52"/>
        <v>400</v>
      </c>
      <c r="AE58" s="72">
        <f t="shared" si="51"/>
        <v>400</v>
      </c>
      <c r="AF58" s="41">
        <f t="shared" si="51"/>
        <v>400</v>
      </c>
      <c r="AG58" s="41">
        <f t="shared" si="51"/>
        <v>400</v>
      </c>
      <c r="AH58" s="41">
        <f>AG58-400</f>
        <v>0</v>
      </c>
      <c r="AI58" s="41">
        <f t="shared" si="51"/>
        <v>0</v>
      </c>
      <c r="AJ58" s="72">
        <f t="shared" si="51"/>
        <v>0</v>
      </c>
      <c r="AK58" s="41">
        <f t="shared" si="32"/>
        <v>0</v>
      </c>
      <c r="AL58" s="41">
        <f t="shared" si="33"/>
        <v>0</v>
      </c>
      <c r="AM58" s="41">
        <f t="shared" si="34"/>
        <v>0</v>
      </c>
      <c r="AN58" s="41">
        <f t="shared" si="35"/>
        <v>0</v>
      </c>
      <c r="AO58" s="72">
        <f t="shared" si="35"/>
        <v>0</v>
      </c>
      <c r="AP58" s="41">
        <f t="shared" si="36"/>
        <v>0</v>
      </c>
      <c r="AQ58" s="41">
        <f t="shared" si="40"/>
        <v>0</v>
      </c>
      <c r="AR58" s="41">
        <f t="shared" si="38"/>
        <v>0</v>
      </c>
      <c r="AS58" s="446">
        <f t="shared" si="39"/>
        <v>0</v>
      </c>
      <c r="AT58" s="72">
        <f t="shared" si="42"/>
        <v>0</v>
      </c>
      <c r="AU58" s="41">
        <f t="shared" si="12"/>
        <v>0</v>
      </c>
      <c r="AV58" s="41">
        <f t="shared" si="13"/>
        <v>0</v>
      </c>
      <c r="AW58" s="41">
        <f t="shared" si="14"/>
        <v>0</v>
      </c>
      <c r="AX58" s="41">
        <f t="shared" si="15"/>
        <v>0</v>
      </c>
      <c r="AY58" s="72">
        <f t="shared" si="43"/>
        <v>0</v>
      </c>
      <c r="AZ58" s="41">
        <f t="shared" si="17"/>
        <v>0</v>
      </c>
      <c r="BA58" s="41">
        <f t="shared" si="18"/>
        <v>0</v>
      </c>
      <c r="BB58" s="41">
        <f t="shared" si="19"/>
        <v>0</v>
      </c>
      <c r="BC58" s="41">
        <f t="shared" si="20"/>
        <v>0</v>
      </c>
      <c r="BD58" s="72">
        <f t="shared" si="44"/>
        <v>0</v>
      </c>
      <c r="BE58" s="41">
        <f t="shared" si="22"/>
        <v>0</v>
      </c>
      <c r="BF58" s="41">
        <f t="shared" si="23"/>
        <v>0</v>
      </c>
      <c r="BG58" s="41">
        <f t="shared" si="24"/>
        <v>0</v>
      </c>
      <c r="BH58" s="41">
        <f t="shared" si="25"/>
        <v>0</v>
      </c>
      <c r="BI58" s="72">
        <f t="shared" si="45"/>
        <v>0</v>
      </c>
    </row>
    <row r="59" spans="1:61" s="26" customFormat="1">
      <c r="A59" s="3" t="s">
        <v>403</v>
      </c>
      <c r="B59" s="41"/>
      <c r="C59" s="41"/>
      <c r="D59" s="41"/>
      <c r="E59" s="42"/>
      <c r="F59" s="43"/>
      <c r="G59" s="41"/>
      <c r="H59" s="41"/>
      <c r="I59" s="41"/>
      <c r="J59" s="42"/>
      <c r="K59" s="43"/>
      <c r="L59" s="41"/>
      <c r="M59" s="41"/>
      <c r="N59" s="41"/>
      <c r="O59" s="42"/>
      <c r="P59" s="43">
        <v>0</v>
      </c>
      <c r="Q59" s="41">
        <v>0</v>
      </c>
      <c r="R59" s="41">
        <v>0</v>
      </c>
      <c r="S59" s="41">
        <v>0</v>
      </c>
      <c r="T59" s="42">
        <f t="shared" si="28"/>
        <v>0</v>
      </c>
      <c r="U59" s="43">
        <v>0</v>
      </c>
      <c r="V59" s="41">
        <v>0</v>
      </c>
      <c r="W59" s="41">
        <v>0</v>
      </c>
      <c r="X59" s="41">
        <f>W59</f>
        <v>0</v>
      </c>
      <c r="Y59" s="42">
        <f t="shared" si="29"/>
        <v>0</v>
      </c>
      <c r="Z59" s="43">
        <v>0</v>
      </c>
      <c r="AA59" s="41">
        <v>13825</v>
      </c>
      <c r="AB59" s="41">
        <f t="shared" si="52"/>
        <v>13825</v>
      </c>
      <c r="AC59" s="41">
        <f t="shared" si="52"/>
        <v>13825</v>
      </c>
      <c r="AD59" s="41">
        <f t="shared" si="52"/>
        <v>13825</v>
      </c>
      <c r="AE59" s="72">
        <f t="shared" si="51"/>
        <v>13825</v>
      </c>
      <c r="AF59" s="41">
        <f>AE59-9847</f>
        <v>3978</v>
      </c>
      <c r="AG59" s="41">
        <v>0</v>
      </c>
      <c r="AH59" s="41">
        <f t="shared" si="51"/>
        <v>0</v>
      </c>
      <c r="AI59" s="41">
        <f t="shared" si="51"/>
        <v>0</v>
      </c>
      <c r="AJ59" s="72">
        <f t="shared" si="51"/>
        <v>0</v>
      </c>
      <c r="AK59" s="41">
        <f t="shared" si="32"/>
        <v>0</v>
      </c>
      <c r="AL59" s="41">
        <f t="shared" si="33"/>
        <v>0</v>
      </c>
      <c r="AM59" s="41">
        <f t="shared" si="34"/>
        <v>0</v>
      </c>
      <c r="AN59" s="41">
        <f t="shared" si="35"/>
        <v>0</v>
      </c>
      <c r="AO59" s="72">
        <f t="shared" si="35"/>
        <v>0</v>
      </c>
      <c r="AP59" s="41">
        <f t="shared" si="36"/>
        <v>0</v>
      </c>
      <c r="AQ59" s="41">
        <f t="shared" si="40"/>
        <v>0</v>
      </c>
      <c r="AR59" s="41">
        <f t="shared" si="38"/>
        <v>0</v>
      </c>
      <c r="AS59" s="446">
        <f t="shared" si="39"/>
        <v>0</v>
      </c>
      <c r="AT59" s="72">
        <f t="shared" si="42"/>
        <v>0</v>
      </c>
      <c r="AU59" s="41">
        <f t="shared" si="12"/>
        <v>0</v>
      </c>
      <c r="AV59" s="41">
        <f t="shared" si="13"/>
        <v>0</v>
      </c>
      <c r="AW59" s="41">
        <f t="shared" si="14"/>
        <v>0</v>
      </c>
      <c r="AX59" s="41">
        <f t="shared" si="15"/>
        <v>0</v>
      </c>
      <c r="AY59" s="72">
        <f t="shared" si="43"/>
        <v>0</v>
      </c>
      <c r="AZ59" s="41">
        <f t="shared" si="17"/>
        <v>0</v>
      </c>
      <c r="BA59" s="41">
        <f t="shared" si="18"/>
        <v>0</v>
      </c>
      <c r="BB59" s="41">
        <f t="shared" si="19"/>
        <v>0</v>
      </c>
      <c r="BC59" s="41">
        <f t="shared" si="20"/>
        <v>0</v>
      </c>
      <c r="BD59" s="72">
        <f t="shared" si="44"/>
        <v>0</v>
      </c>
      <c r="BE59" s="41">
        <f t="shared" si="22"/>
        <v>0</v>
      </c>
      <c r="BF59" s="41">
        <f t="shared" si="23"/>
        <v>0</v>
      </c>
      <c r="BG59" s="41">
        <f t="shared" si="24"/>
        <v>0</v>
      </c>
      <c r="BH59" s="41">
        <f t="shared" si="25"/>
        <v>0</v>
      </c>
      <c r="BI59" s="72">
        <f t="shared" si="45"/>
        <v>0</v>
      </c>
    </row>
    <row r="60" spans="1:61" s="26" customFormat="1">
      <c r="A60" s="3" t="s">
        <v>228</v>
      </c>
      <c r="B60" s="41"/>
      <c r="C60" s="41"/>
      <c r="D60" s="41"/>
      <c r="E60" s="42"/>
      <c r="F60" s="43"/>
      <c r="G60" s="41"/>
      <c r="H60" s="41"/>
      <c r="I60" s="41"/>
      <c r="J60" s="42"/>
      <c r="K60" s="43"/>
      <c r="L60" s="41"/>
      <c r="M60" s="41"/>
      <c r="N60" s="41"/>
      <c r="O60" s="42"/>
      <c r="P60" s="43">
        <v>600</v>
      </c>
      <c r="Q60" s="41">
        <f t="shared" ref="Q60:S63" si="53">P60</f>
        <v>600</v>
      </c>
      <c r="R60" s="41">
        <f t="shared" si="53"/>
        <v>600</v>
      </c>
      <c r="S60" s="41">
        <f t="shared" si="53"/>
        <v>600</v>
      </c>
      <c r="T60" s="42">
        <f t="shared" si="28"/>
        <v>1895</v>
      </c>
      <c r="U60" s="43">
        <v>1895</v>
      </c>
      <c r="V60" s="41">
        <v>1992</v>
      </c>
      <c r="W60" s="41">
        <v>2987</v>
      </c>
      <c r="X60" s="41">
        <v>2990</v>
      </c>
      <c r="Y60" s="42">
        <f t="shared" si="29"/>
        <v>6109</v>
      </c>
      <c r="Z60" s="43">
        <v>6109</v>
      </c>
      <c r="AA60" s="41">
        <v>4700</v>
      </c>
      <c r="AB60" s="41">
        <f>AA60-2300</f>
        <v>2400</v>
      </c>
      <c r="AC60" s="41">
        <f>AB60-2300</f>
        <v>100</v>
      </c>
      <c r="AD60" s="41">
        <f>AC60-1900</f>
        <v>-1800</v>
      </c>
      <c r="AE60" s="72">
        <f t="shared" si="51"/>
        <v>-1800</v>
      </c>
      <c r="AF60" s="41">
        <v>0</v>
      </c>
      <c r="AG60" s="41">
        <f t="shared" si="51"/>
        <v>0</v>
      </c>
      <c r="AH60" s="41">
        <f t="shared" si="51"/>
        <v>0</v>
      </c>
      <c r="AI60" s="41">
        <f t="shared" si="51"/>
        <v>0</v>
      </c>
      <c r="AJ60" s="72">
        <f t="shared" si="51"/>
        <v>0</v>
      </c>
      <c r="AK60" s="41">
        <f t="shared" si="32"/>
        <v>0</v>
      </c>
      <c r="AL60" s="41">
        <f t="shared" si="33"/>
        <v>0</v>
      </c>
      <c r="AM60" s="41">
        <f t="shared" si="34"/>
        <v>0</v>
      </c>
      <c r="AN60" s="41">
        <f t="shared" si="35"/>
        <v>0</v>
      </c>
      <c r="AO60" s="72">
        <f t="shared" si="35"/>
        <v>0</v>
      </c>
      <c r="AP60" s="41">
        <f t="shared" si="36"/>
        <v>0</v>
      </c>
      <c r="AQ60" s="41">
        <f t="shared" si="40"/>
        <v>0</v>
      </c>
      <c r="AR60" s="41">
        <f t="shared" si="38"/>
        <v>0</v>
      </c>
      <c r="AS60" s="446">
        <f t="shared" si="39"/>
        <v>0</v>
      </c>
      <c r="AT60" s="72">
        <f t="shared" si="42"/>
        <v>0</v>
      </c>
      <c r="AU60" s="41">
        <f t="shared" si="12"/>
        <v>0</v>
      </c>
      <c r="AV60" s="41">
        <f t="shared" si="13"/>
        <v>0</v>
      </c>
      <c r="AW60" s="41">
        <f t="shared" si="14"/>
        <v>0</v>
      </c>
      <c r="AX60" s="41">
        <f t="shared" si="15"/>
        <v>0</v>
      </c>
      <c r="AY60" s="72">
        <f t="shared" si="43"/>
        <v>0</v>
      </c>
      <c r="AZ60" s="41">
        <f t="shared" si="17"/>
        <v>0</v>
      </c>
      <c r="BA60" s="41">
        <f t="shared" si="18"/>
        <v>0</v>
      </c>
      <c r="BB60" s="41">
        <f t="shared" si="19"/>
        <v>0</v>
      </c>
      <c r="BC60" s="41">
        <f t="shared" si="20"/>
        <v>0</v>
      </c>
      <c r="BD60" s="72">
        <f t="shared" si="44"/>
        <v>0</v>
      </c>
      <c r="BE60" s="41">
        <f t="shared" si="22"/>
        <v>0</v>
      </c>
      <c r="BF60" s="41">
        <f t="shared" si="23"/>
        <v>0</v>
      </c>
      <c r="BG60" s="41">
        <f t="shared" si="24"/>
        <v>0</v>
      </c>
      <c r="BH60" s="41">
        <f t="shared" si="25"/>
        <v>0</v>
      </c>
      <c r="BI60" s="72">
        <f t="shared" si="45"/>
        <v>0</v>
      </c>
    </row>
    <row r="61" spans="1:61" s="26" customFormat="1">
      <c r="A61" s="3" t="s">
        <v>404</v>
      </c>
      <c r="B61" s="41"/>
      <c r="C61" s="41"/>
      <c r="D61" s="41"/>
      <c r="E61" s="42"/>
      <c r="F61" s="43"/>
      <c r="G61" s="41"/>
      <c r="H61" s="41"/>
      <c r="I61" s="41"/>
      <c r="J61" s="42"/>
      <c r="K61" s="43"/>
      <c r="L61" s="41"/>
      <c r="M61" s="41"/>
      <c r="N61" s="41"/>
      <c r="O61" s="42"/>
      <c r="P61" s="43">
        <v>94</v>
      </c>
      <c r="Q61" s="41">
        <f t="shared" si="53"/>
        <v>94</v>
      </c>
      <c r="R61" s="41">
        <f t="shared" si="53"/>
        <v>94</v>
      </c>
      <c r="S61" s="41">
        <f t="shared" si="53"/>
        <v>94</v>
      </c>
      <c r="T61" s="42">
        <f t="shared" si="28"/>
        <v>62</v>
      </c>
      <c r="U61" s="43">
        <v>62</v>
      </c>
      <c r="V61" s="41">
        <f t="shared" ref="V61:X63" si="54">U61</f>
        <v>62</v>
      </c>
      <c r="W61" s="41">
        <f t="shared" si="54"/>
        <v>62</v>
      </c>
      <c r="X61" s="41">
        <f t="shared" si="54"/>
        <v>62</v>
      </c>
      <c r="Y61" s="42">
        <f t="shared" si="29"/>
        <v>37</v>
      </c>
      <c r="Z61" s="43">
        <v>37</v>
      </c>
      <c r="AA61" s="41">
        <f t="shared" ref="AA61:AD63" si="55">Z61</f>
        <v>37</v>
      </c>
      <c r="AB61" s="41">
        <f t="shared" si="55"/>
        <v>37</v>
      </c>
      <c r="AC61" s="41">
        <f t="shared" si="55"/>
        <v>37</v>
      </c>
      <c r="AD61" s="41">
        <f t="shared" si="55"/>
        <v>37</v>
      </c>
      <c r="AE61" s="72">
        <f t="shared" si="51"/>
        <v>37</v>
      </c>
      <c r="AF61" s="41">
        <f t="shared" si="51"/>
        <v>37</v>
      </c>
      <c r="AG61" s="41">
        <f t="shared" si="51"/>
        <v>37</v>
      </c>
      <c r="AH61" s="41">
        <f t="shared" si="51"/>
        <v>37</v>
      </c>
      <c r="AI61" s="41">
        <v>0</v>
      </c>
      <c r="AJ61" s="72">
        <f t="shared" si="51"/>
        <v>0</v>
      </c>
      <c r="AK61" s="41">
        <v>0</v>
      </c>
      <c r="AL61" s="41">
        <v>0</v>
      </c>
      <c r="AM61" s="41">
        <v>0</v>
      </c>
      <c r="AN61" s="41">
        <v>0</v>
      </c>
      <c r="AO61" s="72">
        <f>AN61</f>
        <v>0</v>
      </c>
      <c r="AP61" s="41">
        <v>0</v>
      </c>
      <c r="AQ61" s="41">
        <v>0</v>
      </c>
      <c r="AR61" s="41">
        <v>0</v>
      </c>
      <c r="AS61" s="446">
        <v>0</v>
      </c>
      <c r="AT61" s="72">
        <f>AS61</f>
        <v>0</v>
      </c>
      <c r="AU61" s="41">
        <f t="shared" si="12"/>
        <v>0</v>
      </c>
      <c r="AV61" s="41">
        <f t="shared" si="13"/>
        <v>0</v>
      </c>
      <c r="AW61" s="41">
        <f t="shared" si="14"/>
        <v>0</v>
      </c>
      <c r="AX61" s="41">
        <f t="shared" si="15"/>
        <v>0</v>
      </c>
      <c r="AY61" s="72">
        <f>AX61</f>
        <v>0</v>
      </c>
      <c r="AZ61" s="41">
        <f t="shared" si="17"/>
        <v>0</v>
      </c>
      <c r="BA61" s="41">
        <f t="shared" si="18"/>
        <v>0</v>
      </c>
      <c r="BB61" s="41">
        <f t="shared" si="19"/>
        <v>0</v>
      </c>
      <c r="BC61" s="41">
        <f t="shared" si="20"/>
        <v>0</v>
      </c>
      <c r="BD61" s="72">
        <f>BC61</f>
        <v>0</v>
      </c>
      <c r="BE61" s="41">
        <f t="shared" si="22"/>
        <v>0</v>
      </c>
      <c r="BF61" s="41">
        <f t="shared" si="23"/>
        <v>0</v>
      </c>
      <c r="BG61" s="41">
        <f t="shared" si="24"/>
        <v>0</v>
      </c>
      <c r="BH61" s="41">
        <f t="shared" si="25"/>
        <v>0</v>
      </c>
      <c r="BI61" s="72">
        <f>BH61</f>
        <v>0</v>
      </c>
    </row>
    <row r="62" spans="1:61" s="26" customFormat="1">
      <c r="A62" s="3" t="s">
        <v>405</v>
      </c>
      <c r="B62" s="41"/>
      <c r="C62" s="41"/>
      <c r="D62" s="41"/>
      <c r="E62" s="42"/>
      <c r="F62" s="43"/>
      <c r="G62" s="41"/>
      <c r="H62" s="41"/>
      <c r="I62" s="41"/>
      <c r="J62" s="42"/>
      <c r="K62" s="43"/>
      <c r="L62" s="41"/>
      <c r="M62" s="41"/>
      <c r="N62" s="41"/>
      <c r="O62" s="42"/>
      <c r="P62" s="43">
        <v>138</v>
      </c>
      <c r="Q62" s="41">
        <f t="shared" si="53"/>
        <v>138</v>
      </c>
      <c r="R62" s="41">
        <f t="shared" si="53"/>
        <v>138</v>
      </c>
      <c r="S62" s="41">
        <f t="shared" si="53"/>
        <v>138</v>
      </c>
      <c r="T62" s="42">
        <f t="shared" si="28"/>
        <v>156</v>
      </c>
      <c r="U62" s="43">
        <v>156</v>
      </c>
      <c r="V62" s="41">
        <f t="shared" si="54"/>
        <v>156</v>
      </c>
      <c r="W62" s="41">
        <f t="shared" si="54"/>
        <v>156</v>
      </c>
      <c r="X62" s="41">
        <f t="shared" si="54"/>
        <v>156</v>
      </c>
      <c r="Y62" s="42">
        <f t="shared" si="29"/>
        <v>229</v>
      </c>
      <c r="Z62" s="43">
        <v>229</v>
      </c>
      <c r="AA62" s="41">
        <f t="shared" si="55"/>
        <v>229</v>
      </c>
      <c r="AB62" s="41">
        <f t="shared" si="55"/>
        <v>229</v>
      </c>
      <c r="AC62" s="41">
        <f t="shared" si="55"/>
        <v>229</v>
      </c>
      <c r="AD62" s="41">
        <f t="shared" si="55"/>
        <v>229</v>
      </c>
      <c r="AE62" s="72">
        <f t="shared" si="51"/>
        <v>229</v>
      </c>
      <c r="AF62" s="41">
        <f t="shared" si="51"/>
        <v>229</v>
      </c>
      <c r="AG62" s="41">
        <f t="shared" si="51"/>
        <v>229</v>
      </c>
      <c r="AH62" s="41">
        <f t="shared" si="51"/>
        <v>229</v>
      </c>
      <c r="AI62" s="41">
        <f t="shared" si="51"/>
        <v>229</v>
      </c>
      <c r="AJ62" s="72">
        <f t="shared" si="51"/>
        <v>229</v>
      </c>
      <c r="AK62" s="41">
        <f t="shared" ref="AK62:AN63" si="56">AJ62</f>
        <v>229</v>
      </c>
      <c r="AL62" s="41">
        <f t="shared" si="56"/>
        <v>229</v>
      </c>
      <c r="AM62" s="41">
        <f t="shared" si="56"/>
        <v>229</v>
      </c>
      <c r="AN62" s="41">
        <f t="shared" si="56"/>
        <v>229</v>
      </c>
      <c r="AO62" s="72">
        <f>AN62</f>
        <v>229</v>
      </c>
      <c r="AP62" s="41">
        <f t="shared" ref="AP62:AP63" si="57">AO62</f>
        <v>229</v>
      </c>
      <c r="AQ62" s="41">
        <f t="shared" ref="AQ62:AQ63" si="58">AP62</f>
        <v>229</v>
      </c>
      <c r="AR62" s="41">
        <f t="shared" ref="AR62:AR63" si="59">AQ62</f>
        <v>229</v>
      </c>
      <c r="AS62" s="446">
        <f t="shared" ref="AS62:AS63" si="60">AR62</f>
        <v>229</v>
      </c>
      <c r="AT62" s="72">
        <f>AS62</f>
        <v>229</v>
      </c>
      <c r="AU62" s="41">
        <f t="shared" si="12"/>
        <v>229</v>
      </c>
      <c r="AV62" s="41">
        <f t="shared" si="13"/>
        <v>229</v>
      </c>
      <c r="AW62" s="41">
        <f t="shared" si="14"/>
        <v>229</v>
      </c>
      <c r="AX62" s="41">
        <f t="shared" si="15"/>
        <v>229</v>
      </c>
      <c r="AY62" s="72">
        <f>AX62</f>
        <v>229</v>
      </c>
      <c r="AZ62" s="41">
        <f t="shared" si="17"/>
        <v>229</v>
      </c>
      <c r="BA62" s="41">
        <f t="shared" si="18"/>
        <v>229</v>
      </c>
      <c r="BB62" s="41">
        <f t="shared" si="19"/>
        <v>229</v>
      </c>
      <c r="BC62" s="41">
        <f t="shared" si="20"/>
        <v>229</v>
      </c>
      <c r="BD62" s="72">
        <f>BC62</f>
        <v>229</v>
      </c>
      <c r="BE62" s="41">
        <f t="shared" si="22"/>
        <v>229</v>
      </c>
      <c r="BF62" s="41">
        <f t="shared" si="23"/>
        <v>229</v>
      </c>
      <c r="BG62" s="41">
        <f t="shared" si="24"/>
        <v>229</v>
      </c>
      <c r="BH62" s="41">
        <f t="shared" si="25"/>
        <v>229</v>
      </c>
      <c r="BI62" s="72">
        <f>BH62</f>
        <v>229</v>
      </c>
    </row>
    <row r="63" spans="1:61" s="26" customFormat="1">
      <c r="A63" s="3" t="s">
        <v>226</v>
      </c>
      <c r="B63" s="41"/>
      <c r="C63" s="41"/>
      <c r="D63" s="41"/>
      <c r="E63" s="42"/>
      <c r="F63" s="43"/>
      <c r="G63" s="41"/>
      <c r="H63" s="41"/>
      <c r="I63" s="41"/>
      <c r="J63" s="42"/>
      <c r="K63" s="43"/>
      <c r="L63" s="41"/>
      <c r="M63" s="41"/>
      <c r="N63" s="41"/>
      <c r="O63" s="42"/>
      <c r="P63" s="43">
        <v>135</v>
      </c>
      <c r="Q63" s="41">
        <f t="shared" si="53"/>
        <v>135</v>
      </c>
      <c r="R63" s="41">
        <f t="shared" si="53"/>
        <v>135</v>
      </c>
      <c r="S63" s="41">
        <f t="shared" si="53"/>
        <v>135</v>
      </c>
      <c r="T63" s="42">
        <f t="shared" si="28"/>
        <v>170</v>
      </c>
      <c r="U63" s="43">
        <v>170</v>
      </c>
      <c r="V63" s="41">
        <f t="shared" si="54"/>
        <v>170</v>
      </c>
      <c r="W63" s="41">
        <f t="shared" si="54"/>
        <v>170</v>
      </c>
      <c r="X63" s="41">
        <f t="shared" si="54"/>
        <v>170</v>
      </c>
      <c r="Y63" s="42">
        <f t="shared" si="29"/>
        <v>144</v>
      </c>
      <c r="Z63" s="43">
        <v>144</v>
      </c>
      <c r="AA63" s="41">
        <f t="shared" si="55"/>
        <v>144</v>
      </c>
      <c r="AB63" s="41">
        <f t="shared" si="55"/>
        <v>144</v>
      </c>
      <c r="AC63" s="41">
        <f t="shared" si="55"/>
        <v>144</v>
      </c>
      <c r="AD63" s="41">
        <f t="shared" si="55"/>
        <v>144</v>
      </c>
      <c r="AE63" s="72">
        <f t="shared" si="51"/>
        <v>144</v>
      </c>
      <c r="AF63" s="41">
        <f t="shared" si="51"/>
        <v>144</v>
      </c>
      <c r="AG63" s="41">
        <f t="shared" si="51"/>
        <v>144</v>
      </c>
      <c r="AH63" s="41">
        <f t="shared" si="51"/>
        <v>144</v>
      </c>
      <c r="AI63" s="41">
        <f t="shared" si="51"/>
        <v>144</v>
      </c>
      <c r="AJ63" s="72">
        <f t="shared" si="51"/>
        <v>144</v>
      </c>
      <c r="AK63" s="41">
        <f t="shared" si="56"/>
        <v>144</v>
      </c>
      <c r="AL63" s="41">
        <f t="shared" si="56"/>
        <v>144</v>
      </c>
      <c r="AM63" s="41">
        <f t="shared" si="56"/>
        <v>144</v>
      </c>
      <c r="AN63" s="41">
        <f t="shared" si="56"/>
        <v>144</v>
      </c>
      <c r="AO63" s="72">
        <f>AN63</f>
        <v>144</v>
      </c>
      <c r="AP63" s="41">
        <f t="shared" si="57"/>
        <v>144</v>
      </c>
      <c r="AQ63" s="41">
        <f t="shared" si="58"/>
        <v>144</v>
      </c>
      <c r="AR63" s="41">
        <f t="shared" si="59"/>
        <v>144</v>
      </c>
      <c r="AS63" s="446">
        <f t="shared" si="60"/>
        <v>144</v>
      </c>
      <c r="AT63" s="72">
        <f>AS63</f>
        <v>144</v>
      </c>
      <c r="AU63" s="41">
        <f t="shared" si="12"/>
        <v>144</v>
      </c>
      <c r="AV63" s="41">
        <f t="shared" si="13"/>
        <v>144</v>
      </c>
      <c r="AW63" s="41">
        <f t="shared" si="14"/>
        <v>144</v>
      </c>
      <c r="AX63" s="41">
        <f t="shared" si="15"/>
        <v>144</v>
      </c>
      <c r="AY63" s="72">
        <f>AX63</f>
        <v>144</v>
      </c>
      <c r="AZ63" s="41">
        <f t="shared" si="17"/>
        <v>144</v>
      </c>
      <c r="BA63" s="41">
        <f t="shared" si="18"/>
        <v>144</v>
      </c>
      <c r="BB63" s="41">
        <f t="shared" si="19"/>
        <v>144</v>
      </c>
      <c r="BC63" s="41">
        <f t="shared" si="20"/>
        <v>144</v>
      </c>
      <c r="BD63" s="72">
        <f>BC63</f>
        <v>144</v>
      </c>
      <c r="BE63" s="41">
        <f t="shared" si="22"/>
        <v>144</v>
      </c>
      <c r="BF63" s="41">
        <f t="shared" si="23"/>
        <v>144</v>
      </c>
      <c r="BG63" s="41">
        <f t="shared" si="24"/>
        <v>144</v>
      </c>
      <c r="BH63" s="41">
        <f t="shared" si="25"/>
        <v>144</v>
      </c>
      <c r="BI63" s="72">
        <f>BH63</f>
        <v>144</v>
      </c>
    </row>
    <row r="64" spans="1:61" s="26" customFormat="1">
      <c r="A64" s="3" t="s">
        <v>227</v>
      </c>
      <c r="B64" s="41"/>
      <c r="C64" s="41"/>
      <c r="D64" s="41"/>
      <c r="E64" s="42"/>
      <c r="F64" s="43"/>
      <c r="G64" s="41"/>
      <c r="H64" s="41"/>
      <c r="I64" s="41"/>
      <c r="J64" s="42"/>
      <c r="K64" s="43"/>
      <c r="L64" s="41"/>
      <c r="M64" s="41"/>
      <c r="N64" s="41"/>
      <c r="O64" s="42"/>
      <c r="P64" s="43">
        <v>0</v>
      </c>
      <c r="Q64" s="41">
        <v>0</v>
      </c>
      <c r="R64" s="41">
        <v>0</v>
      </c>
      <c r="S64" s="41">
        <v>0</v>
      </c>
      <c r="T64" s="42">
        <f>U64</f>
        <v>0</v>
      </c>
      <c r="U64" s="43">
        <v>0</v>
      </c>
      <c r="V64" s="41">
        <v>0</v>
      </c>
      <c r="W64" s="41">
        <v>0</v>
      </c>
      <c r="X64" s="41">
        <v>0</v>
      </c>
      <c r="Y64" s="42">
        <f t="shared" si="29"/>
        <v>0</v>
      </c>
      <c r="Z64" s="43">
        <v>0</v>
      </c>
      <c r="AA64" s="41">
        <v>0</v>
      </c>
      <c r="AB64" s="41">
        <v>25000</v>
      </c>
      <c r="AC64" s="41">
        <v>25000</v>
      </c>
      <c r="AD64" s="41">
        <f>AC64+2250</f>
        <v>27250</v>
      </c>
      <c r="AE64" s="72">
        <f t="shared" si="51"/>
        <v>27250</v>
      </c>
      <c r="AF64" s="41">
        <f t="shared" si="51"/>
        <v>27250</v>
      </c>
      <c r="AG64" s="41">
        <f t="shared" si="51"/>
        <v>27250</v>
      </c>
      <c r="AH64" s="41">
        <f>AG64+1150</f>
        <v>28400</v>
      </c>
      <c r="AI64" s="41">
        <f>AH64+337</f>
        <v>28737</v>
      </c>
      <c r="AJ64" s="72">
        <f t="shared" si="51"/>
        <v>28737</v>
      </c>
      <c r="AK64" s="41">
        <v>28237</v>
      </c>
      <c r="AL64" s="41">
        <f>AK64</f>
        <v>28237</v>
      </c>
      <c r="AM64" s="41">
        <f>AL64</f>
        <v>28237</v>
      </c>
      <c r="AN64" s="41">
        <f>AM64</f>
        <v>28237</v>
      </c>
      <c r="AO64" s="72">
        <f>AN64</f>
        <v>28237</v>
      </c>
      <c r="AP64" s="41">
        <v>25737</v>
      </c>
      <c r="AQ64" s="41">
        <f t="shared" ref="AQ64" si="61">AP64</f>
        <v>25737</v>
      </c>
      <c r="AR64" s="41">
        <f t="shared" ref="AR64" si="62">AQ64</f>
        <v>25737</v>
      </c>
      <c r="AS64" s="446">
        <v>25737</v>
      </c>
      <c r="AT64" s="72">
        <f>AS64</f>
        <v>25737</v>
      </c>
      <c r="AU64" s="41">
        <f>AT64-1000</f>
        <v>24737</v>
      </c>
      <c r="AV64" s="41">
        <f>AU64+10000</f>
        <v>34737</v>
      </c>
      <c r="AW64" s="41">
        <f>AV64</f>
        <v>34737</v>
      </c>
      <c r="AX64" s="41">
        <f>AW64</f>
        <v>34737</v>
      </c>
      <c r="AY64" s="72">
        <f>AX64</f>
        <v>34737</v>
      </c>
      <c r="AZ64" s="41">
        <f>AY64-250</f>
        <v>34487</v>
      </c>
      <c r="BA64" s="41">
        <f>AZ64-250</f>
        <v>34237</v>
      </c>
      <c r="BB64" s="41">
        <f>BA64-300</f>
        <v>33937</v>
      </c>
      <c r="BC64" s="41">
        <f>BB64-250</f>
        <v>33687</v>
      </c>
      <c r="BD64" s="72">
        <f>BC64</f>
        <v>33687</v>
      </c>
      <c r="BE64" s="41">
        <f t="shared" si="22"/>
        <v>33687</v>
      </c>
      <c r="BF64" s="41">
        <f t="shared" si="23"/>
        <v>33687</v>
      </c>
      <c r="BG64" s="41">
        <f t="shared" si="24"/>
        <v>33687</v>
      </c>
      <c r="BH64" s="41">
        <f t="shared" si="25"/>
        <v>33687</v>
      </c>
      <c r="BI64" s="72">
        <f>BH64</f>
        <v>33687</v>
      </c>
    </row>
    <row r="65" spans="1:62" s="26" customFormat="1">
      <c r="A65" s="3" t="s">
        <v>406</v>
      </c>
      <c r="B65" s="41"/>
      <c r="C65" s="41"/>
      <c r="D65" s="41"/>
      <c r="E65" s="42"/>
      <c r="F65" s="43"/>
      <c r="G65" s="41"/>
      <c r="H65" s="41"/>
      <c r="I65" s="41"/>
      <c r="J65" s="42"/>
      <c r="K65" s="43"/>
      <c r="L65" s="41"/>
      <c r="M65" s="41"/>
      <c r="N65" s="41"/>
      <c r="O65" s="42"/>
      <c r="P65" s="72">
        <f t="shared" ref="P65:AD65" si="63">P66-SUM(P4:P64)</f>
        <v>632.1200000000008</v>
      </c>
      <c r="Q65" s="42">
        <f t="shared" si="63"/>
        <v>567.1200000000008</v>
      </c>
      <c r="R65" s="42">
        <f t="shared" si="63"/>
        <v>583.1200000000008</v>
      </c>
      <c r="S65" s="42">
        <f t="shared" si="63"/>
        <v>341.1200000000008</v>
      </c>
      <c r="T65" s="42">
        <f t="shared" si="63"/>
        <v>296.1200000000008</v>
      </c>
      <c r="U65" s="72">
        <f t="shared" si="63"/>
        <v>296.1200000000008</v>
      </c>
      <c r="V65" s="42">
        <f t="shared" si="63"/>
        <v>246.1200000000008</v>
      </c>
      <c r="W65" s="42">
        <f t="shared" si="63"/>
        <v>223.12000000000262</v>
      </c>
      <c r="X65" s="42">
        <f t="shared" si="63"/>
        <v>156.11999999999898</v>
      </c>
      <c r="Y65" s="42">
        <f t="shared" si="63"/>
        <v>-341.59700000000521</v>
      </c>
      <c r="Z65" s="72">
        <f t="shared" si="63"/>
        <v>-341.59700000000521</v>
      </c>
      <c r="AA65" s="42">
        <f t="shared" si="63"/>
        <v>-383</v>
      </c>
      <c r="AB65" s="42">
        <f t="shared" si="63"/>
        <v>-631</v>
      </c>
      <c r="AC65" s="42">
        <f t="shared" si="63"/>
        <v>1249</v>
      </c>
      <c r="AD65" s="42">
        <f t="shared" si="63"/>
        <v>3873</v>
      </c>
      <c r="AE65" s="72">
        <f>AD65</f>
        <v>3873</v>
      </c>
      <c r="AF65" s="42">
        <f>AF66-SUM(AF4:AF64)</f>
        <v>-7738</v>
      </c>
      <c r="AG65" s="42">
        <f>AG66-SUM(AG4:AG64)</f>
        <v>-3776</v>
      </c>
      <c r="AH65" s="42">
        <f>AH66-SUM(AH4:AH64)</f>
        <v>-4916</v>
      </c>
      <c r="AI65" s="42">
        <f>AI66-SUM(AI4:AI64)</f>
        <v>-9233</v>
      </c>
      <c r="AJ65" s="72">
        <f>AI65</f>
        <v>-9233</v>
      </c>
      <c r="AK65" s="42">
        <f>AK66-SUM(AK4:AK64)</f>
        <v>-8794</v>
      </c>
      <c r="AL65" s="42">
        <f>AL66-SUM(AL4:AL64)</f>
        <v>-8735</v>
      </c>
      <c r="AM65" s="42">
        <f>AM66-SUM(AM4:AM64)</f>
        <v>-8716</v>
      </c>
      <c r="AN65" s="42">
        <f>AN66-SUM(AN4:AN64)</f>
        <v>-8684</v>
      </c>
      <c r="AO65" s="72">
        <f>AN65</f>
        <v>-8684</v>
      </c>
      <c r="AP65" s="42">
        <f>AP66-SUM(AP4:AP64)</f>
        <v>-4794</v>
      </c>
      <c r="AQ65" s="42">
        <f>AQ66-SUM(AQ4:AQ64)</f>
        <v>-7717</v>
      </c>
      <c r="AR65" s="42">
        <f>AR66-SUM(AR4:AR64)</f>
        <v>-7513</v>
      </c>
      <c r="AS65" s="42">
        <f>AS66-SUM(AS4:AS64)</f>
        <v>-4478</v>
      </c>
      <c r="AT65" s="72">
        <f>AS65</f>
        <v>-4478</v>
      </c>
      <c r="AU65" s="42">
        <f>AU66-SUM(AU4:AU64)</f>
        <v>-4445</v>
      </c>
      <c r="AV65" s="42">
        <f>AV66-SUM(AV4:AV64)</f>
        <v>-4458</v>
      </c>
      <c r="AW65" s="42">
        <f>AW66-SUM(AW4:AW64)</f>
        <v>-4435</v>
      </c>
      <c r="AX65" s="42">
        <f>AX66-SUM(AX4:AX64)</f>
        <v>-7921</v>
      </c>
      <c r="AY65" s="72">
        <f>AX65</f>
        <v>-7921</v>
      </c>
      <c r="AZ65" s="42">
        <f>AZ66-SUM(AZ4:AZ64)</f>
        <v>-7917</v>
      </c>
      <c r="BA65" s="42">
        <f>BA66-SUM(BA4:BA64)</f>
        <v>-7962</v>
      </c>
      <c r="BB65" s="42">
        <f>BB66-SUM(BB4:BB64)</f>
        <v>-7632</v>
      </c>
      <c r="BC65" s="42">
        <f>BC66-SUM(BC4:BC64)</f>
        <v>-6637</v>
      </c>
      <c r="BD65" s="72">
        <f>BC65</f>
        <v>-6637</v>
      </c>
      <c r="BE65" s="41">
        <f t="shared" si="22"/>
        <v>-6637</v>
      </c>
      <c r="BF65" s="41">
        <f t="shared" si="23"/>
        <v>-6637</v>
      </c>
      <c r="BG65" s="41">
        <f t="shared" si="24"/>
        <v>-6637</v>
      </c>
      <c r="BH65" s="41">
        <f t="shared" ref="BH65" si="64">BG65</f>
        <v>-6637</v>
      </c>
      <c r="BI65" s="72">
        <f>BH65</f>
        <v>-6637</v>
      </c>
    </row>
    <row r="66" spans="1:62" s="26" customFormat="1">
      <c r="A66" s="12" t="s">
        <v>229</v>
      </c>
      <c r="B66" s="95"/>
      <c r="C66" s="95"/>
      <c r="D66" s="95"/>
      <c r="E66" s="95"/>
      <c r="F66" s="96"/>
      <c r="G66" s="95"/>
      <c r="H66" s="95"/>
      <c r="I66" s="95"/>
      <c r="J66" s="95"/>
      <c r="K66" s="96"/>
      <c r="L66" s="95"/>
      <c r="M66" s="95"/>
      <c r="N66" s="95"/>
      <c r="O66" s="95"/>
      <c r="P66" s="184">
        <f>Balance_Sheet_Qtr!P34+Balance_Sheet_Qtr!P44</f>
        <v>11117</v>
      </c>
      <c r="Q66" s="213">
        <f>Balance_Sheet_Qtr!Q34+Balance_Sheet_Qtr!Q44</f>
        <v>12452</v>
      </c>
      <c r="R66" s="213">
        <f>Balance_Sheet_Qtr!R34+Balance_Sheet_Qtr!R44</f>
        <v>12118</v>
      </c>
      <c r="S66" s="213">
        <f>Balance_Sheet_Qtr!S34+Balance_Sheet_Qtr!S44</f>
        <v>11876</v>
      </c>
      <c r="T66" s="213">
        <f>Balance_Sheet_Qtr!T34+Balance_Sheet_Qtr!T44</f>
        <v>13847</v>
      </c>
      <c r="U66" s="184">
        <f>Balance_Sheet_Qtr!U34+Balance_Sheet_Qtr!U44</f>
        <v>13847</v>
      </c>
      <c r="V66" s="213">
        <f>Balance_Sheet_Qtr!V34+Balance_Sheet_Qtr!V44</f>
        <v>14744</v>
      </c>
      <c r="W66" s="213">
        <f>Balance_Sheet_Qtr!W34+Balance_Sheet_Qtr!W44</f>
        <v>19216</v>
      </c>
      <c r="X66" s="213">
        <f>Balance_Sheet_Qtr!X34+Balance_Sheet_Qtr!X44</f>
        <v>24652</v>
      </c>
      <c r="Y66" s="213">
        <f>Balance_Sheet_Qtr!Y34+Balance_Sheet_Qtr!Y44</f>
        <v>27302</v>
      </c>
      <c r="Z66" s="184">
        <f>Balance_Sheet_Qtr!Z34+Balance_Sheet_Qtr!Z44</f>
        <v>27302</v>
      </c>
      <c r="AA66" s="213">
        <f>Balance_Sheet_Qtr!AA34+Balance_Sheet_Qtr!AA44</f>
        <v>38927</v>
      </c>
      <c r="AB66" s="213">
        <f>Balance_Sheet_Qtr!AB34+Balance_Sheet_Qtr!AB44</f>
        <v>61379</v>
      </c>
      <c r="AC66" s="213">
        <f>Balance_Sheet_Qtr!AC34+Balance_Sheet_Qtr!AC44</f>
        <v>60959</v>
      </c>
      <c r="AD66" s="213">
        <f>Balance_Sheet_Qtr!AD34+Balance_Sheet_Qtr!AD44</f>
        <v>63583</v>
      </c>
      <c r="AE66" s="78">
        <f>SUM(AE4:AE65)</f>
        <v>63583</v>
      </c>
      <c r="AF66" s="213">
        <f>Balance_Sheet_Qtr!AF34+Balance_Sheet_Qtr!AF44</f>
        <v>63575</v>
      </c>
      <c r="AG66" s="213">
        <f>Balance_Sheet_Qtr!AG34+Balance_Sheet_Qtr!AG44</f>
        <v>63559</v>
      </c>
      <c r="AH66" s="213">
        <f>Balance_Sheet_Qtr!AH34+Balance_Sheet_Qtr!AH44</f>
        <v>62419</v>
      </c>
      <c r="AI66" s="213">
        <f>Balance_Sheet_Qtr!AI34+Balance_Sheet_Qtr!AI44</f>
        <v>58102</v>
      </c>
      <c r="AJ66" s="78">
        <f>SUM(AJ4:AJ65)</f>
        <v>58102</v>
      </c>
      <c r="AK66" s="213">
        <f>Balance_Sheet_Qtr!AK34+Balance_Sheet_Qtr!AK44</f>
        <v>57741</v>
      </c>
      <c r="AL66" s="213">
        <f>Balance_Sheet_Qtr!AL34+Balance_Sheet_Qtr!AL44</f>
        <v>57200</v>
      </c>
      <c r="AM66" s="213">
        <f>Balance_Sheet_Qtr!AM34+Balance_Sheet_Qtr!AM44</f>
        <v>57219</v>
      </c>
      <c r="AN66" s="213">
        <f>Balance_Sheet_Qtr!AN34+Balance_Sheet_Qtr!AN44</f>
        <v>57001</v>
      </c>
      <c r="AO66" s="78">
        <f>SUM(AO4:AO65)</f>
        <v>57001</v>
      </c>
      <c r="AP66" s="213">
        <f>Balance_Sheet_Qtr!AP34+Balance_Sheet_Qtr!AP44</f>
        <v>55391</v>
      </c>
      <c r="AQ66" s="213">
        <f>Balance_Sheet_Qtr!AQ34+Balance_Sheet_Qtr!AQ44</f>
        <v>52268</v>
      </c>
      <c r="AR66" s="213">
        <f>Balance_Sheet_Qtr!AR34+Balance_Sheet_Qtr!AR44</f>
        <v>52272</v>
      </c>
      <c r="AS66" s="213">
        <f>Balance_Sheet_Qtr!AS34+Balance_Sheet_Qtr!AS44</f>
        <v>52307</v>
      </c>
      <c r="AT66" s="78">
        <f>SUM(AT4:AT65)</f>
        <v>52307</v>
      </c>
      <c r="AU66" s="213">
        <f>Balance_Sheet_Qtr!AU34+Balance_Sheet_Qtr!AU44</f>
        <v>47940</v>
      </c>
      <c r="AV66" s="213">
        <f>Balance_Sheet_Qtr!AV34+Balance_Sheet_Qtr!AV44</f>
        <v>57927</v>
      </c>
      <c r="AW66" s="213">
        <f>Balance_Sheet_Qtr!AW34+Balance_Sheet_Qtr!AW44</f>
        <v>57650</v>
      </c>
      <c r="AX66" s="213">
        <f>Balance_Sheet_Qtr!AX34+Balance_Sheet_Qtr!AX44</f>
        <v>53864</v>
      </c>
      <c r="AY66" s="78">
        <f>SUM(AY4:AY65)</f>
        <v>53864</v>
      </c>
      <c r="AZ66" s="213">
        <f>Balance_Sheet_Qtr!AZ34+Balance_Sheet_Qtr!AZ44</f>
        <v>53618</v>
      </c>
      <c r="BA66" s="213">
        <f>Balance_Sheet_Qtr!BA34+Balance_Sheet_Qtr!BA44</f>
        <v>53323</v>
      </c>
      <c r="BB66" s="213">
        <f>Balance_Sheet_Qtr!BB34+Balance_Sheet_Qtr!BB44</f>
        <v>53353</v>
      </c>
      <c r="BC66" s="213">
        <f>Balance_Sheet_Qtr!BC34+Balance_Sheet_Qtr!BC44</f>
        <v>54098</v>
      </c>
      <c r="BD66" s="78">
        <f>SUM(BD4:BD65)</f>
        <v>54098</v>
      </c>
      <c r="BE66" s="77">
        <f t="shared" ref="BE66:BG66" si="65">SUM(BE4:BE65)</f>
        <v>53548</v>
      </c>
      <c r="BF66" s="77">
        <f t="shared" si="65"/>
        <v>50948</v>
      </c>
      <c r="BG66" s="77">
        <f t="shared" si="65"/>
        <v>49648</v>
      </c>
      <c r="BH66" s="77">
        <f>SUM(BH4:BH65)</f>
        <v>49648</v>
      </c>
      <c r="BI66" s="78">
        <f>SUM(BI4:BI65)</f>
        <v>49648</v>
      </c>
      <c r="BJ66" s="109"/>
    </row>
    <row r="67" spans="1:62" s="26" customFormat="1">
      <c r="A67" s="3" t="s">
        <v>407</v>
      </c>
      <c r="B67" s="41"/>
      <c r="C67" s="41"/>
      <c r="D67" s="41"/>
      <c r="E67" s="42"/>
      <c r="F67" s="43"/>
      <c r="G67" s="41"/>
      <c r="H67" s="41"/>
      <c r="I67" s="41"/>
      <c r="J67" s="42"/>
      <c r="K67" s="43"/>
      <c r="L67" s="41"/>
      <c r="M67" s="41"/>
      <c r="N67" s="41"/>
      <c r="O67" s="42"/>
      <c r="P67" s="38">
        <f>Balance_Sheet_Qtr!P34</f>
        <v>1335</v>
      </c>
      <c r="Q67" s="37">
        <f>Balance_Sheet_Qtr!Q34</f>
        <v>1981</v>
      </c>
      <c r="R67" s="37">
        <f>Balance_Sheet_Qtr!R34</f>
        <v>1611</v>
      </c>
      <c r="S67" s="37">
        <f>Balance_Sheet_Qtr!S34</f>
        <v>1389</v>
      </c>
      <c r="T67" s="37">
        <f>Balance_Sheet_Qtr!T34</f>
        <v>3190</v>
      </c>
      <c r="U67" s="38">
        <f>Balance_Sheet_Qtr!U34</f>
        <v>3190</v>
      </c>
      <c r="V67" s="37">
        <f>Balance_Sheet_Qtr!V34</f>
        <v>3381</v>
      </c>
      <c r="W67" s="37">
        <f>Balance_Sheet_Qtr!W34</f>
        <v>4357</v>
      </c>
      <c r="X67" s="37">
        <f>Balance_Sheet_Qtr!X34</f>
        <v>4354</v>
      </c>
      <c r="Y67" s="37">
        <f>Balance_Sheet_Qtr!Y34</f>
        <v>7340</v>
      </c>
      <c r="Z67" s="38">
        <f>Balance_Sheet_Qtr!Z34</f>
        <v>7340</v>
      </c>
      <c r="AA67" s="37">
        <f>Balance_Sheet_Qtr!AA34</f>
        <v>5173</v>
      </c>
      <c r="AB67" s="37">
        <f>Balance_Sheet_Qtr!AB34</f>
        <v>2922</v>
      </c>
      <c r="AC67" s="37">
        <f>Balance_Sheet_Qtr!AC34</f>
        <v>3634</v>
      </c>
      <c r="AD67" s="37">
        <f>Balance_Sheet_Qtr!AD34</f>
        <v>1693</v>
      </c>
      <c r="AE67" s="23">
        <f>AD67</f>
        <v>1693</v>
      </c>
      <c r="AF67" s="37">
        <f>Balance_Sheet_Qtr!AF34</f>
        <v>6021</v>
      </c>
      <c r="AG67" s="37">
        <f>Balance_Sheet_Qtr!AG34</f>
        <v>6534</v>
      </c>
      <c r="AH67" s="37">
        <f>Balance_Sheet_Qtr!AH34</f>
        <v>5377</v>
      </c>
      <c r="AI67" s="37">
        <f>Balance_Sheet_Qtr!AI34</f>
        <v>1296</v>
      </c>
      <c r="AJ67" s="23">
        <f>AI67</f>
        <v>1296</v>
      </c>
      <c r="AK67" s="37">
        <f>Balance_Sheet_Qtr!AK34</f>
        <v>2591</v>
      </c>
      <c r="AL67" s="37">
        <f>Balance_Sheet_Qtr!AL34</f>
        <v>5406</v>
      </c>
      <c r="AM67" s="37">
        <f>Balance_Sheet_Qtr!AM34</f>
        <v>5431</v>
      </c>
      <c r="AN67" s="37">
        <f>Balance_Sheet_Qtr!AN34</f>
        <v>5190</v>
      </c>
      <c r="AO67" s="23">
        <f>AN67</f>
        <v>5190</v>
      </c>
      <c r="AP67" s="37">
        <f>Balance_Sheet_Qtr!AP34</f>
        <v>7926</v>
      </c>
      <c r="AQ67" s="37">
        <f>Balance_Sheet_Qtr!AQ34</f>
        <v>4609</v>
      </c>
      <c r="AR67" s="37">
        <f>Balance_Sheet_Qtr!AR34</f>
        <v>4891</v>
      </c>
      <c r="AS67" s="37">
        <f>Balance_Sheet_Qtr!AS34</f>
        <v>5204</v>
      </c>
      <c r="AT67" s="23">
        <f>AS67</f>
        <v>5204</v>
      </c>
      <c r="AU67" s="37">
        <f>Balance_Sheet_Qtr!AU34</f>
        <v>1063</v>
      </c>
      <c r="AV67" s="37">
        <f>Balance_Sheet_Qtr!AV34</f>
        <v>4765</v>
      </c>
      <c r="AW67" s="37">
        <f>Balance_Sheet_Qtr!AW34</f>
        <v>4474</v>
      </c>
      <c r="AX67" s="37">
        <f>Balance_Sheet_Qtr!AX34</f>
        <v>1278</v>
      </c>
      <c r="AY67" s="23">
        <f>AX67</f>
        <v>1278</v>
      </c>
      <c r="AZ67" s="37">
        <f>Balance_Sheet_Qtr!AZ34</f>
        <v>7930</v>
      </c>
      <c r="BA67" s="37">
        <f>Balance_Sheet_Qtr!BA34</f>
        <v>8719</v>
      </c>
      <c r="BB67" s="37">
        <f>Balance_Sheet_Qtr!BB34</f>
        <v>8742</v>
      </c>
      <c r="BC67" s="37">
        <f>Balance_Sheet_Qtr!BC34</f>
        <v>8461</v>
      </c>
      <c r="BD67" s="23">
        <f>BC67</f>
        <v>8461</v>
      </c>
      <c r="BE67" s="543">
        <v>1300</v>
      </c>
      <c r="BF67" s="543">
        <v>1300</v>
      </c>
      <c r="BG67" s="543">
        <v>1300</v>
      </c>
      <c r="BH67" s="554">
        <v>1300</v>
      </c>
      <c r="BI67" s="23">
        <f>BH67</f>
        <v>1300</v>
      </c>
    </row>
    <row r="68" spans="1:62" s="26" customFormat="1">
      <c r="A68" s="12" t="s">
        <v>91</v>
      </c>
      <c r="B68" s="95"/>
      <c r="C68" s="95"/>
      <c r="D68" s="95"/>
      <c r="E68" s="95"/>
      <c r="F68" s="96"/>
      <c r="G68" s="95"/>
      <c r="H68" s="95"/>
      <c r="I68" s="95"/>
      <c r="J68" s="95"/>
      <c r="K68" s="96"/>
      <c r="L68" s="95"/>
      <c r="M68" s="95"/>
      <c r="N68" s="95"/>
      <c r="O68" s="95"/>
      <c r="P68" s="96">
        <f t="shared" ref="P68:U68" si="66">+P66-P67</f>
        <v>9782</v>
      </c>
      <c r="Q68" s="95">
        <f t="shared" si="66"/>
        <v>10471</v>
      </c>
      <c r="R68" s="95">
        <f t="shared" si="66"/>
        <v>10507</v>
      </c>
      <c r="S68" s="95">
        <f t="shared" si="66"/>
        <v>10487</v>
      </c>
      <c r="T68" s="95">
        <f t="shared" si="66"/>
        <v>10657</v>
      </c>
      <c r="U68" s="96">
        <f t="shared" si="66"/>
        <v>10657</v>
      </c>
      <c r="V68" s="95">
        <f t="shared" ref="V68:AA68" si="67">+V66-V67</f>
        <v>11363</v>
      </c>
      <c r="W68" s="95">
        <f t="shared" si="67"/>
        <v>14859</v>
      </c>
      <c r="X68" s="95">
        <f t="shared" si="67"/>
        <v>20298</v>
      </c>
      <c r="Y68" s="95">
        <f t="shared" si="67"/>
        <v>19962</v>
      </c>
      <c r="Z68" s="96">
        <f t="shared" si="67"/>
        <v>19962</v>
      </c>
      <c r="AA68" s="95">
        <f t="shared" si="67"/>
        <v>33754</v>
      </c>
      <c r="AB68" s="95">
        <f t="shared" ref="AB68:AJ68" si="68">AB66-AB67</f>
        <v>58457</v>
      </c>
      <c r="AC68" s="95">
        <f>AC66-AC67</f>
        <v>57325</v>
      </c>
      <c r="AD68" s="95">
        <f>AD66-AD67</f>
        <v>61890</v>
      </c>
      <c r="AE68" s="96">
        <f t="shared" si="68"/>
        <v>61890</v>
      </c>
      <c r="AF68" s="95">
        <f>+AF66-AF67</f>
        <v>57554</v>
      </c>
      <c r="AG68" s="95">
        <f>AG66-AG67</f>
        <v>57025</v>
      </c>
      <c r="AH68" s="95">
        <f>AH66-AH67</f>
        <v>57042</v>
      </c>
      <c r="AI68" s="95">
        <f t="shared" si="68"/>
        <v>56806</v>
      </c>
      <c r="AJ68" s="96">
        <f t="shared" si="68"/>
        <v>56806</v>
      </c>
      <c r="AK68" s="95">
        <f>AK66-AK67</f>
        <v>55150</v>
      </c>
      <c r="AL68" s="95">
        <f>AL66-AL67</f>
        <v>51794</v>
      </c>
      <c r="AM68" s="95">
        <f>AM66-AM67</f>
        <v>51788</v>
      </c>
      <c r="AN68" s="95">
        <f t="shared" ref="AN68:AO68" si="69">AN66-AN67</f>
        <v>51811</v>
      </c>
      <c r="AO68" s="96">
        <f t="shared" si="69"/>
        <v>51811</v>
      </c>
      <c r="AP68" s="95">
        <f>AP66-AP67</f>
        <v>47465</v>
      </c>
      <c r="AQ68" s="95">
        <f t="shared" ref="AQ68" si="70">AQ66-AQ67</f>
        <v>47659</v>
      </c>
      <c r="AR68" s="95">
        <f t="shared" ref="AR68:AT68" si="71">AR66-AR67</f>
        <v>47381</v>
      </c>
      <c r="AS68" s="95">
        <f t="shared" si="71"/>
        <v>47103</v>
      </c>
      <c r="AT68" s="96">
        <f t="shared" si="71"/>
        <v>47103</v>
      </c>
      <c r="AU68" s="95">
        <f t="shared" ref="AU68:AY68" si="72">AU66-AU67</f>
        <v>46877</v>
      </c>
      <c r="AV68" s="95">
        <f t="shared" si="72"/>
        <v>53162</v>
      </c>
      <c r="AW68" s="95">
        <f t="shared" si="72"/>
        <v>53176</v>
      </c>
      <c r="AX68" s="95">
        <f t="shared" si="72"/>
        <v>52586</v>
      </c>
      <c r="AY68" s="96">
        <f t="shared" si="72"/>
        <v>52586</v>
      </c>
      <c r="AZ68" s="95">
        <f t="shared" ref="AZ68" si="73">AZ66-AZ67</f>
        <v>45688</v>
      </c>
      <c r="BA68" s="95">
        <f t="shared" ref="BA68:BB68" si="74">BA66-BA67</f>
        <v>44604</v>
      </c>
      <c r="BB68" s="95">
        <f t="shared" si="74"/>
        <v>44611</v>
      </c>
      <c r="BC68" s="95">
        <f>BC66-BC67</f>
        <v>45637</v>
      </c>
      <c r="BD68" s="96">
        <f>BD66-BD67</f>
        <v>45637</v>
      </c>
      <c r="BE68" s="95">
        <f t="shared" ref="BE68:BG68" si="75">BE66-BE67</f>
        <v>52248</v>
      </c>
      <c r="BF68" s="95">
        <f t="shared" si="75"/>
        <v>49648</v>
      </c>
      <c r="BG68" s="95">
        <f t="shared" si="75"/>
        <v>48348</v>
      </c>
      <c r="BH68" s="95">
        <f>BH66-BH67</f>
        <v>48348</v>
      </c>
      <c r="BI68" s="96">
        <f>BI66-BI67</f>
        <v>48348</v>
      </c>
      <c r="BJ68" s="109"/>
    </row>
    <row r="69" spans="1:62" s="26" customFormat="1">
      <c r="A69" s="12"/>
      <c r="B69" s="95"/>
      <c r="C69" s="95"/>
      <c r="D69" s="95"/>
      <c r="E69" s="95"/>
      <c r="F69" s="96"/>
      <c r="G69" s="95"/>
      <c r="H69" s="95"/>
      <c r="I69" s="95"/>
      <c r="J69" s="95"/>
      <c r="K69" s="96"/>
      <c r="L69" s="95"/>
      <c r="M69" s="95"/>
      <c r="N69" s="95"/>
      <c r="O69" s="95"/>
      <c r="P69" s="96"/>
      <c r="Q69" s="95"/>
      <c r="R69" s="95"/>
      <c r="S69" s="95"/>
      <c r="T69" s="95"/>
      <c r="U69" s="96"/>
      <c r="V69" s="95"/>
      <c r="W69" s="95"/>
      <c r="X69" s="95"/>
      <c r="Y69" s="95"/>
      <c r="Z69" s="96"/>
      <c r="AA69" s="95"/>
      <c r="AB69" s="95"/>
      <c r="AC69" s="95"/>
      <c r="AD69" s="95"/>
      <c r="AE69" s="96"/>
      <c r="AF69" s="95"/>
      <c r="AG69" s="95"/>
      <c r="AH69" s="95"/>
      <c r="AI69" s="95"/>
      <c r="AJ69" s="96"/>
      <c r="AK69" s="95"/>
      <c r="AL69" s="95"/>
      <c r="AM69" s="95"/>
      <c r="AN69" s="95"/>
      <c r="AO69" s="96"/>
      <c r="AP69" s="95"/>
      <c r="AQ69" s="95"/>
      <c r="AR69" s="95"/>
      <c r="AS69" s="95"/>
      <c r="AT69" s="96"/>
      <c r="AU69" s="95"/>
      <c r="AV69" s="95"/>
      <c r="AW69" s="95"/>
      <c r="AX69" s="95"/>
      <c r="AY69" s="96"/>
      <c r="AZ69" s="95"/>
      <c r="BA69" s="95"/>
      <c r="BB69" s="95"/>
      <c r="BC69" s="95"/>
      <c r="BD69" s="96"/>
      <c r="BE69" s="95"/>
      <c r="BF69" s="95"/>
      <c r="BG69" s="95"/>
      <c r="BH69" s="95"/>
      <c r="BI69" s="96"/>
    </row>
    <row r="70" spans="1:62" s="26" customFormat="1">
      <c r="A70" s="12" t="s">
        <v>199</v>
      </c>
      <c r="E70" s="97"/>
      <c r="F70" s="108"/>
      <c r="J70" s="97"/>
      <c r="K70" s="108"/>
      <c r="O70" s="97"/>
      <c r="P70" s="108"/>
      <c r="Q70" s="39">
        <f>IF(Q4-P4&gt;0,Q4-P4,0)+IF(Q6-P6&gt;0,Q6-P6,0)+IF(Q8-P8&gt;0,Q8-P8,0)+IF(Q9-P9&gt;0,Q9-P9,0)+IF(Q11-P11&gt;0,Q11-P11,0)+IF(Q12-P12&gt;0,Q12-P12,0)+IF(Q13-P13&gt;0,Q13-P13,0)+IF(Q14-P14&gt;0,Q14-P14,0)+IF(Q15-P15&gt;0,Q15-P15,0)+IF(Q16-P16&gt;0,Q16-P16,0)+IF(Q17-P17&gt;0,Q17-P17,0)+IF(Q18-P18&gt;0,Q18-P18,0)+IF(Q19-P19&gt;0,Q19-P19,0)+IF(Q23-P23&gt;0,Q23-P23,0)+IF(Q24-P24&gt;0,Q24-P24,0)+IF(Q25-P25&gt;0,Q25-P25,0)+IF(Q26-P26&gt;0,Q26-P26,0)+IF(Q27-P27&gt;0,Q27-P27,0)+IF(Q28-P28&gt;0,Q28-P28,0)+IF(Q29-P29&gt;0,Q29-P29,0)+IF(Q30-P30&gt;0,Q30-P30,0)+IF(Q31-P31&gt;0,Q31-P31,0)+IF(Q32-P32&gt;0,Q32-P32,0)+IF(Q33-P33&gt;0,Q33-P33,0)+IF(Q34-P34&gt;0,Q34-P34,0)+IF(Q35-P35&gt;0,Q35-P35,0)+IF(Q36-P36&gt;0,Q36-P36,0)+IF(Q37-P37&gt;0,Q37-P37,0)+IF(Q38-P38&gt;0,Q38-P38,0)+IF(Q39-P39&gt;0,Q39-P39,0)+IF(Q40-P40&gt;0,Q40-P40,0)+IF(Q41-P41&gt;0,Q41-P41,0)+IF(Q42-P42&gt;0,Q42-P42,0)+IF(Q43-P43&gt;0,Q43-P43,0)+IF(Q44-P44&gt;0,Q44-P44,0)+IF(Q45-P45&gt;0,Q45-P45,0)+IF(Q46-P46&gt;0,Q46-P46,0)+IF(Q47-P47&gt;0,Q47-P47,0)+IF(Q48-P48&gt;0,Q48-P48,0)+IF(Q49-P49&gt;0,Q49-P49,0)+IF(Q50-P50&gt;0,Q50-P50,0)+IF(Q51-P51&gt;0,Q51-P51,0)+IF(Q52-P52&gt;0,Q52-P52,0)+IF(Q53-P53&gt;0,Q53-P53,0)+IF(Q54-P54&gt;0,Q54-P54,0)+IF(Q55-P55&gt;0,Q55-P55,0)+IF(Q56-P56&gt;0,Q56-P56,0)+IF(Q57-P57&gt;0,Q57-P57,0)+IF(Q58-P58&gt;0,Q58-P58,0)+IF(Q59-P59&gt;0,Q59-P59,0)+IF(Q60-P60&gt;0,Q60-P60,0)+IF(Q61-P61&gt;0,Q61-P61,0)+IF(Q62-P62&gt;0,Q62-P62,0)+IF(Q63-P63&gt;0,Q63-P63,0)+IF(Q64-P64&gt;0,Q64-P64,0)+IF(Q65-P65&gt;0,Q65-P65,0)</f>
        <v>1400</v>
      </c>
      <c r="R70" s="39">
        <f>IF(R4-Q4&gt;0,R4-Q4,0)+IF(R6-Q6&gt;0,R6-Q6,0)+IF(R8-Q8&gt;0,R8-Q8,0)+IF(R9-Q9&gt;0,R9-Q9,0)+IF(R11-Q11&gt;0,R11-Q11,0)+IF(R12-Q12&gt;0,R12-Q12,0)+IF(R13-Q13&gt;0,R13-Q13,0)+IF(R14-Q14&gt;0,R14-Q14,0)+IF(R15-Q15&gt;0,R15-Q15,0)+IF(R16-Q16&gt;0,R16-Q16,0)+IF(R17-Q17&gt;0,R17-Q17,0)+IF(R18-Q18&gt;0,R18-Q18,0)+IF(R19-Q19&gt;0,R19-Q19,0)+IF(R23-Q23&gt;0,R23-Q23,0)+IF(R24-Q24&gt;0,R24-Q24,0)+IF(R25-Q25&gt;0,R25-Q25,0)+IF(R26-Q26&gt;0,R26-Q26,0)+IF(R27-Q27&gt;0,R27-Q27,0)+IF(R28-Q28&gt;0,R28-Q28,0)+IF(R29-Q29&gt;0,R29-Q29,0)+IF(R30-Q30&gt;0,R30-Q30,0)+IF(R31-Q31&gt;0,R31-Q31,0)+IF(R32-Q32&gt;0,R32-Q32,0)+IF(R33-Q33&gt;0,R33-Q33,0)+IF(R34-Q34&gt;0,R34-Q34,0)+IF(R35-Q35&gt;0,R35-Q35,0)+IF(R36-Q36&gt;0,R36-Q36,0)+IF(R37-Q37&gt;0,R37-Q37,0)+IF(R38-Q38&gt;0,R38-Q38,0)+IF(R39-Q39&gt;0,R39-Q39,0)+IF(R40-Q40&gt;0,R40-Q40,0)+IF(R41-Q41&gt;0,R41-Q41,0)+IF(R42-Q42&gt;0,R42-Q42,0)+IF(R43-Q43&gt;0,R43-Q43,0)+IF(R44-Q44&gt;0,R44-Q44,0)+IF(R45-Q45&gt;0,R45-Q45,0)+IF(R46-Q46&gt;0,R46-Q46,0)+IF(R47-Q47&gt;0,R47-Q47,0)+IF(R48-Q48&gt;0,R48-Q48,0)+IF(R49-Q49&gt;0,R49-Q49,0)+IF(R50-Q50&gt;0,R50-Q50,0)+IF(R51-Q51&gt;0,R51-Q51,0)+IF(R52-Q52&gt;0,R52-Q52,0)+IF(R53-Q53&gt;0,R53-Q53,0)+IF(R54-Q54&gt;0,R54-Q54,0)+IF(R55-Q55&gt;0,R55-Q55,0)+IF(R56-Q56&gt;0,R56-Q56,0)+IF(R57-Q57&gt;0,R57-Q57,0)+IF(R58-Q58&gt;0,R58-Q58,0)+IF(R59-Q59&gt;0,R59-Q59,0)+IF(R60-Q60&gt;0,R60-Q60,0)+IF(R61-Q61&gt;0,R61-Q61,0)+IF(R62-Q62&gt;0,R62-Q62,0)+IF(R63-Q63&gt;0,R63-Q63,0)+IF(R64-Q64&gt;0,R64-Q64,0)+IF(R65-Q65&gt;0,R65-Q65,0)</f>
        <v>16</v>
      </c>
      <c r="S70" s="39">
        <f>IF(S4-R4&gt;0,S4-R4,0)+IF(S6-R6&gt;0,S6-R6,0)+IF(S8-R8&gt;0,S8-R8,0)+IF(S9-R9&gt;0,S9-R9,0)+IF(S11-R11&gt;0,S11-R11,0)+IF(S12-R12&gt;0,S12-R12,0)+IF(S13-R13&gt;0,S13-R13,0)+IF(S14-R14&gt;0,S14-R14,0)+IF(S15-R15&gt;0,S15-R15,0)+IF(S16-R16&gt;0,S16-R16,0)+IF(S17-R17&gt;0,S17-R17,0)+IF(S18-R18&gt;0,S18-R18,0)+IF(S19-R19&gt;0,S19-R19,0)+IF(S23-R23&gt;0,S23-R23,0)+IF(S24-R24&gt;0,S24-R24,0)+IF(S25-R25&gt;0,S25-R25,0)+IF(S26-R26&gt;0,S26-R26,0)+IF(S27-R27&gt;0,S27-R27,0)+IF(S28-R28&gt;0,S28-R28,0)+IF(S29-R29&gt;0,S29-R29,0)+IF(S30-R30&gt;0,S30-R30,0)+IF(S31-R31&gt;0,S31-R31,0)+IF(S32-R32&gt;0,S32-R32,0)+IF(S33-R33&gt;0,S33-R33,0)+IF(S34-R34&gt;0,S34-R34,0)+IF(S35-R35&gt;0,S35-R35,0)+IF(S36-R36&gt;0,S36-R36,0)+IF(S37-R37&gt;0,S37-R37,0)+IF(S38-R38&gt;0,S38-R38,0)+IF(S39-R39&gt;0,S39-R39,0)+IF(S40-R40&gt;0,S40-R40,0)+IF(S41-R41&gt;0,S41-R41,0)+IF(S42-R42&gt;0,S42-R42,0)+IF(S43-R43&gt;0,S43-R43,0)+IF(S44-R44&gt;0,S44-R44,0)+IF(S45-R45&gt;0,S45-R45,0)+IF(S46-R46&gt;0,S46-R46,0)+IF(S47-R47&gt;0,S47-R47,0)+IF(S48-R48&gt;0,S48-R48,0)+IF(S49-R49&gt;0,S49-R49,0)+IF(S50-R50&gt;0,S50-R50,0)+IF(S51-R51&gt;0,S51-R51,0)+IF(S52-R52&gt;0,S52-R52,0)+IF(S53-R53&gt;0,S53-R53,0)+IF(S54-R54&gt;0,S54-R54,0)+IF(S55-R55&gt;0,S55-R55,0)+IF(S56-R56&gt;0,S56-R56,0)+IF(S57-R57&gt;0,S57-R57,0)+IF(S58-R58&gt;0,S58-R58,0)+IF(S59-R59&gt;0,S59-R59,0)+IF(S60-R60&gt;0,S60-R60,0)+IF(S61-R61&gt;0,S61-R61,0)+IF(S62-R62&gt;0,S62-R62,0)+IF(S63-R63&gt;0,S63-R63,0)+IF(S64-R64&gt;0,S64-R64,0)+IF(S65-R65&gt;0,S65-R65,0)</f>
        <v>0</v>
      </c>
      <c r="T70" s="39">
        <f>IF(T4-S4&gt;0,T4-S4,0)+IF(T6-S6&gt;0,T6-S6,0)+IF(T8-S8&gt;0,T8-S8,0)+IF(T9-S9&gt;0,T9-S9,0)+IF(T11-S11&gt;0,T11-S11,0)+IF(T12-S12&gt;0,T12-S12,0)+IF(T13-S13&gt;0,T13-S13,0)+IF(T14-S14&gt;0,T14-S14,0)+IF(T15-S15&gt;0,T15-S15,0)+IF(T16-S16&gt;0,T16-S16,0)+IF(T17-S17&gt;0,T17-S17,0)+IF(T18-S18&gt;0,T18-S18,0)+IF(T19-S19&gt;0,T19-S19,0)+IF(T23-S23&gt;0,T23-S23,0)+IF(T24-S24&gt;0,T24-S24,0)+IF(T25-S25&gt;0,T25-S25,0)+IF(T26-S26&gt;0,T26-S26,0)+IF(T27-S27&gt;0,T27-S27,0)+IF(T28-S28&gt;0,T28-S28,0)+IF(T29-S29&gt;0,T29-S29,0)+IF(T30-S30&gt;0,T30-S30,0)+IF(T31-S31&gt;0,T31-S31,0)+IF(T32-S32&gt;0,T32-S32,0)+IF(T33-S33&gt;0,T33-S33,0)+IF(T34-S34&gt;0,T34-S34,0)+IF(T35-S35&gt;0,T35-S35,0)+IF(T36-S36&gt;0,T36-S36,0)+IF(T37-S37&gt;0,T37-S37,0)+IF(T38-S38&gt;0,T38-S38,0)+IF(T39-S39&gt;0,T39-S39,0)+IF(T40-S40&gt;0,T40-S40,0)+IF(T41-S41&gt;0,T41-S41,0)+IF(T42-S42&gt;0,T42-S42,0)+IF(T43-S43&gt;0,T43-S43,0)+IF(T44-S44&gt;0,T44-S44,0)+IF(T45-S45&gt;0,T45-S45,0)+IF(T46-S46&gt;0,T46-S46,0)+IF(T47-S47&gt;0,T47-S47,0)+IF(T48-S48&gt;0,T48-S48,0)+IF(T49-S49&gt;0,T49-S49,0)+IF(T50-S50&gt;0,T50-S50,0)+IF(T51-S51&gt;0,T51-S51,0)+IF(T52-S52&gt;0,T52-S52,0)+IF(T53-S53&gt;0,T53-S53,0)+IF(T54-S54&gt;0,T54-S54,0)+IF(T55-S55&gt;0,T55-S55,0)+IF(T56-S56&gt;0,T56-S56,0)+IF(T57-S57&gt;0,T57-S57,0)+IF(T58-S58&gt;0,T58-S58,0)+IF(T59-S59&gt;0,T59-S59,0)+IF(T60-S60&gt;0,T60-S60,0)+IF(T61-S61&gt;0,T61-S61,0)+IF(T62-S62&gt;0,T62-S62,0)+IF(T63-S63&gt;0,T63-S63,0)+IF(T64-S64&gt;0,T64-S64,0)+IF(T65-S65&gt;0,T65-S65,0)</f>
        <v>2048</v>
      </c>
      <c r="U70" s="108">
        <f>IF(U4-P4&gt;0,U4-P4,0)+IF(U6-P6&gt;0,U6-P6,0)+IF(U8-P8&gt;0,U8-P8,0)+IF(U9-P9&gt;0,U9-P9,0)+IF(U11-P11&gt;0,U11-P11,0)+IF(U12-P12&gt;0,U12-P12,0)+IF(U13-P13&gt;0,U13-P13,0)+IF(U14-P14&gt;0,U14-P14,0)+IF(U15-P15&gt;0,U15-P15,0)+IF(U16-P16&gt;0,U16-P16,0)+IF(U17-P17&gt;0,U17-P17,0)+IF(U18-P18&gt;0,U18-P18,0)+IF(U19-P19&gt;0,U19-P19,0)+IF(U23-P23&gt;0,U23-P23,0)+IF(U24-P24&gt;0,U24-P24,0)+IF(U25-P25&gt;0,U25-P25,0)+IF(U26-P26&gt;0,U26-P26,0)+IF(U27-P27&gt;0,U27-P27,0)+IF(U28-P28&gt;0,U28-P28,0)+IF(U29-P29&gt;0,U29-P29,0)+IF(U30-P30&gt;0,U30-P30,0)+IF(U31-P31&gt;0,U31-P31,0)+IF(U32-P32&gt;0,U32-P32,0)+IF(U33-P33&gt;0,U33-P33,0)+IF(U34-P34&gt;0,U34-P34,0)+IF(U35-P35&gt;0,U35-P35,0)+IF(U36-P36&gt;0,U36-P36,0)+IF(U37-P37&gt;0,U37-P37,0)+IF(U38-P38&gt;0,U38-P38,0)+IF(U39-P39&gt;0,U39-P39,0)+IF(U40-P40&gt;0,U40-P40,0)+IF(U41-P41&gt;0,U41-P41,0)+IF(U42-P42&gt;0,U42-P42,0)+IF(U43-P43&gt;0,U43-P43,0)+IF(U44-P44&gt;0,U44-P44,0)+IF(U45-P45&gt;0,U45-P45,0)+IF(U46-P46&gt;0,U46-P46,0)+IF(U47-P47&gt;0,U47-P47,0)+IF(U48-P48&gt;0,U48-P48,0)+IF(U49-P49&gt;0,U49-P49,0)+IF(U50-P50&gt;0,U50-P50,0)+IF(U51-P51&gt;0,U51-P51,0)+IF(U52-P52&gt;0,U52-P52,0)+IF(U53-P53&gt;0,U53-P53,0)+IF(U54-P54&gt;0,U54-P54,0)+IF(U55-P55&gt;0,U55-P55,0)+IF(U56-P56&gt;0,U56-P56,0)+IF(U57-P57&gt;0,U57-P57,0)+IF(U58-P58&gt;0,U58-P58,0)+IF(U59-P59&gt;0,U59-P59,0)+IF(U60-P60&gt;0,U60-P60,0)+IF(U61-P61&gt;0,U61-P61,0)+IF(U62-P62&gt;0,U62-P62,0)+IF(U63-P63&gt;0,U63-P63,0)+IF(U64-P64&gt;0,U64-P64,0)+IF(U65-P65&gt;0,U65-P65,0)</f>
        <v>3448</v>
      </c>
      <c r="V70" s="39">
        <f>IF(V4-U4&gt;0,V4-U4,0)+IF(V6-U6&gt;0,V6-U6,0)+IF(V8-U8&gt;0,V8-U8,0)+IF(V9-U9&gt;0,V9-U9,0)+IF(V11-U11&gt;0,V11-U11,0)+IF(V12-U12&gt;0,V12-U12,0)+IF(V13-U13&gt;0,V13-U13,0)+IF(V14-U14&gt;0,V14-U14,0)+IF(V15-U15&gt;0,V15-U15,0)+IF(V16-U16&gt;0,V16-U16,0)+IF(V17-U17&gt;0,V17-U17,0)+IF(V18-U18&gt;0,V18-U18,0)+IF(V19-U19&gt;0,V19-U19,0)+IF(V23-U23&gt;0,V23-U23,0)+IF(V24-U24&gt;0,V24-U24,0)+IF(V25-U25&gt;0,V25-U25,0)+IF(V26-U26&gt;0,V26-U26,0)+IF(V27-U27&gt;0,V27-U27,0)+IF(V28-U28&gt;0,V28-U28,0)+IF(V29-U29&gt;0,V29-U29,0)+IF(V30-U30&gt;0,V30-U30,0)+IF(V31-U31&gt;0,V31-U31,0)+IF(V32-U32&gt;0,V32-U32,0)+IF(V33-U33&gt;0,V33-U33,0)+IF(V34-U34&gt;0,V34-U34,0)+IF(V35-U35&gt;0,V35-U35,0)+IF(V36-U36&gt;0,V36-U36,0)+IF(V37-U37&gt;0,V37-U37,0)+IF(V38-U38&gt;0,V38-U38,0)+IF(V39-U39&gt;0,V39-U39,0)+IF(V40-U40&gt;0,V40-U40,0)+IF(V41-U41&gt;0,V41-U41,0)+IF(V42-U42&gt;0,V42-U42,0)+IF(V43-U43&gt;0,V43-U43,0)+IF(V44-U44&gt;0,V44-U44,0)+IF(V45-U45&gt;0,V45-U45,0)+IF(V46-U46&gt;0,V46-U46,0)+IF(V47-U47&gt;0,V47-U47,0)+IF(V48-U48&gt;0,V48-U48,0)+IF(V49-U49&gt;0,V49-U49,0)+IF(V50-U50&gt;0,V50-U50,0)+IF(V51-U51&gt;0,V51-U51,0)+IF(V52-U52&gt;0,V52-U52,0)+IF(V53-U53&gt;0,V53-U53,0)+IF(V54-U54&gt;0,V54-U54,0)+IF(V55-U55&gt;0,V55-U55,0)+IF(V56-U56&gt;0,V56-U56,0)+IF(V57-U57&gt;0,V57-U57,0)+IF(V58-U58&gt;0,V58-U58,0)+IF(V59-U59&gt;0,V59-U59,0)+IF(V60-U60&gt;0,V60-U60,0)+IF(V61-U61&gt;0,V61-U61,0)+IF(V62-U62&gt;0,V62-U62,0)+IF(V63-U63&gt;0,V63-U63,0)+IF(V64-U64&gt;0,V64-U64,0)+IF(V65-U65&gt;0,V65-U65,0)</f>
        <v>1597</v>
      </c>
      <c r="W70" s="39">
        <f>IF(W4-V4&gt;0,W4-V4,0)+IF(W6-V6&gt;0,W6-V6,0)+IF(W8-V8&gt;0,W8-V8,0)+IF(W9-V9&gt;0,W9-V9,0)+IF(W11-V11&gt;0,W11-V11,0)+IF(W12-V12&gt;0,W12-V12,0)+IF(W13-V13&gt;0,W13-V13,0)+IF(W14-V14&gt;0,W14-V14,0)+IF(W15-V15&gt;0,W15-V15,0)+IF(W16-V16&gt;0,W16-V16,0)+IF(W17-V17&gt;0,W17-V17,0)+IF(W18-V18&gt;0,W18-V18,0)+IF(W19-V19&gt;0,W19-V19,0)+IF(W23-V23&gt;0,W23-V23,0)+IF(W24-V24&gt;0,W24-V24,0)+IF(W25-V25&gt;0,W25-V25,0)+IF(W26-V26&gt;0,W26-V26,0)+IF(W27-V27&gt;0,W27-V27,0)+IF(W28-V28&gt;0,W28-V28,0)+IF(W29-V29&gt;0,W29-V29,0)+IF(W30-V30&gt;0,W30-V30,0)+IF(W31-V31&gt;0,W31-V31,0)+IF(W32-V32&gt;0,W32-V32,0)+IF(W33-V33&gt;0,W33-V33,0)+IF(W34-V34&gt;0,W34-V34,0)+IF(W35-V35&gt;0,W35-V35,0)+IF(W36-V36&gt;0,W36-V36,0)+IF(W37-V37&gt;0,W37-V37,0)+IF(W38-V38&gt;0,W38-V38,0)+IF(W39-V39&gt;0,W39-V39,0)+IF(W40-V40&gt;0,W40-V40,0)+IF(W41-V41&gt;0,W41-V41,0)+IF(W42-V42&gt;0,W42-V42,0)+IF(W43-V43&gt;0,W43-V43,0)+IF(W44-V44&gt;0,W44-V44,0)+IF(W45-V45&gt;0,W45-V45,0)+IF(W46-V46&gt;0,W46-V46,0)+IF(W47-V47&gt;0,W47-V47,0)+IF(W48-V48&gt;0,W48-V48,0)+IF(W49-V49&gt;0,W49-V49,0)+IF(W50-V50&gt;0,W50-V50,0)+IF(W51-V51&gt;0,W51-V51,0)+IF(W52-V52&gt;0,W52-V52,0)+IF(W53-V53&gt;0,W53-V53,0)+IF(W54-V54&gt;0,W54-V54,0)+IF(W55-V55&gt;0,W55-V55,0)+IF(W56-V56&gt;0,W56-V56,0)+IF(W57-V57&gt;0,W57-V57,0)+IF(W58-V58&gt;0,W58-V58,0)+IF(W59-V59&gt;0,W59-V59,0)+IF(W60-V60&gt;0,W60-V60,0)+IF(W61-V61&gt;0,W61-V61,0)+IF(W62-V62&gt;0,W62-V62,0)+IF(W63-V63&gt;0,W63-V63,0)+IF(W64-V64&gt;0,W64-V64,0)+IF(W65-V65&gt;0,W65-V65,0)</f>
        <v>4495</v>
      </c>
      <c r="X70" s="39">
        <f>IF(X4-W4&gt;0,X4-W4,0)+IF(X6-W6&gt;0,X6-W6,0)+IF(X8-W8&gt;0,X8-W8,0)+IF(X9-W9&gt;0,X9-W9,0)+IF(X11-W11&gt;0,X11-W11,0)+IF(X12-W12&gt;0,X12-W12,0)+IF(X13-W13&gt;0,X13-W13,0)+IF(X14-W14&gt;0,X14-W14,0)+IF(X15-W15&gt;0,X15-W15,0)+IF(X16-W16&gt;0,X16-W16,0)+IF(X17-W17&gt;0,X17-W17,0)+IF(X18-W18&gt;0,X18-W18,0)+IF(X19-W19&gt;0,X19-W19,0)+IF(X23-W23&gt;0,X23-W23,0)+IF(X24-W24&gt;0,X24-W24,0)+IF(X25-W25&gt;0,X25-W25,0)+IF(X26-W26&gt;0,X26-W26,0)+IF(X27-W27&gt;0,X27-W27,0)+IF(X28-W28&gt;0,X28-W28,0)+IF(X29-W29&gt;0,X29-W29,0)+IF(X30-W30&gt;0,X30-W30,0)+IF(X31-W31&gt;0,X31-W31,0)+IF(X32-W32&gt;0,X32-W32,0)+IF(X33-W33&gt;0,X33-W33,0)+IF(X34-W34&gt;0,X34-W34,0)+IF(X35-W35&gt;0,X35-W35,0)+IF(X36-W36&gt;0,X36-W36,0)+IF(X37-W37&gt;0,X37-W37,0)+IF(X38-W38&gt;0,X38-W38,0)+IF(X39-W39&gt;0,X39-W39,0)+IF(X40-W40&gt;0,X40-W40,0)+IF(X41-W41&gt;0,X41-W41,0)+IF(X42-W42&gt;0,X42-W42,0)+IF(X43-W43&gt;0,X43-W43,0)+IF(X44-W44&gt;0,X44-W44,0)+IF(X45-W45&gt;0,X45-W45,0)+IF(X46-W46&gt;0,X46-W46,0)+IF(X47-W47&gt;0,X47-W47,0)+IF(X48-W48&gt;0,X48-W48,0)+IF(X49-W49&gt;0,X49-W49,0)+IF(X50-W50&gt;0,X50-W50,0)+IF(X51-W51&gt;0,X51-W51,0)+IF(X52-W52&gt;0,X52-W52,0)+IF(X53-W53&gt;0,X53-W53,0)+IF(X54-W54&gt;0,X54-W54,0)+IF(X55-W55&gt;0,X55-W55,0)+IF(X56-W56&gt;0,X56-W56,0)+IF(X57-W57&gt;0,X57-W57,0)+IF(X58-W58&gt;0,X58-W58,0)+IF(X59-W59&gt;0,X59-W59,0)+IF(X60-W60&gt;0,X60-W60,0)+IF(X61-W61&gt;0,X61-W61,0)+IF(X62-W62&gt;0,X62-W62,0)+IF(X63-W63&gt;0,X63-W63,0)+IF(X64-W64&gt;0,X64-W64,0)+IF(X65-W65&gt;0,X65-W65,0)</f>
        <v>5503</v>
      </c>
      <c r="Y70" s="39">
        <f>IF(Y4-X4&gt;0,Y4-X4,0)+IF(Y6-X6&gt;0,Y6-X6,0)+IF(Y8-X8&gt;0,Y8-X8,0)+IF(Y9-X9&gt;0,Y9-X9,0)+IF(Y11-X11&gt;0,Y11-X11,0)+IF(Y12-X12&gt;0,Y12-X12,0)+IF(Y13-X13&gt;0,Y13-X13,0)+IF(Y14-X14&gt;0,Y14-X14,0)+IF(Y15-X15&gt;0,Y15-X15,0)+IF(Y16-X16&gt;0,Y16-X16,0)+IF(Y17-X17&gt;0,Y17-X17,0)+IF(Y18-X18&gt;0,Y18-X18,0)+IF(Y19-X19&gt;0,Y19-X19,0)+IF(Y23-X23&gt;0,Y23-X23,0)+IF(Y24-X24&gt;0,Y24-X24,0)+IF(Y25-X25&gt;0,Y25-X25,0)+IF(Y26-X26&gt;0,Y26-X26,0)+IF(Y27-X27&gt;0,Y27-X27,0)+IF(Y28-X28&gt;0,Y28-X28,0)+IF(Y29-X29&gt;0,Y29-X29,0)+IF(Y30-X30&gt;0,Y30-X30,0)+IF(Y31-X31&gt;0,Y31-X31,0)+IF(Y32-X32&gt;0,Y32-X32,0)+IF(Y33-X33&gt;0,Y33-X33,0)+IF(Y34-X34&gt;0,Y34-X34,0)+IF(Y35-X35&gt;0,Y35-X35,0)+IF(Y36-X36&gt;0,Y36-X36,0)+IF(Y37-X37&gt;0,Y37-X37,0)+IF(Y38-X38&gt;0,Y38-X38,0)+IF(Y39-X39&gt;0,Y39-X39,0)+IF(Y40-X40&gt;0,Y40-X40,0)+IF(Y41-X41&gt;0,Y41-X41,0)+IF(Y42-X42&gt;0,Y42-X42,0)+IF(Y43-X43&gt;0,Y43-X43,0)+IF(Y44-X44&gt;0,Y44-X44,0)+IF(Y45-X45&gt;0,Y45-X45,0)+IF(Y46-X46&gt;0,Y46-X46,0)+IF(Y47-X47&gt;0,Y47-X47,0)+IF(Y48-X48&gt;0,Y48-X48,0)+IF(Y49-X49&gt;0,Y49-X49,0)+IF(Y50-X50&gt;0,Y50-X50,0)+IF(Y51-X51&gt;0,Y51-X51,0)+IF(Y52-X52&gt;0,Y52-X52,0)+IF(Y53-X53&gt;0,Y53-X53,0)+IF(Y54-X54&gt;0,Y54-X54,0)+IF(Y55-X55&gt;0,Y55-X55,0)+IF(Y56-X56&gt;0,Y56-X56,0)+IF(Y57-X57&gt;0,Y57-X57,0)+IF(Y58-X58&gt;0,Y58-X58,0)+IF(Y59-X59&gt;0,Y59-X59,0)+IF(Y60-X60&gt;0,Y60-X60,0)+IF(Y61-X61&gt;0,Y61-X61,0)+IF(Y62-X62&gt;0,Y62-X62,0)+IF(Y63-X63&gt;0,Y63-X63,0)+IF(Y64-X64&gt;0,Y64-X64,0)+IF(Y65-X65&gt;0,Y65-X65,0)</f>
        <v>3198.7370000000001</v>
      </c>
      <c r="Z70" s="108">
        <f>IF(Z4-U4&gt;0,Z4-U4,0)+IF(Z6-U6&gt;0,Z6-U6,0)+IF(Z8-U8&gt;0,Z8-U8,0)+IF(Z9-U9&gt;0,Z9-U9,0)+IF(Z11-U11&gt;0,Z11-U11,0)+IF(Z12-U12&gt;0,Z12-U12,0)+IF(Z13-U13&gt;0,Z13-U13,0)+IF(Z14-U14&gt;0,Z14-U14,0)+IF(Z15-U15&gt;0,Z15-U15,0)+IF(Z16-U16&gt;0,Z16-U16,0)+IF(Z17-U17&gt;0,Z17-U17,0)+IF(Z18-U18&gt;0,Z18-U18,0)+IF(Z19-U19&gt;0,Z19-U19,0)+IF(Z23-U23&gt;0,Z23-U23,0)+IF(Z24-U24&gt;0,Z24-U24,0)+IF(Z25-U25&gt;0,Z25-U25,0)+IF(Z26-U26&gt;0,Z26-U26,0)+IF(Z27-U27&gt;0,Z27-U27,0)+IF(Z28-U28&gt;0,Z28-U28,0)+IF(Z29-U29&gt;0,Z29-U29,0)+IF(Z30-U30&gt;0,Z30-U30,0)+IF(Z31-U31&gt;0,Z31-U31,0)+IF(Z32-U32&gt;0,Z32-U32,0)+IF(Z33-U33&gt;0,Z33-U33,0)+IF(Z34-U34&gt;0,Z34-U34,0)+IF(Z35-U35&gt;0,Z35-U35,0)+IF(Z36-U36&gt;0,Z36-U36,0)+IF(Z37-U37&gt;0,Z37-U37,0)+IF(Z38-U38&gt;0,Z38-U38,0)+IF(Z39-U39&gt;0,Z39-U39,0)+IF(Z40-U40&gt;0,Z40-U40,0)+IF(Z41-U41&gt;0,Z41-U41,0)+IF(Z42-U42&gt;0,Z42-U42,0)+IF(Z43-U43&gt;0,Z43-U43,0)+IF(Z44-U44&gt;0,Z44-U44,0)+IF(Z45-U45&gt;0,Z45-U45,0)+IF(Z46-U46&gt;0,Z46-U46,0)+IF(Z47-U47&gt;0,Z47-U47,0)+IF(Z48-U48&gt;0,Z48-U48,0)+IF(Z49-U49&gt;0,Z49-U49,0)+IF(Z50-U50&gt;0,Z50-U50,0)+IF(Z51-U51&gt;0,Z51-U51,0)+IF(Z52-U52&gt;0,Z52-U52,0)+IF(Z53-U53&gt;0,Z53-U53,0)+IF(Z54-U54&gt;0,Z54-U54,0)+IF(Z55-U55&gt;0,Z55-U55,0)+IF(Z56-U56&gt;0,Z56-U56,0)+IF(Z57-U57&gt;0,Z57-U57,0)+IF(Z58-U58&gt;0,Z58-U58,0)+IF(Z59-U59&gt;0,Z59-U59,0)+IF(Z60-U60&gt;0,Z60-U60,0)+IF(Z61-U61&gt;0,Z61-U61,0)+IF(Z62-U62&gt;0,Z62-U62,0)+IF(Z63-U63&gt;0,Z63-U63,0)+IF(Z64-U64&gt;0,Z64-U64,0)+IF(Z65-U65&gt;0,Z65-U65,0)</f>
        <v>14793.736999999999</v>
      </c>
      <c r="AA70" s="39">
        <f>IF(AA4-Z4&gt;0,AA4-Z4,0)+IF(AA6-Z6&gt;0,AA6-Z6,0)+IF(AA8-Z8&gt;0,AA8-Z8,0)+IF(AA9-Z9&gt;0,AA9-Z9,0)+IF(AA11-Z11&gt;0,AA11-Z11,0)+IF(AA12-Z12&gt;0,AA12-Z12,0)+IF(AA13-Z13&gt;0,AA13-Z13,0)+IF(AA14-Z14&gt;0,AA14-Z14,0)+IF(AA15-Z15&gt;0,AA15-Z15,0)+IF(AA16-Z16&gt;0,AA16-Z16,0)+IF(AA17-Z17&gt;0,AA17-Z17,0)+IF(AA18-Z18&gt;0,AA18-Z18,0)+IF(AA19-Z19&gt;0,AA19-Z19,0)+IF(AA23-Z23&gt;0,AA23-Z23,0)+IF(AA24-Z24&gt;0,AA24-Z24,0)+IF(AA25-Z25&gt;0,AA25-Z25,0)+IF(AA26-Z26&gt;0,AA26-Z26,0)+IF(AA27-Z27&gt;0,AA27-Z27,0)+IF(AA28-Z28&gt;0,AA28-Z28,0)+IF(AA29-Z29&gt;0,AA29-Z29,0)+IF(AA30-Z30&gt;0,AA30-Z30,0)+IF(AA31-Z31&gt;0,AA31-Z31,0)+IF(AA32-Z32&gt;0,AA32-Z32,0)+IF(AA33-Z33&gt;0,AA33-Z33,0)+IF(AA34-Z34&gt;0,AA34-Z34,0)+IF(AA35-Z35&gt;0,AA35-Z35,0)+IF(AA36-Z36&gt;0,AA36-Z36,0)+IF(AA37-Z37&gt;0,AA37-Z37,0)+IF(AA38-Z38&gt;0,AA38-Z38,0)+IF(AA39-Z39&gt;0,AA39-Z39,0)+IF(AA40-Z40&gt;0,AA40-Z40,0)+IF(AA41-Z41&gt;0,AA41-Z41,0)+IF(AA42-Z42&gt;0,AA42-Z42,0)+IF(AA43-Z43&gt;0,AA43-Z43,0)+IF(AA44-Z44&gt;0,AA44-Z44,0)+IF(AA45-Z45&gt;0,AA45-Z45,0)+IF(AA46-Z46&gt;0,AA46-Z46,0)+IF(AA47-Z47&gt;0,AA47-Z47,0)+IF(AA48-Z48&gt;0,AA48-Z48,0)+IF(AA49-Z49&gt;0,AA49-Z49,0)+IF(AA50-Z50&gt;0,AA50-Z50,0)+IF(AA51-Z51&gt;0,AA51-Z51,0)+IF(AA52-Z52&gt;0,AA52-Z52,0)+IF(AA53-Z53&gt;0,AA53-Z53,0)+IF(AA54-Z54&gt;0,AA54-Z54,0)+IF(AA55-Z55&gt;0,AA55-Z55,0)+IF(AA56-Z56&gt;0,AA56-Z56,0)+IF(AA57-Z57&gt;0,AA57-Z57,0)+IF(AA58-Z58&gt;0,AA58-Z58,0)+IF(AA59-Z59&gt;0,AA59-Z59,0)+IF(AA60-Z60&gt;0,AA60-Z60,0)+IF(AA61-Z61&gt;0,AA61-Z61,0)+IF(AA62-Z62&gt;0,AA62-Z62,0)+IF(AA63-Z63&gt;0,AA63-Z63,0)+IF(AA64-Z64&gt;0,AA64-Z64,0)+IF(AA65-Z65&gt;0,AA65-Z65,0)</f>
        <v>13825.403</v>
      </c>
      <c r="AB70" s="39">
        <f>IF(AB4-AA4&gt;0,AB4-AA4,0)+IF(AB6-AA6&gt;0,AB6-AA6,0)+IF(AB8-AA8&gt;0,AB8-AA8,0)+IF(AB9-AA9&gt;0,AB9-AA9,0)+IF(AB11-AA11&gt;0,AB11-AA11,0)+IF(AB12-AA12&gt;0,AB12-AA12,0)+IF(AB13-AA13&gt;0,AB13-AA13,0)+IF(AB14-AA14&gt;0,AB14-AA14,0)+IF(AB15-AA15&gt;0,AB15-AA15,0)+IF(AB16-AA16&gt;0,AB16-AA16,0)+IF(AB17-AA17&gt;0,AB17-AA17,0)+IF(AB18-AA18&gt;0,AB18-AA18,0)+IF(AB19-AA19&gt;0,AB19-AA19,0)+IF(AB23-AA23&gt;0,AB23-AA23,0)+IF(AB24-AA24&gt;0,AB24-AA24,0)+IF(AB25-AA25&gt;0,AB25-AA25,0)+IF(AB26-AA26&gt;0,AB26-AA26,0)+IF(AB27-AA27&gt;0,AB27-AA27,0)+IF(AB28-AA28&gt;0,AB28-AA28,0)+IF(AB29-AA29&gt;0,AB29-AA29,0)+IF(AB30-AA30&gt;0,AB30-AA30,0)+IF(AB31-AA31&gt;0,AB31-AA31,0)+IF(AB32-AA32&gt;0,AB32-AA32,0)+IF(AB33-AA33&gt;0,AB33-AA33,0)+IF(AB34-AA34&gt;0,AB34-AA34,0)+IF(AB35-AA35&gt;0,AB35-AA35,0)+IF(AB36-AA36&gt;0,AB36-AA36,0)+IF(AB37-AA37&gt;0,AB37-AA37,0)+IF(AB38-AA38&gt;0,AB38-AA38,0)+IF(AB39-AA39&gt;0,AB39-AA39,0)+IF(AB40-AA40&gt;0,AB40-AA40,0)+IF(AB41-AA41&gt;0,AB41-AA41,0)+IF(AB42-AA42&gt;0,AB42-AA42,0)+IF(AB43-AA43&gt;0,AB43-AA43,0)+IF(AB44-AA44&gt;0,AB44-AA44,0)+IF(AB45-AA45&gt;0,AB45-AA45,0)+IF(AB46-AA46&gt;0,AB46-AA46,0)+IF(AB47-AA47&gt;0,AB47-AA47,0)+IF(AB48-AA48&gt;0,AB48-AA48,0)+IF(AB49-AA49&gt;0,AB49-AA49,0)+IF(AB50-AA50&gt;0,AB50-AA50,0)+IF(AB51-AA51&gt;0,AB51-AA51,0)+IF(AB52-AA52&gt;0,AB52-AA52,0)+IF(AB53-AA53&gt;0,AB53-AA53,0)+IF(AB54-AA54&gt;0,AB54-AA54,0)+IF(AB55-AA55&gt;0,AB55-AA55,0)+IF(AB56-AA56&gt;0,AB56-AA56,0)+IF(AB57-AA57&gt;0,AB57-AA57,0)+IF(AB58-AA58&gt;0,AB58-AA58,0)+IF(AB59-AA59&gt;0,AB59-AA59,0)+IF(AB60-AA60&gt;0,AB60-AA60,0)+IF(AB61-AA61&gt;0,AB61-AA61,0)+IF(AB62-AA62&gt;0,AB62-AA62,0)+IF(AB63-AA63&gt;0,AB63-AA63,0)+IF(AB64-AA64&gt;0,AB64-AA64,0)+IF(AB65-AA65&gt;0,AB65-AA65,0)</f>
        <v>25000</v>
      </c>
      <c r="AC70" s="39">
        <f>IF(AC4-AB4&gt;0,AC4-AB4,0)+IF(AC6-AB6&gt;0,AC6-AB6,0)+IF(AC8-AB8&gt;0,AC8-AB8,0)+IF(AC9-AB9&gt;0,AC9-AB9,0)+IF(AC11-AB11&gt;0,AC11-AB11,0)+IF(AC12-AB12&gt;0,AC12-AB12,0)+IF(AC13-AB13&gt;0,AC13-AB13,0)+IF(AC14-AB14&gt;0,AC14-AB14,0)+IF(AC15-AB15&gt;0,AC15-AB15,0)+IF(AC16-AB16&gt;0,AC16-AB16,0)+IF(AC17-AB17&gt;0,AC17-AB17,0)+IF(AC18-AB18&gt;0,AC18-AB18,0)+IF(AC19-AB19&gt;0,AC19-AB19,0)+IF(AC23-AB23&gt;0,AC23-AB23,0)+IF(AC24-AB24&gt;0,AC24-AB24,0)+IF(AC25-AB25&gt;0,AC25-AB25,0)+IF(AC26-AB26&gt;0,AC26-AB26,0)+IF(AC27-AB27&gt;0,AC27-AB27,0)+IF(AC28-AB28&gt;0,AC28-AB28,0)+IF(AC29-AB29&gt;0,AC29-AB29,0)+IF(AC30-AB30&gt;0,AC30-AB30,0)+IF(AC31-AB31&gt;0,AC31-AB31,0)+IF(AC32-AB32&gt;0,AC32-AB32,0)+IF(AC33-AB33&gt;0,AC33-AB33,0)+IF(AC34-AB34&gt;0,AC34-AB34,0)+IF(AC35-AB35&gt;0,AC35-AB35,0)+IF(AC36-AB36&gt;0,AC36-AB36,0)+IF(AC37-AB37&gt;0,AC37-AB37,0)+IF(AC38-AB38&gt;0,AC38-AB38,0)+IF(AC39-AB39&gt;0,AC39-AB39,0)+IF(AC40-AB40&gt;0,AC40-AB40,0)+IF(AC41-AB41&gt;0,AC41-AB41,0)+IF(AC42-AB42&gt;0,AC42-AB42,0)+IF(AC43-AB43&gt;0,AC43-AB43,0)+IF(AC44-AB44&gt;0,AC44-AB44,0)+IF(AC45-AB45&gt;0,AC45-AB45,0)+IF(AC46-AB46&gt;0,AC46-AB46,0)+IF(AC47-AB47&gt;0,AC47-AB47,0)+IF(AC48-AB48&gt;0,AC48-AB48,0)+IF(AC49-AB49&gt;0,AC49-AB49,0)+IF(AC50-AB50&gt;0,AC50-AB50,0)+IF(AC51-AB51&gt;0,AC51-AB51,0)+IF(AC52-AB52&gt;0,AC52-AB52,0)+IF(AC53-AB53&gt;0,AC53-AB53,0)+IF(AC54-AB54&gt;0,AC54-AB54,0)+IF(AC55-AB55&gt;0,AC55-AB55,0)+IF(AC56-AB56&gt;0,AC56-AB56,0)+IF(AC57-AB57&gt;0,AC57-AB57,0)+IF(AC58-AB58&gt;0,AC58-AB58,0)+IF(AC59-AB59&gt;0,AC59-AB59,0)+IF(AC60-AB60&gt;0,AC60-AB60,0)+IF(AC61-AB61&gt;0,AC61-AB61,0)+IF(AC62-AB62&gt;0,AC62-AB62,0)+IF(AC63-AB63&gt;0,AC63-AB63,0)+IF(AC64-AB64&gt;0,AC64-AB64,0)+IF(AC65-AB65&gt;0,AC65-AB65,0)</f>
        <v>1880</v>
      </c>
      <c r="AD70" s="39">
        <f>IF(AD4-AC4&gt;0,AD4-AC4,0)+IF(AD6-AC6&gt;0,AD6-AC6,0)+IF(AD8-AC8&gt;0,AD8-AC8,0)+IF(AD9-AC9&gt;0,AD9-AC9,0)+IF(AD11-AC11&gt;0,AD11-AC11,0)+IF(AD12-AC12&gt;0,AD12-AC12,0)+IF(AD13-AC13&gt;0,AD13-AC13,0)+IF(AD14-AC14&gt;0,AD14-AC14,0)+IF(AD15-AC15&gt;0,AD15-AC15,0)+IF(AD16-AC16&gt;0,AD16-AC16,0)+IF(AD17-AC17&gt;0,AD17-AC17,0)+IF(AD18-AC18&gt;0,AD18-AC18,0)+IF(AD19-AC19&gt;0,AD19-AC19,0)+IF(AD23-AC23&gt;0,AD23-AC23,0)+IF(AD24-AC24&gt;0,AD24-AC24,0)+IF(AD25-AC25&gt;0,AD25-AC25,0)+IF(AD26-AC26&gt;0,AD26-AC26,0)+IF(AD27-AC27&gt;0,AD27-AC27,0)+IF(AD28-AC28&gt;0,AD28-AC28,0)+IF(AD29-AC29&gt;0,AD29-AC29,0)+IF(AD30-AC30&gt;0,AD30-AC30,0)+IF(AD31-AC31&gt;0,AD31-AC31,0)+IF(AD32-AC32&gt;0,AD32-AC32,0)+IF(AD33-AC33&gt;0,AD33-AC33,0)+IF(AD34-AC34&gt;0,AD34-AC34,0)+IF(AD35-AC35&gt;0,AD35-AC35,0)+IF(AD36-AC36&gt;0,AD36-AC36,0)+IF(AD37-AC37&gt;0,AD37-AC37,0)+IF(AD38-AC38&gt;0,AD38-AC38,0)+IF(AD39-AC39&gt;0,AD39-AC39,0)+IF(AD40-AC40&gt;0,AD40-AC40,0)+IF(AD41-AC41&gt;0,AD41-AC41,0)+IF(AD42-AC42&gt;0,AD42-AC42,0)+IF(AD43-AC43&gt;0,AD43-AC43,0)+IF(AD44-AC44&gt;0,AD44-AC44,0)+IF(AD45-AC45&gt;0,AD45-AC45,0)+IF(AD46-AC46&gt;0,AD46-AC46,0)+IF(AD47-AC47&gt;0,AD47-AC47,0)+IF(AD48-AC48&gt;0,AD48-AC48,0)+IF(AD49-AC49&gt;0,AD49-AC49,0)+IF(AD50-AC50&gt;0,AD50-AC50,0)+IF(AD51-AC51&gt;0,AD51-AC51,0)+IF(AD52-AC52&gt;0,AD52-AC52,0)+IF(AD53-AC53&gt;0,AD53-AC53,0)+IF(AD54-AC54&gt;0,AD54-AC54,0)+IF(AD55-AC55&gt;0,AD55-AC55,0)+IF(AD56-AC56&gt;0,AD56-AC56,0)+IF(AD57-AC57&gt;0,AD57-AC57,0)+IF(AD58-AC58&gt;0,AD58-AC58,0)+IF(AD59-AC59&gt;0,AD59-AC59,0)+IF(AD60-AC60&gt;0,AD60-AC60,0)+IF(AD61-AC61&gt;0,AD61-AC61,0)+IF(AD62-AC62&gt;0,AD62-AC62,0)+IF(AD63-AC63&gt;0,AD63-AC63,0)+IF(AD64-AC64&gt;0,AD64-AC64,0)+IF(AD65-AC65&gt;0,AD65-AC65,0)</f>
        <v>4874</v>
      </c>
      <c r="AE70" s="108">
        <f>IF(AE4-Z4&gt;0,AE4-Z4,0)+IF(AE6-Z6&gt;0,AE6-Z6,0)+IF(AE8-Z8&gt;0,AE8-Z8,0)+IF(AE9-Z9&gt;0,AE9-Z9,0)+IF(AE11-Z11&gt;0,AE11-Z11,0)+IF(AE12-Z12&gt;0,AE12-Z12,0)+IF(AE13-Z13&gt;0,AE13-Z13,0)+IF(AE14-Z14&gt;0,AE14-Z14,0)+IF(AE15-Z15&gt;0,AE15-Z15,0)+IF(AE16-Z16&gt;0,AE16-Z16,0)+IF(AE17-Z17&gt;0,AE17-Z17,0)+IF(AE18-Z18&gt;0,AE18-Z18,0)+IF(AE19-Z19&gt;0,AE19-Z19,0)+IF(AE23-Z23&gt;0,AE23-Z23,0)+IF(AE24-Z24&gt;0,AE24-Z24,0)+IF(AE25-Z25&gt;0,AE25-Z25,0)+IF(AE26-Z26&gt;0,AE26-Z26,0)+IF(AE27-Z27&gt;0,AE27-Z27,0)+IF(AE28-Z28&gt;0,AE28-Z28,0)+IF(AE29-Z29&gt;0,AE29-Z29,0)+IF(AE30-Z30&gt;0,AE30-Z30,0)+IF(AE31-Z31&gt;0,AE31-Z31,0)+IF(AE32-Z32&gt;0,AE32-Z32,0)+IF(AE33-Z33&gt;0,AE33-Z33,0)+IF(AE34-Z34&gt;0,AE34-Z34,0)+IF(AE35-Z35&gt;0,AE35-Z35,0)+IF(AE36-Z36&gt;0,AE36-Z36,0)+IF(AE37-Z37&gt;0,AE37-Z37,0)+IF(AE38-Z38&gt;0,AE38-Z38,0)+IF(AE39-Z39&gt;0,AE39-Z39,0)+IF(AE40-Z40&gt;0,AE40-Z40,0)+IF(AE41-Z41&gt;0,AE41-Z41,0)+IF(AE42-Z42&gt;0,AE42-Z42,0)+IF(AE43-Z43&gt;0,AE43-Z43,0)+IF(AE44-Z44&gt;0,AE44-Z44,0)+IF(AE45-Z45&gt;0,AE45-Z45,0)+IF(AE46-Z46&gt;0,AE46-Z46,0)+IF(AE47-Z47&gt;0,AE47-Z47,0)+IF(AE48-Z48&gt;0,AE48-Z48,0)+IF(AE49-Z49&gt;0,AE49-Z49,0)+IF(AE50-Z50&gt;0,AE50-Z50,0)+IF(AE51-Z51&gt;0,AE51-Z51,0)+IF(AE52-Z52&gt;0,AE52-Z52,0)+IF(AE53-Z53&gt;0,AE53-Z53,0)+IF(AE54-Z54&gt;0,AE54-Z54,0)+IF(AE55-Z55&gt;0,AE55-Z55,0)+IF(AE56-Z56&gt;0,AE56-Z56,0)+IF(AE57-Z57&gt;0,AE57-Z57,0)+IF(AE58-Z58&gt;0,AE58-Z58,0)+IF(AE59-Z59&gt;0,AE59-Z59,0)+IF(AE60-Z60&gt;0,AE60-Z60,0)+IF(AE61-Z61&gt;0,AE61-Z61,0)+IF(AE62-Z62&gt;0,AE62-Z62,0)+IF(AE63-Z63&gt;0,AE63-Z63,0)+IF(AE64-Z64&gt;0,AE64-Z64,0)+IF(AE65-Z65&gt;0,AE65-Z65,0)</f>
        <v>45290</v>
      </c>
      <c r="AF70" s="39">
        <f>IF(AF4-AE4&gt;0,AF4-AE4,0)+IF(AF6-AE6&gt;0,AF6-AE6,0)+IF(AF8-AE8&gt;0,AF8-AE8,0)+IF(AF9-AE9&gt;0,AF9-AE9,0)+IF(AF11-AE11&gt;0,AF11-AE11,0)+IF(AF12-AE12&gt;0,AF12-AE12,0)+IF(AF13-AE13&gt;0,AF13-AE13,0)+IF(AF14-AE14&gt;0,AF14-AE14,0)+IF(AF15-AE15&gt;0,AF15-AE15,0)+IF(AF16-AE16&gt;0,AF16-AE16,0)+IF(AF17-AE17&gt;0,AF17-AE17,0)+IF(AF18-AE18&gt;0,AF18-AE18,0)+IF(AF19-AE19&gt;0,AF19-AE19,0)+IF(AF23-AE23&gt;0,AF23-AE23,0)+IF(AF24-AE24&gt;0,AF24-AE24,0)+IF(AF25-AE25&gt;0,AF25-AE25,0)+IF(AF26-AE26&gt;0,AF26-AE26,0)+IF(AF27-AE27&gt;0,AF27-AE27,0)+IF(AF28-AE28&gt;0,AF28-AE28,0)+IF(AF29-AE29&gt;0,AF29-AE29,0)+IF(AF30-AE30&gt;0,AF30-AE30,0)+IF(AF31-AE31&gt;0,AF31-AE31,0)+IF(AF32-AE32&gt;0,AF32-AE32,0)+IF(AF33-AE33&gt;0,AF33-AE33,0)+IF(AF34-AE34&gt;0,AF34-AE34,0)+IF(AF35-AE35&gt;0,AF35-AE35,0)+IF(AF36-AE36&gt;0,AF36-AE36,0)+IF(AF37-AE37&gt;0,AF37-AE37,0)+IF(AF38-AE38&gt;0,AF38-AE38,0)+IF(AF39-AE39&gt;0,AF39-AE39,0)+IF(AF40-AE40&gt;0,AF40-AE40,0)+IF(AF41-AE41&gt;0,AF41-AE41,0)+IF(AF42-AE42&gt;0,AF42-AE42,0)+IF(AF43-AE43&gt;0,AF43-AE43,0)+IF(AF44-AE44&gt;0,AF44-AE44,0)+IF(AF45-AE45&gt;0,AF45-AE45,0)+IF(AF46-AE46&gt;0,AF46-AE46,0)+IF(AF47-AE47&gt;0,AF47-AE47,0)+IF(AF48-AE48&gt;0,AF48-AE48,0)+IF(AF49-AE49&gt;0,AF49-AE49,0)+IF(AF50-AE50&gt;0,AF50-AE50,0)+IF(AF51-AE51&gt;0,AF51-AE51,0)+IF(AF52-AE52&gt;0,AF52-AE52,0)+IF(AF53-AE53&gt;0,AF53-AE53,0)+IF(AF54-AE54&gt;0,AF54-AE54,0)+IF(AF55-AE55&gt;0,AF55-AE55,0)+IF(AF56-AE56&gt;0,AF56-AE56,0)+IF(AF57-AE57&gt;0,AF57-AE57,0)+IF(AF58-AE58&gt;0,AF58-AE58,0)+IF(AF59-AE59&gt;0,AF59-AE59,0)+IF(AF60-AE60&gt;0,AF60-AE60,0)+IF(AF61-AE61&gt;0,AF61-AE61,0)+IF(AF62-AE62&gt;0,AF62-AE62,0)+IF(AF63-AE63&gt;0,AF63-AE63,0)+IF(AF64-AE64&gt;0,AF64-AE64,0)+IF(AF65-AE65&gt;0,AF65-AE65,0)+IF(AF5-AE5&gt;0,AF5-AE5,0)+IF(AF7-AE7&gt;0,AF7-AE7,0)+IF(AF10-AE10&gt;0,AF10-AE10,0)+IF(AF20-AE20&gt;0,AF20-AE20,0)+IF(AF21-AE21&gt;0,AF21-AE21,0)+IF(AF22-AE22&gt;0,AF22-AE22,0)</f>
        <v>21450</v>
      </c>
      <c r="AG70" s="39">
        <f>IF(AG4-AF4&gt;0,AG4-AF4,0)+IF(AG6-AF6&gt;0,AG6-AF6,0)+IF(AG8-AF8&gt;0,AG8-AF8,0)+IF(AG9-AF9&gt;0,AG9-AF9,0)+IF(AG11-AF11&gt;0,AG11-AF11,0)+IF(AG12-AF12&gt;0,AG12-AF12,0)+IF(AG13-AF13&gt;0,AG13-AF13,0)+IF(AG14-AF14&gt;0,AG14-AF14,0)+IF(AG15-AF15&gt;0,AG15-AF15,0)+IF(AG16-AF16&gt;0,AG16-AF16,0)+IF(AG17-AF17&gt;0,AG17-AF17,0)+IF(AG18-AF18&gt;0,AG18-AF18,0)+IF(AG19-AF19&gt;0,AG19-AF19,0)+IF(AG23-AF23&gt;0,AG23-AF23,0)+IF(AG24-AF24&gt;0,AG24-AF24,0)+IF(AG25-AF25&gt;0,AG25-AF25,0)+IF(AG26-AF26&gt;0,AG26-AF26,0)+IF(AG27-AF27&gt;0,AG27-AF27,0)+IF(AG28-AF28&gt;0,AG28-AF28,0)+IF(AG29-AF29&gt;0,AG29-AF29,0)+IF(AG30-AF30&gt;0,AG30-AF30,0)+IF(AG31-AF31&gt;0,AG31-AF31,0)+IF(AG32-AF32&gt;0,AG32-AF32,0)+IF(AG33-AF33&gt;0,AG33-AF33,0)+IF(AG34-AF34&gt;0,AG34-AF34,0)+IF(AG35-AF35&gt;0,AG35-AF35,0)+IF(AG36-AF36&gt;0,AG36-AF36,0)+IF(AG37-AF37&gt;0,AG37-AF37,0)+IF(AG38-AF38&gt;0,AG38-AF38,0)+IF(AG39-AF39&gt;0,AG39-AF39,0)+IF(AG40-AF40&gt;0,AG40-AF40,0)+IF(AG41-AF41&gt;0,AG41-AF41,0)+IF(AG42-AF42&gt;0,AG42-AF42,0)+IF(AG43-AF43&gt;0,AG43-AF43,0)+IF(AG44-AF44&gt;0,AG44-AF44,0)+IF(AG45-AF45&gt;0,AG45-AF45,0)+IF(AG46-AF46&gt;0,AG46-AF46,0)+IF(AG47-AF47&gt;0,AG47-AF47,0)+IF(AG48-AF48&gt;0,AG48-AF48,0)+IF(AG49-AF49&gt;0,AG49-AF49,0)+IF(AG50-AF50&gt;0,AG50-AF50,0)+IF(AG51-AF51&gt;0,AG51-AF51,0)+IF(AG52-AF52&gt;0,AG52-AF52,0)+IF(AG53-AF53&gt;0,AG53-AF53,0)+IF(AG54-AF54&gt;0,AG54-AF54,0)+IF(AG55-AF55&gt;0,AG55-AF55,0)+IF(AG56-AF56&gt;0,AG56-AF56,0)+IF(AG57-AF57&gt;0,AG57-AF57,0)+IF(AG58-AF58&gt;0,AG58-AF58,0)+IF(AG59-AF59&gt;0,AG59-AF59,0)+IF(AG60-AF60&gt;0,AG60-AF60,0)+IF(AG61-AF61&gt;0,AG61-AF61,0)+IF(AG62-AF62&gt;0,AG62-AF62,0)+IF(AG63-AF63&gt;0,AG63-AF63,0)+IF(AG64-AF64&gt;0,AG64-AF64,0)+IF(AG65-AF65&gt;0,AG65-AF65,0)+IF(AG5-AF5&gt;0,AG5-AF5,0)+IF(AG7-AF7&gt;0,AG7-AF7,0)+IF(AG10-AF10&gt;0,AG10-AF10,0)+IF(AG20-AF20&gt;0,AG20-AF20,0)+IF(AG21-AF21&gt;0,AG21-AF21,0)+IF(AG22-AF22&gt;0,AG22-AF22,0)</f>
        <v>3962</v>
      </c>
      <c r="AH70" s="39">
        <f>IF(AH4-AG4&gt;0,AH4-AG4,0)+IF(AH6-AG6&gt;0,AH6-AG6,0)+IF(AH8-AG8&gt;0,AH8-AG8,0)+IF(AH9-AG9&gt;0,AH9-AG9,0)+IF(AH11-AG11&gt;0,AH11-AG11,0)+IF(AH12-AG12&gt;0,AH12-AG12,0)+IF(AH13-AG13&gt;0,AH13-AG13,0)+IF(AH14-AG14&gt;0,AH14-AG14,0)+IF(AH15-AG15&gt;0,AH15-AG15,0)+IF(AH16-AG16&gt;0,AH16-AG16,0)+IF(AH17-AG17&gt;0,AH17-AG17,0)+IF(AH18-AG18&gt;0,AH18-AG18,0)+IF(AH19-AG19&gt;0,AH19-AG19,0)+IF(AH23-AG23&gt;0,AH23-AG23,0)+IF(AH24-AG24&gt;0,AH24-AG24,0)+IF(AH25-AG25&gt;0,AH25-AG25,0)+IF(AH26-AG26&gt;0,AH26-AG26,0)+IF(AH27-AG27&gt;0,AH27-AG27,0)+IF(AH28-AG28&gt;0,AH28-AG28,0)+IF(AH29-AG29&gt;0,AH29-AG29,0)+IF(AH30-AG30&gt;0,AH30-AG30,0)+IF(AH31-AG31&gt;0,AH31-AG31,0)+IF(AH32-AG32&gt;0,AH32-AG32,0)+IF(AH33-AG33&gt;0,AH33-AG33,0)+IF(AH34-AG34&gt;0,AH34-AG34,0)+IF(AH35-AG35&gt;0,AH35-AG35,0)+IF(AH36-AG36&gt;0,AH36-AG36,0)+IF(AH37-AG37&gt;0,AH37-AG37,0)+IF(AH38-AG38&gt;0,AH38-AG38,0)+IF(AH39-AG39&gt;0,AH39-AG39,0)+IF(AH40-AG40&gt;0,AH40-AG40,0)+IF(AH41-AG41&gt;0,AH41-AG41,0)+IF(AH42-AG42&gt;0,AH42-AG42,0)+IF(AH43-AG43&gt;0,AH43-AG43,0)+IF(AH44-AG44&gt;0,AH44-AG44,0)+IF(AH45-AG45&gt;0,AH45-AG45,0)+IF(AH46-AG46&gt;0,AH46-AG46,0)+IF(AH47-AG47&gt;0,AH47-AG47,0)+IF(AH48-AG48&gt;0,AH48-AG48,0)+IF(AH49-AG49&gt;0,AH49-AG49,0)+IF(AH50-AG50&gt;0,AH50-AG50,0)+IF(AH51-AG51&gt;0,AH51-AG51,0)+IF(AH52-AG52&gt;0,AH52-AG52,0)+IF(AH53-AG53&gt;0,AH53-AG53,0)+IF(AH54-AG54&gt;0,AH54-AG54,0)+IF(AH55-AG55&gt;0,AH55-AG55,0)+IF(AH56-AG56&gt;0,AH56-AG56,0)+IF(AH57-AG57&gt;0,AH57-AG57,0)+IF(AH58-AG58&gt;0,AH58-AG58,0)+IF(AH59-AG59&gt;0,AH59-AG59,0)+IF(AH60-AG60&gt;0,AH60-AG60,0)+IF(AH61-AG61&gt;0,AH61-AG61,0)+IF(AH62-AG62&gt;0,AH62-AG62,0)+IF(AH63-AG63&gt;0,AH63-AG63,0)+IF(AH64-AG64&gt;0,AH64-AG64,0)+IF(AH65-AG65&gt;0,AH65-AG65,0)+IF(AH5-AG5&gt;0,AH5-AG5,0)+IF(AH7-AG7&gt;0,AH7-AG7,0)+IF(AH10-AG10&gt;0,AH10-AG10,0)+IF(AH20-AG20&gt;0,AH20-AG20,0)+IF(AH21-AG21&gt;0,AH21-AG21,0)+IF(AH22-AG22&gt;0,AH22-AG22,0)</f>
        <v>1150</v>
      </c>
      <c r="AI70" s="39">
        <f>IF(AI4-AH4&gt;0,AI4-AH4,0)+IF(AI6-AH6&gt;0,AI6-AH6,0)+IF(AI8-AH8&gt;0,AI8-AH8,0)+IF(AI9-AH9&gt;0,AI9-AH9,0)+IF(AI11-AH11&gt;0,AI11-AH11,0)+IF(AI12-AH12&gt;0,AI12-AH12,0)+IF(AI13-AH13&gt;0,AI13-AH13,0)+IF(AI14-AH14&gt;0,AI14-AH14,0)+IF(AI15-AH15&gt;0,AI15-AH15,0)+IF(AI16-AH16&gt;0,AI16-AH16,0)+IF(AI17-AH17&gt;0,AI17-AH17,0)+IF(AI18-AH18&gt;0,AI18-AH18,0)+IF(AI19-AH19&gt;0,AI19-AH19,0)+IF(AI23-AH23&gt;0,AI23-AH23,0)+IF(AI24-AH24&gt;0,AI24-AH24,0)+IF(AI25-AH25&gt;0,AI25-AH25,0)+IF(AI26-AH26&gt;0,AI26-AH26,0)+IF(AI27-AH27&gt;0,AI27-AH27,0)+IF(AI28-AH28&gt;0,AI28-AH28,0)+IF(AI29-AH29&gt;0,AI29-AH29,0)+IF(AI30-AH30&gt;0,AI30-AH30,0)+IF(AI31-AH31&gt;0,AI31-AH31,0)+IF(AI32-AH32&gt;0,AI32-AH32,0)+IF(AI33-AH33&gt;0,AI33-AH33,0)+IF(AI34-AH34&gt;0,AI34-AH34,0)+IF(AI35-AH35&gt;0,AI35-AH35,0)+IF(AI36-AH36&gt;0,AI36-AH36,0)+IF(AI37-AH37&gt;0,AI37-AH37,0)+IF(AI38-AH38&gt;0,AI38-AH38,0)+IF(AI39-AH39&gt;0,AI39-AH39,0)+IF(AI40-AH40&gt;0,AI40-AH40,0)+IF(AI41-AH41&gt;0,AI41-AH41,0)+IF(AI42-AH42&gt;0,AI42-AH42,0)+IF(AI43-AH43&gt;0,AI43-AH43,0)+IF(AI44-AH44&gt;0,AI44-AH44,0)+IF(AI45-AH45&gt;0,AI45-AH45,0)+IF(AI46-AH46&gt;0,AI46-AH46,0)+IF(AI47-AH47&gt;0,AI47-AH47,0)+IF(AI48-AH48&gt;0,AI48-AH48,0)+IF(AI49-AH49&gt;0,AI49-AH49,0)+IF(AI50-AH50&gt;0,AI50-AH50,0)+IF(AI51-AH51&gt;0,AI51-AH51,0)+IF(AI52-AH52&gt;0,AI52-AH52,0)+IF(AI53-AH53&gt;0,AI53-AH53,0)+IF(AI54-AH54&gt;0,AI54-AH54,0)+IF(AI55-AH55&gt;0,AI55-AH55,0)+IF(AI56-AH56&gt;0,AI56-AH56,0)+IF(AI57-AH57&gt;0,AI57-AH57,0)+IF(AI58-AH58&gt;0,AI58-AH58,0)+IF(AI59-AH59&gt;0,AI59-AH59,0)+IF(AI60-AH60&gt;0,AI60-AH60,0)+IF(AI61-AH61&gt;0,AI61-AH61,0)+IF(AI62-AH62&gt;0,AI62-AH62,0)+IF(AI63-AH63&gt;0,AI63-AH63,0)+IF(AI64-AH64&gt;0,AI64-AH64,0)+IF(AI65-AH65&gt;0,AI65-AH65,0)+IF(AI5-AH5&gt;0,AI5-AH5,0)+IF(AI7-AH7&gt;0,AI7-AH7,0)+IF(AI10-AH10&gt;0,AI10-AH10,0)+IF(AI20-AH20&gt;0,AI20-AH20,0)+IF(AI21-AH21&gt;0,AI21-AH21,0)+IF(AI22-AH22&gt;0,AI22-AH22,0)</f>
        <v>337</v>
      </c>
      <c r="AJ70" s="108">
        <f>IF(AJ4-AE4&gt;0,AJ4-AE4,0)+IF(AJ6-AE6&gt;0,AJ6-AE6,0)+IF(AJ8-AE8&gt;0,AJ8-AE8,0)+IF(AJ9-AE9&gt;0,AJ9-AE9,0)+IF(AJ11-AE11&gt;0,AJ11-AE11,0)+IF(AJ12-AE12&gt;0,AJ12-AE12,0)+IF(AJ13-AE13&gt;0,AJ13-AE13,0)+IF(AJ14-AE14&gt;0,AJ14-AE14,0)+IF(AJ15-AE15&gt;0,AJ15-AE15,0)+IF(AJ16-AE16&gt;0,AJ16-AE16,0)+IF(AJ17-AE17&gt;0,AJ17-AE17,0)+IF(AJ18-AE18&gt;0,AJ18-AE18,0)+IF(AJ19-AE19&gt;0,AJ19-AE19,0)+IF(AJ23-AE23&gt;0,AJ23-AE23,0)+IF(AJ24-AE24&gt;0,AJ24-AE24,0)+IF(AJ25-AE25&gt;0,AJ25-AE25,0)+IF(AJ26-AE26&gt;0,AJ26-AE26,0)+IF(AJ27-AE27&gt;0,AJ27-AE27,0)+IF(AJ28-AE28&gt;0,AJ28-AE28,0)+IF(AJ29-AE29&gt;0,AJ29-AE29,0)+IF(AJ30-AE30&gt;0,AJ30-AE30,0)+IF(AJ31-AE31&gt;0,AJ31-AE31,0)+IF(AJ32-AE32&gt;0,AJ32-AE32,0)+IF(AJ33-AE33&gt;0,AJ33-AE33,0)+IF(AJ34-AE34&gt;0,AJ34-AE34,0)+IF(AJ35-AE35&gt;0,AJ35-AE35,0)+IF(AJ36-AE36&gt;0,AJ36-AE36,0)+IF(AJ37-AE37&gt;0,AJ37-AE37,0)+IF(AJ38-AE38&gt;0,AJ38-AE38,0)+IF(AJ39-AE39&gt;0,AJ39-AE39,0)+IF(AJ40-AE40&gt;0,AJ40-AE40,0)+IF(AJ41-AE41&gt;0,AJ41-AE41,0)+IF(AJ42-AE42&gt;0,AJ42-AE42,0)+IF(AJ43-AE43&gt;0,AJ43-AE43,0)+IF(AJ44-AE44&gt;0,AJ44-AE44,0)+IF(AJ45-AE45&gt;0,AJ45-AE45,0)+IF(AJ46-AE46&gt;0,AJ46-AE46,0)+IF(AJ47-AE47&gt;0,AJ47-AE47,0)+IF(AJ48-AE48&gt;0,AJ48-AE48,0)+IF(AJ49-AE49&gt;0,AJ49-AE49,0)+IF(AJ50-AE50&gt;0,AJ50-AE50,0)+IF(AJ51-AE51&gt;0,AJ51-AE51,0)+IF(AJ52-AE52&gt;0,AJ52-AE52,0)+IF(AJ53-AE53&gt;0,AJ53-AE53,0)+IF(AJ54-AE54&gt;0,AJ54-AE54,0)+IF(AJ55-AE55&gt;0,AJ55-AE55,0)+IF(AJ56-AE56&gt;0,AJ56-AE56,0)+IF(AJ57-AE57&gt;0,AJ57-AE57,0)+IF(AJ58-AE58&gt;0,AJ58-AE58,0)+IF(AJ59-AE59&gt;0,AJ59-AE59,0)+IF(AJ60-AE60&gt;0,AJ60-AE60,0)+IF(AJ61-AE61&gt;0,AJ61-AE61,0)+IF(AJ62-AE62&gt;0,AJ62-AE62,0)+IF(AJ63-AE63&gt;0,AJ63-AE63,0)+IF(AJ64-AE64&gt;0,AJ64-AE64,0)+IF(AJ65-AE65&gt;0,AJ65-AE65,0)+IF(AJ5-AE5&gt;0,AJ5-AE5,0)+IF(AJ7-AE7&gt;0,AJ7-AE7,0)+IF(AJ10-AE10&gt;0,AJ10-AE10,0)+IF(AJ20-AE20&gt;0,AJ20-AE20,0)+IF(AJ21-AE21&gt;0,AJ21-AE21,0)+IF(AJ22-AE22&gt;0,AJ22-AE22,0)</f>
        <v>22937</v>
      </c>
      <c r="AK70" s="39">
        <f>IF(AK4-AJ4&gt;0,AK4-AJ4,0)+IF(AK6-AJ6&gt;0,AK6-AJ6,0)+IF(AK8-AJ8&gt;0,AK8-AJ8,0)+IF(AK9-AJ9&gt;0,AK9-AJ9,0)+IF(AK11-AJ11&gt;0,AK11-AJ11,0)+IF(AK12-AJ12&gt;0,AK12-AJ12,0)+IF(AK13-AJ13&gt;0,AK13-AJ13,0)+IF(AK14-AJ14&gt;0,AK14-AJ14,0)+IF(AK15-AJ15&gt;0,AK15-AJ15,0)+IF(AK16-AJ16&gt;0,AK16-AJ16,0)+IF(AK17-AJ17&gt;0,AK17-AJ17,0)+IF(AK18-AJ18&gt;0,AK18-AJ18,0)+IF(AK19-AJ19&gt;0,AK19-AJ19,0)+IF(AK23-AJ23&gt;0,AK23-AJ23,0)+IF(AK24-AJ24&gt;0,AK24-AJ24,0)+IF(AK25-AJ25&gt;0,AK25-AJ25,0)+IF(AK26-AJ26&gt;0,AK26-AJ26,0)+IF(AK27-AJ27&gt;0,AK27-AJ27,0)+IF(AK28-AJ28&gt;0,AK28-AJ28,0)+IF(AK29-AJ29&gt;0,AK29-AJ29,0)+IF(AK30-AJ30&gt;0,AK30-AJ30,0)+IF(AK31-AJ31&gt;0,AK31-AJ31,0)+IF(AK32-AJ32&gt;0,AK32-AJ32,0)+IF(AK33-AJ33&gt;0,AK33-AJ33,0)+IF(AK34-AJ34&gt;0,AK34-AJ34,0)+IF(AK35-AJ35&gt;0,AK35-AJ35,0)+IF(AK36-AJ36&gt;0,AK36-AJ36,0)+IF(AK37-AJ37&gt;0,AK37-AJ37,0)+IF(AK38-AJ38&gt;0,AK38-AJ38,0)+IF(AK39-AJ39&gt;0,AK39-AJ39,0)+IF(AK40-AJ40&gt;0,AK40-AJ40,0)+IF(AK41-AJ41&gt;0,AK41-AJ41,0)+IF(AK42-AJ42&gt;0,AK42-AJ42,0)+IF(AK43-AJ43&gt;0,AK43-AJ43,0)+IF(AK44-AJ44&gt;0,AK44-AJ44,0)+IF(AK45-AJ45&gt;0,AK45-AJ45,0)+IF(AK46-AJ46&gt;0,AK46-AJ46,0)+IF(AK47-AJ47&gt;0,AK47-AJ47,0)+IF(AK48-AJ48&gt;0,AK48-AJ48,0)+IF(AK49-AJ49&gt;0,AK49-AJ49,0)+IF(AK50-AJ50&gt;0,AK50-AJ50,0)+IF(AK51-AJ51&gt;0,AK51-AJ51,0)+IF(AK52-AJ52&gt;0,AK52-AJ52,0)+IF(AK53-AJ53&gt;0,AK53-AJ53,0)+IF(AK54-AJ54&gt;0,AK54-AJ54,0)+IF(AK55-AJ55&gt;0,AK55-AJ55,0)+IF(AK56-AJ56&gt;0,AK56-AJ56,0)+IF(AK57-AJ57&gt;0,AK57-AJ57,0)+IF(AK58-AJ58&gt;0,AK58-AJ58,0)+IF(AK59-AJ59&gt;0,AK59-AJ59,0)+IF(AK60-AJ60&gt;0,AK60-AJ60,0)+IF(AK61-AJ61&gt;0,AK61-AJ61,0)+IF(AK62-AJ62&gt;0,AK62-AJ62,0)+IF(AK63-AJ63&gt;0,AK63-AJ63,0)+IF(AK64-AJ64&gt;0,AK64-AJ64,0)+IF(AK65-AJ65&gt;0,AK65-AJ65,0)+IF(AK5-AJ5&gt;0,AK5-AJ5,0)+IF(AK7-AJ7&gt;0,AK7-AJ7,0)+IF(AK10-AJ10&gt;0,AK10-AJ10,0)+IF(AK20-AJ20&gt;0,AK20-AJ20,0)+IF(AK21-AJ21&gt;0,AK21-AJ21,0)+IF(AK22-AJ22&gt;0,AK22-AJ22,0)</f>
        <v>439</v>
      </c>
      <c r="AL70" s="39">
        <f>IF(AL4-AK4&gt;0,AL4-AK4,0)+IF(AL6-AK6&gt;0,AL6-AK6,0)+IF(AL8-AK8&gt;0,AL8-AK8,0)+IF(AL9-AK9&gt;0,AL9-AK9,0)+IF(AL11-AK11&gt;0,AL11-AK11,0)+IF(AL12-AK12&gt;0,AL12-AK12,0)+IF(AL13-AK13&gt;0,AL13-AK13,0)+IF(AL14-AK14&gt;0,AL14-AK14,0)+IF(AL15-AK15&gt;0,AL15-AK15,0)+IF(AL16-AK16&gt;0,AL16-AK16,0)+IF(AL17-AK17&gt;0,AL17-AK17,0)+IF(AL18-AK18&gt;0,AL18-AK18,0)+IF(AL19-AK19&gt;0,AL19-AK19,0)+IF(AL23-AK23&gt;0,AL23-AK23,0)+IF(AL24-AK24&gt;0,AL24-AK24,0)+IF(AL25-AK25&gt;0,AL25-AK25,0)+IF(AL26-AK26&gt;0,AL26-AK26,0)+IF(AL27-AK27&gt;0,AL27-AK27,0)+IF(AL28-AK28&gt;0,AL28-AK28,0)+IF(AL29-AK29&gt;0,AL29-AK29,0)+IF(AL30-AK30&gt;0,AL30-AK30,0)+IF(AL31-AK31&gt;0,AL31-AK31,0)+IF(AL32-AK32&gt;0,AL32-AK32,0)+IF(AL33-AK33&gt;0,AL33-AK33,0)+IF(AL34-AK34&gt;0,AL34-AK34,0)+IF(AL35-AK35&gt;0,AL35-AK35,0)+IF(AL36-AK36&gt;0,AL36-AK36,0)+IF(AL37-AK37&gt;0,AL37-AK37,0)+IF(AL38-AK38&gt;0,AL38-AK38,0)+IF(AL39-AK39&gt;0,AL39-AK39,0)+IF(AL40-AK40&gt;0,AL40-AK40,0)+IF(AL41-AK41&gt;0,AL41-AK41,0)+IF(AL42-AK42&gt;0,AL42-AK42,0)+IF(AL43-AK43&gt;0,AL43-AK43,0)+IF(AL44-AK44&gt;0,AL44-AK44,0)+IF(AL45-AK45&gt;0,AL45-AK45,0)+IF(AL46-AK46&gt;0,AL46-AK46,0)+IF(AL47-AK47&gt;0,AL47-AK47,0)+IF(AL48-AK48&gt;0,AL48-AK48,0)+IF(AL49-AK49&gt;0,AL49-AK49,0)+IF(AL50-AK50&gt;0,AL50-AK50,0)+IF(AL51-AK51&gt;0,AL51-AK51,0)+IF(AL52-AK52&gt;0,AL52-AK52,0)+IF(AL53-AK53&gt;0,AL53-AK53,0)+IF(AL54-AK54&gt;0,AL54-AK54,0)+IF(AL55-AK55&gt;0,AL55-AK55,0)+IF(AL56-AK56&gt;0,AL56-AK56,0)+IF(AL57-AK57&gt;0,AL57-AK57,0)+IF(AL58-AK58&gt;0,AL58-AK58,0)+IF(AL59-AK59&gt;0,AL59-AK59,0)+IF(AL60-AK60&gt;0,AL60-AK60,0)+IF(AL61-AK61&gt;0,AL61-AK61,0)+IF(AL62-AK62&gt;0,AL62-AK62,0)+IF(AL63-AK63&gt;0,AL63-AK63,0)+IF(AL64-AK64&gt;0,AL64-AK64,0)+IF(AL65-AK65&gt;0,AL65-AK65,0)+IF(AL5-AK5&gt;0,AL5-AK5,0)+IF(AL7-AK7&gt;0,AL7-AK7,0)+IF(AL10-AK10&gt;0,AL10-AK10,0)+IF(AL20-AK20&gt;0,AL20-AK20,0)+IF(AL21-AK21&gt;0,AL21-AK21,0)+IF(AL22-AK22&gt;0,AL22-AK22,0)</f>
        <v>59</v>
      </c>
      <c r="AM70" s="39">
        <f>IF(AM4-AL4&gt;0,AM4-AL4,0)+IF(AM6-AL6&gt;0,AM6-AL6,0)+IF(AM8-AL8&gt;0,AM8-AL8,0)+IF(AM9-AL9&gt;0,AM9-AL9,0)+IF(AM11-AL11&gt;0,AM11-AL11,0)+IF(AM12-AL12&gt;0,AM12-AL12,0)+IF(AM13-AL13&gt;0,AM13-AL13,0)+IF(AM14-AL14&gt;0,AM14-AL14,0)+IF(AM15-AL15&gt;0,AM15-AL15,0)+IF(AM16-AL16&gt;0,AM16-AL16,0)+IF(AM17-AL17&gt;0,AM17-AL17,0)+IF(AM18-AL18&gt;0,AM18-AL18,0)+IF(AM19-AL19&gt;0,AM19-AL19,0)+IF(AM23-AL23&gt;0,AM23-AL23,0)+IF(AM24-AL24&gt;0,AM24-AL24,0)+IF(AM25-AL25&gt;0,AM25-AL25,0)+IF(AM26-AL26&gt;0,AM26-AL26,0)+IF(AM27-AL27&gt;0,AM27-AL27,0)+IF(AM28-AL28&gt;0,AM28-AL28,0)+IF(AM29-AL29&gt;0,AM29-AL29,0)+IF(AM30-AL30&gt;0,AM30-AL30,0)+IF(AM31-AL31&gt;0,AM31-AL31,0)+IF(AM32-AL32&gt;0,AM32-AL32,0)+IF(AM33-AL33&gt;0,AM33-AL33,0)+IF(AM34-AL34&gt;0,AM34-AL34,0)+IF(AM35-AL35&gt;0,AM35-AL35,0)+IF(AM36-AL36&gt;0,AM36-AL36,0)+IF(AM37-AL37&gt;0,AM37-AL37,0)+IF(AM38-AL38&gt;0,AM38-AL38,0)+IF(AM39-AL39&gt;0,AM39-AL39,0)+IF(AM40-AL40&gt;0,AM40-AL40,0)+IF(AM41-AL41&gt;0,AM41-AL41,0)+IF(AM42-AL42&gt;0,AM42-AL42,0)+IF(AM43-AL43&gt;0,AM43-AL43,0)+IF(AM44-AL44&gt;0,AM44-AL44,0)+IF(AM45-AL45&gt;0,AM45-AL45,0)+IF(AM46-AL46&gt;0,AM46-AL46,0)+IF(AM47-AL47&gt;0,AM47-AL47,0)+IF(AM48-AL48&gt;0,AM48-AL48,0)+IF(AM49-AL49&gt;0,AM49-AL49,0)+IF(AM50-AL50&gt;0,AM50-AL50,0)+IF(AM51-AL51&gt;0,AM51-AL51,0)+IF(AM52-AL52&gt;0,AM52-AL52,0)+IF(AM53-AL53&gt;0,AM53-AL53,0)+IF(AM54-AL54&gt;0,AM54-AL54,0)+IF(AM55-AL55&gt;0,AM55-AL55,0)+IF(AM56-AL56&gt;0,AM56-AL56,0)+IF(AM57-AL57&gt;0,AM57-AL57,0)+IF(AM58-AL58&gt;0,AM58-AL58,0)+IF(AM59-AL59&gt;0,AM59-AL59,0)+IF(AM60-AL60&gt;0,AM60-AL60,0)+IF(AM61-AL61&gt;0,AM61-AL61,0)+IF(AM62-AL62&gt;0,AM62-AL62,0)+IF(AM63-AL63&gt;0,AM63-AL63,0)+IF(AM64-AL64&gt;0,AM64-AL64,0)+IF(AM65-AL65&gt;0,AM65-AL65,0)+IF(AM5-AL5&gt;0,AM5-AL5,0)+IF(AM7-AL7&gt;0,AM7-AL7,0)+IF(AM10-AL10&gt;0,AM10-AL10,0)+IF(AM20-AL20&gt;0,AM20-AL20,0)+IF(AM21-AL21&gt;0,AM21-AL21,0)+IF(AM22-AL22&gt;0,AM22-AL22,0)</f>
        <v>19</v>
      </c>
      <c r="AN70" s="39">
        <f>IF(AN4-AM4&gt;0,AN4-AM4,0)+IF(AN6-AM6&gt;0,AN6-AM6,0)+IF(AN8-AM8&gt;0,AN8-AM8,0)+IF(AN9-AM9&gt;0,AN9-AM9,0)+IF(AN11-AM11&gt;0,AN11-AM11,0)+IF(AN12-AM12&gt;0,AN12-AM12,0)+IF(AN13-AM13&gt;0,AN13-AM13,0)+IF(AN14-AM14&gt;0,AN14-AM14,0)+IF(AN15-AM15&gt;0,AN15-AM15,0)+IF(AN16-AM16&gt;0,AN16-AM16,0)+IF(AN17-AM17&gt;0,AN17-AM17,0)+IF(AN18-AM18&gt;0,AN18-AM18,0)+IF(AN19-AM19&gt;0,AN19-AM19,0)+IF(AN23-AM23&gt;0,AN23-AM23,0)+IF(AN24-AM24&gt;0,AN24-AM24,0)+IF(AN25-AM25&gt;0,AN25-AM25,0)+IF(AN26-AM26&gt;0,AN26-AM26,0)+IF(AN27-AM27&gt;0,AN27-AM27,0)+IF(AN28-AM28&gt;0,AN28-AM28,0)+IF(AN29-AM29&gt;0,AN29-AM29,0)+IF(AN30-AM30&gt;0,AN30-AM30,0)+IF(AN31-AM31&gt;0,AN31-AM31,0)+IF(AN32-AM32&gt;0,AN32-AM32,0)+IF(AN33-AM33&gt;0,AN33-AM33,0)+IF(AN34-AM34&gt;0,AN34-AM34,0)+IF(AN35-AM35&gt;0,AN35-AM35,0)+IF(AN36-AM36&gt;0,AN36-AM36,0)+IF(AN37-AM37&gt;0,AN37-AM37,0)+IF(AN38-AM38&gt;0,AN38-AM38,0)+IF(AN39-AM39&gt;0,AN39-AM39,0)+IF(AN40-AM40&gt;0,AN40-AM40,0)+IF(AN41-AM41&gt;0,AN41-AM41,0)+IF(AN42-AM42&gt;0,AN42-AM42,0)+IF(AN43-AM43&gt;0,AN43-AM43,0)+IF(AN44-AM44&gt;0,AN44-AM44,0)+IF(AN45-AM45&gt;0,AN45-AM45,0)+IF(AN46-AM46&gt;0,AN46-AM46,0)+IF(AN47-AM47&gt;0,AN47-AM47,0)+IF(AN48-AM48&gt;0,AN48-AM48,0)+IF(AN49-AM49&gt;0,AN49-AM49,0)+IF(AN50-AM50&gt;0,AN50-AM50,0)+IF(AN51-AM51&gt;0,AN51-AM51,0)+IF(AN52-AM52&gt;0,AN52-AM52,0)+IF(AN53-AM53&gt;0,AN53-AM53,0)+IF(AN54-AM54&gt;0,AN54-AM54,0)+IF(AN55-AM55&gt;0,AN55-AM55,0)+IF(AN56-AM56&gt;0,AN56-AM56,0)+IF(AN57-AM57&gt;0,AN57-AM57,0)+IF(AN58-AM58&gt;0,AN58-AM58,0)+IF(AN59-AM59&gt;0,AN59-AM59,0)+IF(AN60-AM60&gt;0,AN60-AM60,0)+IF(AN61-AM61&gt;0,AN61-AM61,0)+IF(AN62-AM62&gt;0,AN62-AM62,0)+IF(AN63-AM63&gt;0,AN63-AM63,0)+IF(AN64-AM64&gt;0,AN64-AM64,0)+IF(AN65-AM65&gt;0,AN65-AM65,0)+IF(AN5-AM5&gt;0,AN5-AM5,0)+IF(AN7-AM7&gt;0,AN7-AM7,0)+IF(AN10-AM10&gt;0,AN10-AM10,0)+IF(AN20-AM20&gt;0,AN20-AM20,0)+IF(AN21-AM21&gt;0,AN21-AM21,0)+IF(AN22-AM22&gt;0,AN22-AM22,0)</f>
        <v>32</v>
      </c>
      <c r="AO70" s="108">
        <f>IF(AO4-AJ4&gt;0,AO4-AJ4,0)+IF(AO6-AJ6&gt;0,AO6-AJ6,0)+IF(AO8-AJ8&gt;0,AO8-AJ8,0)+IF(AO9-AJ9&gt;0,AO9-AJ9,0)+IF(AO11-AJ11&gt;0,AO11-AJ11,0)+IF(AO12-AJ12&gt;0,AO12-AJ12,0)+IF(AO13-AJ13&gt;0,AO13-AJ13,0)+IF(AO14-AJ14&gt;0,AO14-AJ14,0)+IF(AO15-AJ15&gt;0,AO15-AJ15,0)+IF(AO16-AJ16&gt;0,AO16-AJ16,0)+IF(AO17-AJ17&gt;0,AO17-AJ17,0)+IF(AO18-AJ18&gt;0,AO18-AJ18,0)+IF(AO19-AJ19&gt;0,AO19-AJ19,0)+IF(AO23-AJ23&gt;0,AO23-AJ23,0)+IF(AO24-AJ24&gt;0,AO24-AJ24,0)+IF(AO25-AJ25&gt;0,AO25-AJ25,0)+IF(AO26-AJ26&gt;0,AO26-AJ26,0)+IF(AO27-AJ27&gt;0,AO27-AJ27,0)+IF(AO28-AJ28&gt;0,AO28-AJ28,0)+IF(AO29-AJ29&gt;0,AO29-AJ29,0)+IF(AO30-AJ30&gt;0,AO30-AJ30,0)+IF(AO31-AJ31&gt;0,AO31-AJ31,0)+IF(AO32-AJ32&gt;0,AO32-AJ32,0)+IF(AO33-AJ33&gt;0,AO33-AJ33,0)+IF(AO34-AJ34&gt;0,AO34-AJ34,0)+IF(AO35-AJ35&gt;0,AO35-AJ35,0)+IF(AO36-AJ36&gt;0,AO36-AJ36,0)+IF(AO37-AJ37&gt;0,AO37-AJ37,0)+IF(AO38-AJ38&gt;0,AO38-AJ38,0)+IF(AO39-AJ39&gt;0,AO39-AJ39,0)+IF(AO40-AJ40&gt;0,AO40-AJ40,0)+IF(AO41-AJ41&gt;0,AO41-AJ41,0)+IF(AO42-AJ42&gt;0,AO42-AJ42,0)+IF(AO43-AJ43&gt;0,AO43-AJ43,0)+IF(AO44-AJ44&gt;0,AO44-AJ44,0)+IF(AO45-AJ45&gt;0,AO45-AJ45,0)+IF(AO46-AJ46&gt;0,AO46-AJ46,0)+IF(AO47-AJ47&gt;0,AO47-AJ47,0)+IF(AO48-AJ48&gt;0,AO48-AJ48,0)+IF(AO49-AJ49&gt;0,AO49-AJ49,0)+IF(AO50-AJ50&gt;0,AO50-AJ50,0)+IF(AO51-AJ51&gt;0,AO51-AJ51,0)+IF(AO52-AJ52&gt;0,AO52-AJ52,0)+IF(AO53-AJ53&gt;0,AO53-AJ53,0)+IF(AO54-AJ54&gt;0,AO54-AJ54,0)+IF(AO55-AJ55&gt;0,AO55-AJ55,0)+IF(AO56-AJ56&gt;0,AO56-AJ56,0)+IF(AO57-AJ57&gt;0,AO57-AJ57,0)+IF(AO58-AJ58&gt;0,AO58-AJ58,0)+IF(AO59-AJ59&gt;0,AO59-AJ59,0)+IF(AO60-AJ60&gt;0,AO60-AJ60,0)+IF(AO61-AJ61&gt;0,AO61-AJ61,0)+IF(AO62-AJ62&gt;0,AO62-AJ62,0)+IF(AO63-AJ63&gt;0,AO63-AJ63,0)+IF(AO64-AJ64&gt;0,AO64-AJ64,0)+IF(AO65-AJ65&gt;0,AO65-AJ65,0)+IF(AO5-AJ5&gt;0,AO5-AJ5,0)+IF(AO7-AJ7&gt;0,AO7-AJ7,0)+IF(AO10-AJ10&gt;0,AO10-AJ10,0)+IF(AO20-AJ20&gt;0,AO20-AJ20,0)+IF(AO21-AJ21&gt;0,AO21-AJ21,0)+IF(AO22-AJ22&gt;0,AO22-AJ22,0)</f>
        <v>549</v>
      </c>
      <c r="AP70" s="39">
        <f>IF(AP4-AO4&gt;0,AP4-AO4,0)+IF(AP6-AO6&gt;0,AP6-AO6,0)+IF(AP8-AO8&gt;0,AP8-AO8,0)+IF(AP9-AO9&gt;0,AP9-AO9,0)+IF(AP11-AO11&gt;0,AP11-AO11,0)+IF(AP12-AO12&gt;0,AP12-AO12,0)+IF(AP13-AO13&gt;0,AP13-AO13,0)+IF(AP14-AO14&gt;0,AP14-AO14,0)+IF(AP15-AO15&gt;0,AP15-AO15,0)+IF(AP16-AO16&gt;0,AP16-AO16,0)+IF(AP17-AO17&gt;0,AP17-AO17,0)+IF(AP18-AO18&gt;0,AP18-AO18,0)+IF(AP19-AO19&gt;0,AP19-AO19,0)+IF(AP23-AO23&gt;0,AP23-AO23,0)+IF(AP24-AO24&gt;0,AP24-AO24,0)+IF(AP25-AO25&gt;0,AP25-AO25,0)+IF(AP26-AO26&gt;0,AP26-AO26,0)+IF(AP27-AO27&gt;0,AP27-AO27,0)+IF(AP28-AO28&gt;0,AP28-AO28,0)+IF(AP29-AO29&gt;0,AP29-AO29,0)+IF(AP30-AO30&gt;0,AP30-AO30,0)+IF(AP31-AO31&gt;0,AP31-AO31,0)+IF(AP32-AO32&gt;0,AP32-AO32,0)+IF(AP33-AO33&gt;0,AP33-AO33,0)+IF(AP34-AO34&gt;0,AP34-AO34,0)+IF(AP35-AO35&gt;0,AP35-AO35,0)+IF(AP36-AO36&gt;0,AP36-AO36,0)+IF(AP37-AO37&gt;0,AP37-AO37,0)+IF(AP38-AO38&gt;0,AP38-AO38,0)+IF(AP39-AO39&gt;0,AP39-AO39,0)+IF(AP40-AO40&gt;0,AP40-AO40,0)+IF(AP41-AO41&gt;0,AP41-AO41,0)+IF(AP42-AO42&gt;0,AP42-AO42,0)+IF(AP43-AO43&gt;0,AP43-AO43,0)+IF(AP44-AO44&gt;0,AP44-AO44,0)+IF(AP45-AO45&gt;0,AP45-AO45,0)+IF(AP46-AO46&gt;0,AP46-AO46,0)+IF(AP47-AO47&gt;0,AP47-AO47,0)+IF(AP48-AO48&gt;0,AP48-AO48,0)+IF(AP49-AO49&gt;0,AP49-AO49,0)+IF(AP50-AO50&gt;0,AP50-AO50,0)+IF(AP51-AO51&gt;0,AP51-AO51,0)+IF(AP52-AO52&gt;0,AP52-AO52,0)+IF(AP53-AO53&gt;0,AP53-AO53,0)+IF(AP54-AO54&gt;0,AP54-AO54,0)+IF(AP55-AO55&gt;0,AP55-AO55,0)+IF(AP56-AO56&gt;0,AP56-AO56,0)+IF(AP57-AO57&gt;0,AP57-AO57,0)+IF(AP58-AO58&gt;0,AP58-AO58,0)+IF(AP59-AO59&gt;0,AP59-AO59,0)+IF(AP60-AO60&gt;0,AP60-AO60,0)+IF(AP61-AO61&gt;0,AP61-AO61,0)+IF(AP62-AO62&gt;0,AP62-AO62,0)+IF(AP63-AO63&gt;0,AP63-AO63,0)+IF(AP64-AO64&gt;0,AP64-AO64,0)+IF(AP65-AO65&gt;0,AP65-AO65,0)+IF(AP5-AO5&gt;0,AP5-AO5,0)+IF(AP7-AO7&gt;0,AP7-AO7,0)+IF(AP10-AO10&gt;0,AP10-AO10,0)+IF(AP20-AO20&gt;0,AP20-AO20,0)+IF(AP21-AO21&gt;0,AP21-AO21,0)+IF(AP22-AO22&gt;0,AP22-AO22,0)</f>
        <v>3890</v>
      </c>
      <c r="AQ70" s="39">
        <f>IF(AQ4-AP4&gt;0,AQ4-AP4,0)+IF(AQ6-AP6&gt;0,AQ6-AP6,0)+IF(AQ8-AP8&gt;0,AQ8-AP8,0)+IF(AQ9-AP9&gt;0,AQ9-AP9,0)+IF(AQ11-AP11&gt;0,AQ11-AP11,0)+IF(AQ12-AP12&gt;0,AQ12-AP12,0)+IF(AQ13-AP13&gt;0,AQ13-AP13,0)+IF(AQ14-AP14&gt;0,AQ14-AP14,0)+IF(AQ15-AP15&gt;0,AQ15-AP15,0)+IF(AQ16-AP16&gt;0,AQ16-AP16,0)+IF(AQ17-AP17&gt;0,AQ17-AP17,0)+IF(AQ18-AP18&gt;0,AQ18-AP18,0)+IF(AQ19-AP19&gt;0,AQ19-AP19,0)+IF(AQ23-AP23&gt;0,AQ23-AP23,0)+IF(AQ24-AP24&gt;0,AQ24-AP24,0)+IF(AQ25-AP25&gt;0,AQ25-AP25,0)+IF(AQ26-AP26&gt;0,AQ26-AP26,0)+IF(AQ27-AP27&gt;0,AQ27-AP27,0)+IF(AQ28-AP28&gt;0,AQ28-AP28,0)+IF(AQ29-AP29&gt;0,AQ29-AP29,0)+IF(AQ30-AP30&gt;0,AQ30-AP30,0)+IF(AQ31-AP31&gt;0,AQ31-AP31,0)+IF(AQ32-AP32&gt;0,AQ32-AP32,0)+IF(AQ33-AP33&gt;0,AQ33-AP33,0)+IF(AQ34-AP34&gt;0,AQ34-AP34,0)+IF(AQ35-AP35&gt;0,AQ35-AP35,0)+IF(AQ36-AP36&gt;0,AQ36-AP36,0)+IF(AQ37-AP37&gt;0,AQ37-AP37,0)+IF(AQ38-AP38&gt;0,AQ38-AP38,0)+IF(AQ39-AP39&gt;0,AQ39-AP39,0)+IF(AQ40-AP40&gt;0,AQ40-AP40,0)+IF(AQ41-AP41&gt;0,AQ41-AP41,0)+IF(AQ42-AP42&gt;0,AQ42-AP42,0)+IF(AQ43-AP43&gt;0,AQ43-AP43,0)+IF(AQ44-AP44&gt;0,AQ44-AP44,0)+IF(AQ45-AP45&gt;0,AQ45-AP45,0)+IF(AQ46-AP46&gt;0,AQ46-AP46,0)+IF(AQ47-AP47&gt;0,AQ47-AP47,0)+IF(AQ48-AP48&gt;0,AQ48-AP48,0)+IF(AQ49-AP49&gt;0,AQ49-AP49,0)+IF(AQ50-AP50&gt;0,AQ50-AP50,0)+IF(AQ51-AP51&gt;0,AQ51-AP51,0)+IF(AQ52-AP52&gt;0,AQ52-AP52,0)+IF(AQ53-AP53&gt;0,AQ53-AP53,0)+IF(AQ54-AP54&gt;0,AQ54-AP54,0)+IF(AQ55-AP55&gt;0,AQ55-AP55,0)+IF(AQ56-AP56&gt;0,AQ56-AP56,0)+IF(AQ57-AP57&gt;0,AQ57-AP57,0)+IF(AQ58-AP58&gt;0,AQ58-AP58,0)+IF(AQ59-AP59&gt;0,AQ59-AP59,0)+IF(AQ60-AP60&gt;0,AQ60-AP60,0)+IF(AQ61-AP61&gt;0,AQ61-AP61,0)+IF(AQ62-AP62&gt;0,AQ62-AP62,0)+IF(AQ63-AP63&gt;0,AQ63-AP63,0)+IF(AQ64-AP64&gt;0,AQ64-AP64,0)+IF(AQ65-AP65&gt;0,AQ65-AP65,0)+IF(AQ5-AP5&gt;0,AQ5-AP5,0)+IF(AQ7-AP7&gt;0,AQ7-AP7,0)+IF(AQ10-AP10&gt;0,AQ10-AP10,0)+IF(AQ20-AP20&gt;0,AQ20-AP20,0)+IF(AQ21-AP21&gt;0,AQ21-AP21,0)+IF(AQ22-AP22&gt;0,AQ22-AP22,0)</f>
        <v>0</v>
      </c>
      <c r="AR70" s="39">
        <f>IF(AR4-AQ4&gt;0,AR4-AQ4,0)+IF(AR6-AQ6&gt;0,AR6-AQ6,0)+IF(AR8-AQ8&gt;0,AR8-AQ8,0)+IF(AR9-AQ9&gt;0,AR9-AQ9,0)+IF(AR11-AQ11&gt;0,AR11-AQ11,0)+IF(AR12-AQ12&gt;0,AR12-AQ12,0)+IF(AR13-AQ13&gt;0,AR13-AQ13,0)+IF(AR14-AQ14&gt;0,AR14-AQ14,0)+IF(AR15-AQ15&gt;0,AR15-AQ15,0)+IF(AR16-AQ16&gt;0,AR16-AQ16,0)+IF(AR17-AQ17&gt;0,AR17-AQ17,0)+IF(AR18-AQ18&gt;0,AR18-AQ18,0)+IF(AR19-AQ19&gt;0,AR19-AQ19,0)+IF(AR23-AQ23&gt;0,AR23-AQ23,0)+IF(AR24-AQ24&gt;0,AR24-AQ24,0)+IF(AR25-AQ25&gt;0,AR25-AQ25,0)+IF(AR26-AQ26&gt;0,AR26-AQ26,0)+IF(AR27-AQ27&gt;0,AR27-AQ27,0)+IF(AR28-AQ28&gt;0,AR28-AQ28,0)+IF(AR29-AQ29&gt;0,AR29-AQ29,0)+IF(AR30-AQ30&gt;0,AR30-AQ30,0)+IF(AR31-AQ31&gt;0,AR31-AQ31,0)+IF(AR32-AQ32&gt;0,AR32-AQ32,0)+IF(AR33-AQ33&gt;0,AR33-AQ33,0)+IF(AR34-AQ34&gt;0,AR34-AQ34,0)+IF(AR35-AQ35&gt;0,AR35-AQ35,0)+IF(AR36-AQ36&gt;0,AR36-AQ36,0)+IF(AR37-AQ37&gt;0,AR37-AQ37,0)+IF(AR38-AQ38&gt;0,AR38-AQ38,0)+IF(AR39-AQ39&gt;0,AR39-AQ39,0)+IF(AR40-AQ40&gt;0,AR40-AQ40,0)+IF(AR41-AQ41&gt;0,AR41-AQ41,0)+IF(AR42-AQ42&gt;0,AR42-AQ42,0)+IF(AR43-AQ43&gt;0,AR43-AQ43,0)+IF(AR44-AQ44&gt;0,AR44-AQ44,0)+IF(AR45-AQ45&gt;0,AR45-AQ45,0)+IF(AR46-AQ46&gt;0,AR46-AQ46,0)+IF(AR47-AQ47&gt;0,AR47-AQ47,0)+IF(AR48-AQ48&gt;0,AR48-AQ48,0)+IF(AR49-AQ49&gt;0,AR49-AQ49,0)+IF(AR50-AQ50&gt;0,AR50-AQ50,0)+IF(AR51-AQ51&gt;0,AR51-AQ51,0)+IF(AR52-AQ52&gt;0,AR52-AQ52,0)+IF(AR53-AQ53&gt;0,AR53-AQ53,0)+IF(AR54-AQ54&gt;0,AR54-AQ54,0)+IF(AR55-AQ55&gt;0,AR55-AQ55,0)+IF(AR56-AQ56&gt;0,AR56-AQ56,0)+IF(AR57-AQ57&gt;0,AR57-AQ57,0)+IF(AR58-AQ58&gt;0,AR58-AQ58,0)+IF(AR59-AQ59&gt;0,AR59-AQ59,0)+IF(AR60-AQ60&gt;0,AR60-AQ60,0)+IF(AR61-AQ61&gt;0,AR61-AQ61,0)+IF(AR62-AQ62&gt;0,AR62-AQ62,0)+IF(AR63-AQ63&gt;0,AR63-AQ63,0)+IF(AR64-AQ64&gt;0,AR64-AQ64,0)+IF(AR65-AQ65&gt;0,AR65-AQ65,0)+IF(AR5-AQ5&gt;0,AR5-AQ5,0)+IF(AR7-AQ7&gt;0,AR7-AQ7,0)+IF(AR10-AQ10&gt;0,AR10-AQ10,0)+IF(AR20-AQ20&gt;0,AR20-AQ20,0)+IF(AR21-AQ21&gt;0,AR21-AQ21,0)+IF(AR22-AQ22&gt;0,AR22-AQ22,0)</f>
        <v>204</v>
      </c>
      <c r="AS70" s="39">
        <f>IF(AS4-AR4&gt;0,AS4-AR4,0)+IF(AS6-AR6&gt;0,AS6-AR6,0)+IF(AS8-AR8&gt;0,AS8-AR8,0)+IF(AS9-AR9&gt;0,AS9-AR9,0)+IF(AS11-AR11&gt;0,AS11-AR11,0)+IF(AS12-AR12&gt;0,AS12-AR12,0)+IF(AS13-AR13&gt;0,AS13-AR13,0)+IF(AS14-AR14&gt;0,AS14-AR14,0)+IF(AS15-AR15&gt;0,AS15-AR15,0)+IF(AS16-AR16&gt;0,AS16-AR16,0)+IF(AS17-AR17&gt;0,AS17-AR17,0)+IF(AS18-AR18&gt;0,AS18-AR18,0)+IF(AS19-AR19&gt;0,AS19-AR19,0)+IF(AS23-AR23&gt;0,AS23-AR23,0)+IF(AS24-AR24&gt;0,AS24-AR24,0)+IF(AS25-AR25&gt;0,AS25-AR25,0)+IF(AS26-AR26&gt;0,AS26-AR26,0)+IF(AS27-AR27&gt;0,AS27-AR27,0)+IF(AS28-AR28&gt;0,AS28-AR28,0)+IF(AS29-AR29&gt;0,AS29-AR29,0)+IF(AS30-AR30&gt;0,AS30-AR30,0)+IF(AS31-AR31&gt;0,AS31-AR31,0)+IF(AS32-AR32&gt;0,AS32-AR32,0)+IF(AS33-AR33&gt;0,AS33-AR33,0)+IF(AS34-AR34&gt;0,AS34-AR34,0)+IF(AS35-AR35&gt;0,AS35-AR35,0)+IF(AS36-AR36&gt;0,AS36-AR36,0)+IF(AS37-AR37&gt;0,AS37-AR37,0)+IF(AS38-AR38&gt;0,AS38-AR38,0)+IF(AS39-AR39&gt;0,AS39-AR39,0)+IF(AS40-AR40&gt;0,AS40-AR40,0)+IF(AS41-AR41&gt;0,AS41-AR41,0)+IF(AS42-AR42&gt;0,AS42-AR42,0)+IF(AS43-AR43&gt;0,AS43-AR43,0)+IF(AS44-AR44&gt;0,AS44-AR44,0)+IF(AS45-AR45&gt;0,AS45-AR45,0)+IF(AS46-AR46&gt;0,AS46-AR46,0)+IF(AS47-AR47&gt;0,AS47-AR47,0)+IF(AS48-AR48&gt;0,AS48-AR48,0)+IF(AS49-AR49&gt;0,AS49-AR49,0)+IF(AS50-AR50&gt;0,AS50-AR50,0)+IF(AS51-AR51&gt;0,AS51-AR51,0)+IF(AS52-AR52&gt;0,AS52-AR52,0)+IF(AS53-AR53&gt;0,AS53-AR53,0)+IF(AS54-AR54&gt;0,AS54-AR54,0)+IF(AS55-AR55&gt;0,AS55-AR55,0)+IF(AS56-AR56&gt;0,AS56-AR56,0)+IF(AS57-AR57&gt;0,AS57-AR57,0)+IF(AS58-AR58&gt;0,AS58-AR58,0)+IF(AS59-AR59&gt;0,AS59-AR59,0)+IF(AS60-AR60&gt;0,AS60-AR60,0)+IF(AS61-AR61&gt;0,AS61-AR61,0)+IF(AS62-AR62&gt;0,AS62-AR62,0)+IF(AS63-AR63&gt;0,AS63-AR63,0)+IF(AS64-AR64&gt;0,AS64-AR64,0)+IF(AS65-AR65&gt;0,AS65-AR65,0)+IF(AS5-AR5&gt;0,AS5-AR5,0)+IF(AS7-AR7&gt;0,AS7-AR7,0)+IF(AS10-AR10&gt;0,AS10-AR10,0)+IF(AS20-AR20&gt;0,AS20-AR20,0)+IF(AS21-AR21&gt;0,AS21-AR21,0)+IF(AS22-AR22&gt;0,AS22-AR22,0)</f>
        <v>3035</v>
      </c>
      <c r="AT70" s="108">
        <f>IF(AT4-AO4&gt;0,AT4-AO4,0)+IF(AT6-AO6&gt;0,AT6-AO6,0)+IF(AT8-AO8&gt;0,AT8-AO8,0)+IF(AT9-AO9&gt;0,AT9-AO9,0)+IF(AT11-AO11&gt;0,AT11-AO11,0)+IF(AT12-AO12&gt;0,AT12-AO12,0)+IF(AT13-AO13&gt;0,AT13-AO13,0)+IF(AT14-AO14&gt;0,AT14-AO14,0)+IF(AT15-AO15&gt;0,AT15-AO15,0)+IF(AT16-AO16&gt;0,AT16-AO16,0)+IF(AT17-AO17&gt;0,AT17-AO17,0)+IF(AT18-AO18&gt;0,AT18-AO18,0)+IF(AT19-AO19&gt;0,AT19-AO19,0)+IF(AT23-AO23&gt;0,AT23-AO23,0)+IF(AT24-AO24&gt;0,AT24-AO24,0)+IF(AT25-AO25&gt;0,AT25-AO25,0)+IF(AT26-AO26&gt;0,AT26-AO26,0)+IF(AT27-AO27&gt;0,AT27-AO27,0)+IF(AT28-AO28&gt;0,AT28-AO28,0)+IF(AT29-AO29&gt;0,AT29-AO29,0)+IF(AT30-AO30&gt;0,AT30-AO30,0)+IF(AT31-AO31&gt;0,AT31-AO31,0)+IF(AT32-AO32&gt;0,AT32-AO32,0)+IF(AT33-AO33&gt;0,AT33-AO33,0)+IF(AT34-AO34&gt;0,AT34-AO34,0)+IF(AT35-AO35&gt;0,AT35-AO35,0)+IF(AT36-AO36&gt;0,AT36-AO36,0)+IF(AT37-AO37&gt;0,AT37-AO37,0)+IF(AT38-AO38&gt;0,AT38-AO38,0)+IF(AT39-AO39&gt;0,AT39-AO39,0)+IF(AT40-AO40&gt;0,AT40-AO40,0)+IF(AT41-AO41&gt;0,AT41-AO41,0)+IF(AT42-AO42&gt;0,AT42-AO42,0)+IF(AT43-AO43&gt;0,AT43-AO43,0)+IF(AT44-AO44&gt;0,AT44-AO44,0)+IF(AT45-AO45&gt;0,AT45-AO45,0)+IF(AT46-AO46&gt;0,AT46-AO46,0)+IF(AT47-AO47&gt;0,AT47-AO47,0)+IF(AT48-AO48&gt;0,AT48-AO48,0)+IF(AT49-AO49&gt;0,AT49-AO49,0)+IF(AT50-AO50&gt;0,AT50-AO50,0)+IF(AT51-AO51&gt;0,AT51-AO51,0)+IF(AT52-AO52&gt;0,AT52-AO52,0)+IF(AT53-AO53&gt;0,AT53-AO53,0)+IF(AT54-AO54&gt;0,AT54-AO54,0)+IF(AT55-AO55&gt;0,AT55-AO55,0)+IF(AT56-AO56&gt;0,AT56-AO56,0)+IF(AT57-AO57&gt;0,AT57-AO57,0)+IF(AT58-AO58&gt;0,AT58-AO58,0)+IF(AT59-AO59&gt;0,AT59-AO59,0)+IF(AT60-AO60&gt;0,AT60-AO60,0)+IF(AT61-AO61&gt;0,AT61-AO61,0)+IF(AT62-AO62&gt;0,AT62-AO62,0)+IF(AT63-AO63&gt;0,AT63-AO63,0)+IF(AT64-AO64&gt;0,AT64-AO64,0)+IF(AT65-AO65&gt;0,AT65-AO65,0)+IF(AT5-AO5&gt;0,AT5-AO5,0)+IF(AT7-AO7&gt;0,AT7-AO7,0)+IF(AT10-AO10&gt;0,AT10-AO10,0)+IF(AT20-AO20&gt;0,AT20-AO20,0)+IF(AT21-AO21&gt;0,AT21-AO21,0)+IF(AT22-AO22&gt;0,AT22-AO22,0)</f>
        <v>4206</v>
      </c>
      <c r="AU70" s="39">
        <f t="shared" ref="AU70:AW70" si="76">IF(AU4-AT4&gt;0,AU4-AT4,0)+IF(AU6-AT6&gt;0,AU6-AT6,0)+IF(AU8-AT8&gt;0,AU8-AT8,0)+IF(AU9-AT9&gt;0,AU9-AT9,0)+IF(AU11-AT11&gt;0,AU11-AT11,0)+IF(AU12-AT12&gt;0,AU12-AT12,0)+IF(AU13-AT13&gt;0,AU13-AT13,0)+IF(AU14-AT14&gt;0,AU14-AT14,0)+IF(AU15-AT15&gt;0,AU15-AT15,0)+IF(AU16-AT16&gt;0,AU16-AT16,0)+IF(AU17-AT17&gt;0,AU17-AT17,0)+IF(AU18-AT18&gt;0,AU18-AT18,0)+IF(AU19-AT19&gt;0,AU19-AT19,0)+IF(AU23-AT23&gt;0,AU23-AT23,0)+IF(AU24-AT24&gt;0,AU24-AT24,0)+IF(AU25-AT25&gt;0,AU25-AT25,0)+IF(AU26-AT26&gt;0,AU26-AT26,0)+IF(AU27-AT27&gt;0,AU27-AT27,0)+IF(AU28-AT28&gt;0,AU28-AT28,0)+IF(AU29-AT29&gt;0,AU29-AT29,0)+IF(AU30-AT30&gt;0,AU30-AT30,0)+IF(AU31-AT31&gt;0,AU31-AT31,0)+IF(AU32-AT32&gt;0,AU32-AT32,0)+IF(AU33-AT33&gt;0,AU33-AT33,0)+IF(AU34-AT34&gt;0,AU34-AT34,0)+IF(AU35-AT35&gt;0,AU35-AT35,0)+IF(AU36-AT36&gt;0,AU36-AT36,0)+IF(AU37-AT37&gt;0,AU37-AT37,0)+IF(AU38-AT38&gt;0,AU38-AT38,0)+IF(AU39-AT39&gt;0,AU39-AT39,0)+IF(AU40-AT40&gt;0,AU40-AT40,0)+IF(AU41-AT41&gt;0,AU41-AT41,0)+IF(AU42-AT42&gt;0,AU42-AT42,0)+IF(AU43-AT43&gt;0,AU43-AT43,0)+IF(AU44-AT44&gt;0,AU44-AT44,0)+IF(AU45-AT45&gt;0,AU45-AT45,0)+IF(AU46-AT46&gt;0,AU46-AT46,0)+IF(AU47-AT47&gt;0,AU47-AT47,0)+IF(AU48-AT48&gt;0,AU48-AT48,0)+IF(AU49-AT49&gt;0,AU49-AT49,0)+IF(AU50-AT50&gt;0,AU50-AT50,0)+IF(AU51-AT51&gt;0,AU51-AT51,0)+IF(AU52-AT52&gt;0,AU52-AT52,0)+IF(AU53-AT53&gt;0,AU53-AT53,0)+IF(AU54-AT54&gt;0,AU54-AT54,0)+IF(AU55-AT55&gt;0,AU55-AT55,0)+IF(AU56-AT56&gt;0,AU56-AT56,0)+IF(AU57-AT57&gt;0,AU57-AT57,0)+IF(AU58-AT58&gt;0,AU58-AT58,0)+IF(AU59-AT59&gt;0,AU59-AT59,0)+IF(AU60-AT60&gt;0,AU60-AT60,0)+IF(AU61-AT61&gt;0,AU61-AT61,0)+IF(AU62-AT62&gt;0,AU62-AT62,0)+IF(AU63-AT63&gt;0,AU63-AT63,0)+IF(AU64-AT64&gt;0,AU64-AT64,0)+IF(AU65-AT65&gt;0,AU65-AT65,0)+IF(AU5-AT5&gt;0,AU5-AT5,0)+IF(AU7-AT7&gt;0,AU7-AT7,0)+IF(AU10-AT10&gt;0,AU10-AT10,0)+IF(AU20-AT20&gt;0,AU20-AT20,0)+IF(AU21-AT21&gt;0,AU21-AT21,0)+IF(AU22-AT22&gt;0,AU22-AT22,0)</f>
        <v>33</v>
      </c>
      <c r="AV70" s="39">
        <f t="shared" si="76"/>
        <v>10000</v>
      </c>
      <c r="AW70" s="39">
        <f t="shared" si="76"/>
        <v>23</v>
      </c>
      <c r="AX70" s="39">
        <f>IF(AX4-AW4&gt;0,AX4-AW4,0)+IF(AX6-AW6&gt;0,AX6-AW6,0)+IF(AX8-AW8&gt;0,AX8-AW8,0)+IF(AX9-AW9&gt;0,AX9-AW9,0)+IF(AX11-AW11&gt;0,AX11-AW11,0)+IF(AX12-AW12&gt;0,AX12-AW12,0)+IF(AX13-AW13&gt;0,AX13-AW13,0)+IF(AX14-AW14&gt;0,AX14-AW14,0)+IF(AX15-AW15&gt;0,AX15-AW15,0)+IF(AX16-AW16&gt;0,AX16-AW16,0)+IF(AX17-AW17&gt;0,AX17-AW17,0)+IF(AX18-AW18&gt;0,AX18-AW18,0)+IF(AX19-AW19&gt;0,AX19-AW19,0)+IF(AX23-AW23&gt;0,AX23-AW23,0)+IF(AX24-AW24&gt;0,AX24-AW24,0)+IF(AX25-AW25&gt;0,AX25-AW25,0)+IF(AX26-AW26&gt;0,AX26-AW26,0)+IF(AX27-AW27&gt;0,AX27-AW27,0)+IF(AX28-AW28&gt;0,AX28-AW28,0)+IF(AX29-AW29&gt;0,AX29-AW29,0)+IF(AX30-AW30&gt;0,AX30-AW30,0)+IF(AX31-AW31&gt;0,AX31-AW31,0)+IF(AX32-AW32&gt;0,AX32-AW32,0)+IF(AX33-AW33&gt;0,AX33-AW33,0)+IF(AX34-AW34&gt;0,AX34-AW34,0)+IF(AX35-AW35&gt;0,AX35-AW35,0)+IF(AX36-AW36&gt;0,AX36-AW36,0)+IF(AX37-AW37&gt;0,AX37-AW37,0)+IF(AX38-AW38&gt;0,AX38-AW38,0)+IF(AX39-AW39&gt;0,AX39-AW39,0)+IF(AX40-AW40&gt;0,AX40-AW40,0)+IF(AX41-AW41&gt;0,AX41-AW41,0)+IF(AX42-AW42&gt;0,AX42-AW42,0)+IF(AX43-AW43&gt;0,AX43-AW43,0)+IF(AX44-AW44&gt;0,AX44-AW44,0)+IF(AX45-AW45&gt;0,AX45-AW45,0)+IF(AX46-AW46&gt;0,AX46-AW46,0)+IF(AX47-AW47&gt;0,AX47-AW47,0)+IF(AX48-AW48&gt;0,AX48-AW48,0)+IF(AX49-AW49&gt;0,AX49-AW49,0)+IF(AX50-AW50&gt;0,AX50-AW50,0)+IF(AX51-AW51&gt;0,AX51-AW51,0)+IF(AX52-AW52&gt;0,AX52-AW52,0)+IF(AX53-AW53&gt;0,AX53-AW53,0)+IF(AX54-AW54&gt;0,AX54-AW54,0)+IF(AX55-AW55&gt;0,AX55-AW55,0)+IF(AX56-AW56&gt;0,AX56-AW56,0)+IF(AX57-AW57&gt;0,AX57-AW57,0)+IF(AX58-AW58&gt;0,AX58-AW58,0)+IF(AX59-AW59&gt;0,AX59-AW59,0)+IF(AX60-AW60&gt;0,AX60-AW60,0)+IF(AX61-AW61&gt;0,AX61-AW61,0)+IF(AX62-AW62&gt;0,AX62-AW62,0)+IF(AX63-AW63&gt;0,AX63-AW63,0)+IF(AX64-AW64&gt;0,AX64-AW64,0)+IF(AX65-AW65&gt;0,AX65-AW65,0)+IF(AX5-AW5&gt;0,AX5-AW5,0)+IF(AX7-AW7&gt;0,AX7-AW7,0)+IF(AX10-AW10&gt;0,AX10-AW10,0)+IF(AX20-AW20&gt;0,AX20-AW20,0)+IF(AX21-AW21&gt;0,AX21-AW21,0)+IF(AX22-AW22&gt;0,AX22-AW22,0)</f>
        <v>0</v>
      </c>
      <c r="AY70" s="108">
        <f>IF(AY4-AT4&gt;0,AY4-AT4,0)+IF(AY6-AT6&gt;0,AY6-AT6,0)+IF(AY8-AT8&gt;0,AY8-AT8,0)+IF(AY9-AT9&gt;0,AY9-AT9,0)+IF(AY11-AT11&gt;0,AY11-AT11,0)+IF(AY12-AT12&gt;0,AY12-AT12,0)+IF(AY13-AT13&gt;0,AY13-AT13,0)+IF(AY14-AT14&gt;0,AY14-AT14,0)+IF(AY15-AT15&gt;0,AY15-AT15,0)+IF(AY16-AT16&gt;0,AY16-AT16,0)+IF(AY17-AT17&gt;0,AY17-AT17,0)+IF(AY18-AT18&gt;0,AY18-AT18,0)+IF(AY19-AT19&gt;0,AY19-AT19,0)+IF(AY23-AT23&gt;0,AY23-AT23,0)+IF(AY24-AT24&gt;0,AY24-AT24,0)+IF(AY25-AT25&gt;0,AY25-AT25,0)+IF(AY26-AT26&gt;0,AY26-AT26,0)+IF(AY27-AT27&gt;0,AY27-AT27,0)+IF(AY28-AT28&gt;0,AY28-AT28,0)+IF(AY29-AT29&gt;0,AY29-AT29,0)+IF(AY30-AT30&gt;0,AY30-AT30,0)+IF(AY31-AT31&gt;0,AY31-AT31,0)+IF(AY32-AT32&gt;0,AY32-AT32,0)+IF(AY33-AT33&gt;0,AY33-AT33,0)+IF(AY34-AT34&gt;0,AY34-AT34,0)+IF(AY35-AT35&gt;0,AY35-AT35,0)+IF(AY36-AT36&gt;0,AY36-AT36,0)+IF(AY37-AT37&gt;0,AY37-AT37,0)+IF(AY38-AT38&gt;0,AY38-AT38,0)+IF(AY39-AT39&gt;0,AY39-AT39,0)+IF(AY40-AT40&gt;0,AY40-AT40,0)+IF(AY41-AT41&gt;0,AY41-AT41,0)+IF(AY42-AT42&gt;0,AY42-AT42,0)+IF(AY43-AT43&gt;0,AY43-AT43,0)+IF(AY44-AT44&gt;0,AY44-AT44,0)+IF(AY45-AT45&gt;0,AY45-AT45,0)+IF(AY46-AT46&gt;0,AY46-AT46,0)+IF(AY47-AT47&gt;0,AY47-AT47,0)+IF(AY48-AT48&gt;0,AY48-AT48,0)+IF(AY49-AT49&gt;0,AY49-AT49,0)+IF(AY50-AT50&gt;0,AY50-AT50,0)+IF(AY51-AT51&gt;0,AY51-AT51,0)+IF(AY52-AT52&gt;0,AY52-AT52,0)+IF(AY53-AT53&gt;0,AY53-AT53,0)+IF(AY54-AT54&gt;0,AY54-AT54,0)+IF(AY55-AT55&gt;0,AY55-AT55,0)+IF(AY56-AT56&gt;0,AY56-AT56,0)+IF(AY57-AT57&gt;0,AY57-AT57,0)+IF(AY58-AT58&gt;0,AY58-AT58,0)+IF(AY59-AT59&gt;0,AY59-AT59,0)+IF(AY60-AT60&gt;0,AY60-AT60,0)+IF(AY61-AT61&gt;0,AY61-AT61,0)+IF(AY62-AT62&gt;0,AY62-AT62,0)+IF(AY63-AT63&gt;0,AY63-AT63,0)+IF(AY64-AT64&gt;0,AY64-AT64,0)+IF(AY65-AT65&gt;0,AY65-AT65,0)+IF(AY5-AT5&gt;0,AY5-AT5,0)+IF(AY7-AT7&gt;0,AY7-AT7,0)+IF(AY10-AT10&gt;0,AY10-AT10,0)+IF(AY20-AT20&gt;0,AY20-AT20,0)+IF(AY21-AT21&gt;0,AY21-AT21,0)+IF(AY22-AT22&gt;0,AY22-AT22,0)</f>
        <v>9000</v>
      </c>
      <c r="AZ70" s="39">
        <f>IF(AZ4-AY4&gt;0,AZ4-AY4,0)+IF(AZ6-AY6&gt;0,AZ6-AY6,0)+IF(AZ8-AY8&gt;0,AZ8-AY8,0)+IF(AZ9-AY9&gt;0,AZ9-AY9,0)+IF(AZ11-AY11&gt;0,AZ11-AY11,0)+IF(AZ12-AY12&gt;0,AZ12-AY12,0)+IF(AZ13-AY13&gt;0,AZ13-AY13,0)+IF(AZ14-AY14&gt;0,AZ14-AY14,0)+IF(AZ15-AY15&gt;0,AZ15-AY15,0)+IF(AZ16-AY16&gt;0,AZ16-AY16,0)+IF(AZ17-AY17&gt;0,AZ17-AY17,0)+IF(AZ18-AY18&gt;0,AZ18-AY18,0)+IF(AZ19-AY19&gt;0,AZ19-AY19,0)+IF(AZ23-AY23&gt;0,AZ23-AY23,0)+IF(AZ24-AY24&gt;0,AZ24-AY24,0)+IF(AZ25-AY25&gt;0,AZ25-AY25,0)+IF(AZ26-AY26&gt;0,AZ26-AY26,0)+IF(AZ27-AY27&gt;0,AZ27-AY27,0)+IF(AZ28-AY28&gt;0,AZ28-AY28,0)+IF(AZ29-AY29&gt;0,AZ29-AY29,0)+IF(AZ30-AY30&gt;0,AZ30-AY30,0)+IF(AZ31-AY31&gt;0,AZ31-AY31,0)+IF(AZ32-AY32&gt;0,AZ32-AY32,0)+IF(AZ33-AY33&gt;0,AZ33-AY33,0)+IF(AZ34-AY34&gt;0,AZ34-AY34,0)+IF(AZ35-AY35&gt;0,AZ35-AY35,0)+IF(AZ36-AY36&gt;0,AZ36-AY36,0)+IF(AZ37-AY37&gt;0,AZ37-AY37,0)+IF(AZ38-AY38&gt;0,AZ38-AY38,0)+IF(AZ39-AY39&gt;0,AZ39-AY39,0)+IF(AZ40-AY40&gt;0,AZ40-AY40,0)+IF(AZ41-AY41&gt;0,AZ41-AY41,0)+IF(AZ42-AY42&gt;0,AZ42-AY42,0)+IF(AZ43-AY43&gt;0,AZ43-AY43,0)+IF(AZ44-AY44&gt;0,AZ44-AY44,0)+IF(AZ45-AY45&gt;0,AZ45-AY45,0)+IF(AZ46-AY46&gt;0,AZ46-AY46,0)+IF(AZ47-AY47&gt;0,AZ47-AY47,0)+IF(AZ48-AY48&gt;0,AZ48-AY48,0)+IF(AZ49-AY49&gt;0,AZ49-AY49,0)+IF(AZ50-AY50&gt;0,AZ50-AY50,0)+IF(AZ51-AY51&gt;0,AZ51-AY51,0)+IF(AZ52-AY52&gt;0,AZ52-AY52,0)+IF(AZ53-AY53&gt;0,AZ53-AY53,0)+IF(AZ54-AY54&gt;0,AZ54-AY54,0)+IF(AZ55-AY55&gt;0,AZ55-AY55,0)+IF(AZ56-AY56&gt;0,AZ56-AY56,0)+IF(AZ57-AY57&gt;0,AZ57-AY57,0)+IF(AZ58-AY58&gt;0,AZ58-AY58,0)+IF(AZ59-AY59&gt;0,AZ59-AY59,0)+IF(AZ60-AY60&gt;0,AZ60-AY60,0)+IF(AZ61-AY61&gt;0,AZ61-AY61,0)+IF(AZ62-AY62&gt;0,AZ62-AY62,0)+IF(AZ63-AY63&gt;0,AZ63-AY63,0)+IF(AZ64-AY64&gt;0,AZ64-AY64,0)+IF(AZ65-AY65&gt;0,AZ65-AY65,0)+IF(AZ5-AY5&gt;0,AZ5-AY5,0)+IF(AZ7-AY7&gt;0,AZ7-AY7,0)+IF(AZ10-AY10&gt;0,AZ10-AY10,0)+IF(AZ20-AY20&gt;0,AZ20-AY20,0)+IF(AZ21-AY21&gt;0,AZ21-AY21,0)+IF(AZ22-AY22&gt;0,AZ22-AY22,0)</f>
        <v>4</v>
      </c>
      <c r="BA70" s="39">
        <f t="shared" ref="BA70" si="77">IF(BA4-AZ4&gt;0,BA4-AZ4,0)+IF(BA6-AZ6&gt;0,BA6-AZ6,0)+IF(BA8-AZ8&gt;0,BA8-AZ8,0)+IF(BA9-AZ9&gt;0,BA9-AZ9,0)+IF(BA11-AZ11&gt;0,BA11-AZ11,0)+IF(BA12-AZ12&gt;0,BA12-AZ12,0)+IF(BA13-AZ13&gt;0,BA13-AZ13,0)+IF(BA14-AZ14&gt;0,BA14-AZ14,0)+IF(BA15-AZ15&gt;0,BA15-AZ15,0)+IF(BA16-AZ16&gt;0,BA16-AZ16,0)+IF(BA17-AZ17&gt;0,BA17-AZ17,0)+IF(BA18-AZ18&gt;0,BA18-AZ18,0)+IF(BA19-AZ19&gt;0,BA19-AZ19,0)+IF(BA23-AZ23&gt;0,BA23-AZ23,0)+IF(BA24-AZ24&gt;0,BA24-AZ24,0)+IF(BA25-AZ25&gt;0,BA25-AZ25,0)+IF(BA26-AZ26&gt;0,BA26-AZ26,0)+IF(BA27-AZ27&gt;0,BA27-AZ27,0)+IF(BA28-AZ28&gt;0,BA28-AZ28,0)+IF(BA29-AZ29&gt;0,BA29-AZ29,0)+IF(BA30-AZ30&gt;0,BA30-AZ30,0)+IF(BA31-AZ31&gt;0,BA31-AZ31,0)+IF(BA32-AZ32&gt;0,BA32-AZ32,0)+IF(BA33-AZ33&gt;0,BA33-AZ33,0)+IF(BA34-AZ34&gt;0,BA34-AZ34,0)+IF(BA35-AZ35&gt;0,BA35-AZ35,0)+IF(BA36-AZ36&gt;0,BA36-AZ36,0)+IF(BA37-AZ37&gt;0,BA37-AZ37,0)+IF(BA38-AZ38&gt;0,BA38-AZ38,0)+IF(BA39-AZ39&gt;0,BA39-AZ39,0)+IF(BA40-AZ40&gt;0,BA40-AZ40,0)+IF(BA41-AZ41&gt;0,BA41-AZ41,0)+IF(BA42-AZ42&gt;0,BA42-AZ42,0)+IF(BA43-AZ43&gt;0,BA43-AZ43,0)+IF(BA44-AZ44&gt;0,BA44-AZ44,0)+IF(BA45-AZ45&gt;0,BA45-AZ45,0)+IF(BA46-AZ46&gt;0,BA46-AZ46,0)+IF(BA47-AZ47&gt;0,BA47-AZ47,0)+IF(BA48-AZ48&gt;0,BA48-AZ48,0)+IF(BA49-AZ49&gt;0,BA49-AZ49,0)+IF(BA50-AZ50&gt;0,BA50-AZ50,0)+IF(BA51-AZ51&gt;0,BA51-AZ51,0)+IF(BA52-AZ52&gt;0,BA52-AZ52,0)+IF(BA53-AZ53&gt;0,BA53-AZ53,0)+IF(BA54-AZ54&gt;0,BA54-AZ54,0)+IF(BA55-AZ55&gt;0,BA55-AZ55,0)+IF(BA56-AZ56&gt;0,BA56-AZ56,0)+IF(BA57-AZ57&gt;0,BA57-AZ57,0)+IF(BA58-AZ58&gt;0,BA58-AZ58,0)+IF(BA59-AZ59&gt;0,BA59-AZ59,0)+IF(BA60-AZ60&gt;0,BA60-AZ60,0)+IF(BA61-AZ61&gt;0,BA61-AZ61,0)+IF(BA62-AZ62&gt;0,BA62-AZ62,0)+IF(BA63-AZ63&gt;0,BA63-AZ63,0)+IF(BA64-AZ64&gt;0,BA64-AZ64,0)+IF(BA65-AZ65&gt;0,BA65-AZ65,0)+IF(BA5-AZ5&gt;0,BA5-AZ5,0)+IF(BA7-AZ7&gt;0,BA7-AZ7,0)+IF(BA10-AZ10&gt;0,BA10-AZ10,0)+IF(BA20-AZ20&gt;0,BA20-AZ20,0)+IF(BA21-AZ21&gt;0,BA21-AZ21,0)+IF(BA22-AZ22&gt;0,BA22-AZ22,0)</f>
        <v>0</v>
      </c>
      <c r="BB70" s="39">
        <f t="shared" ref="BB70" si="78">IF(BB4-BA4&gt;0,BB4-BA4,0)+IF(BB6-BA6&gt;0,BB6-BA6,0)+IF(BB8-BA8&gt;0,BB8-BA8,0)+IF(BB9-BA9&gt;0,BB9-BA9,0)+IF(BB11-BA11&gt;0,BB11-BA11,0)+IF(BB12-BA12&gt;0,BB12-BA12,0)+IF(BB13-BA13&gt;0,BB13-BA13,0)+IF(BB14-BA14&gt;0,BB14-BA14,0)+IF(BB15-BA15&gt;0,BB15-BA15,0)+IF(BB16-BA16&gt;0,BB16-BA16,0)+IF(BB17-BA17&gt;0,BB17-BA17,0)+IF(BB18-BA18&gt;0,BB18-BA18,0)+IF(BB19-BA19&gt;0,BB19-BA19,0)+IF(BB23-BA23&gt;0,BB23-BA23,0)+IF(BB24-BA24&gt;0,BB24-BA24,0)+IF(BB25-BA25&gt;0,BB25-BA25,0)+IF(BB26-BA26&gt;0,BB26-BA26,0)+IF(BB27-BA27&gt;0,BB27-BA27,0)+IF(BB28-BA28&gt;0,BB28-BA28,0)+IF(BB29-BA29&gt;0,BB29-BA29,0)+IF(BB30-BA30&gt;0,BB30-BA30,0)+IF(BB31-BA31&gt;0,BB31-BA31,0)+IF(BB32-BA32&gt;0,BB32-BA32,0)+IF(BB33-BA33&gt;0,BB33-BA33,0)+IF(BB34-BA34&gt;0,BB34-BA34,0)+IF(BB35-BA35&gt;0,BB35-BA35,0)+IF(BB36-BA36&gt;0,BB36-BA36,0)+IF(BB37-BA37&gt;0,BB37-BA37,0)+IF(BB38-BA38&gt;0,BB38-BA38,0)+IF(BB39-BA39&gt;0,BB39-BA39,0)+IF(BB40-BA40&gt;0,BB40-BA40,0)+IF(BB41-BA41&gt;0,BB41-BA41,0)+IF(BB42-BA42&gt;0,BB42-BA42,0)+IF(BB43-BA43&gt;0,BB43-BA43,0)+IF(BB44-BA44&gt;0,BB44-BA44,0)+IF(BB45-BA45&gt;0,BB45-BA45,0)+IF(BB46-BA46&gt;0,BB46-BA46,0)+IF(BB47-BA47&gt;0,BB47-BA47,0)+IF(BB48-BA48&gt;0,BB48-BA48,0)+IF(BB49-BA49&gt;0,BB49-BA49,0)+IF(BB50-BA50&gt;0,BB50-BA50,0)+IF(BB51-BA51&gt;0,BB51-BA51,0)+IF(BB52-BA52&gt;0,BB52-BA52,0)+IF(BB53-BA53&gt;0,BB53-BA53,0)+IF(BB54-BA54&gt;0,BB54-BA54,0)+IF(BB55-BA55&gt;0,BB55-BA55,0)+IF(BB56-BA56&gt;0,BB56-BA56,0)+IF(BB57-BA57&gt;0,BB57-BA57,0)+IF(BB58-BA58&gt;0,BB58-BA58,0)+IF(BB59-BA59&gt;0,BB59-BA59,0)+IF(BB60-BA60&gt;0,BB60-BA60,0)+IF(BB61-BA61&gt;0,BB61-BA61,0)+IF(BB62-BA62&gt;0,BB62-BA62,0)+IF(BB63-BA63&gt;0,BB63-BA63,0)+IF(BB64-BA64&gt;0,BB64-BA64,0)+IF(BB65-BA65&gt;0,BB65-BA65,0)+IF(BB5-BA5&gt;0,BB5-BA5,0)+IF(BB7-BA7&gt;0,BB7-BA7,0)+IF(BB10-BA10&gt;0,BB10-BA10,0)+IF(BB20-BA20&gt;0,BB20-BA20,0)+IF(BB21-BA21&gt;0,BB21-BA21,0)+IF(BB22-BA22&gt;0,BB22-BA22,0)</f>
        <v>330</v>
      </c>
      <c r="BC70" s="39">
        <f>IF(BC4-BB4&gt;0,BC4-BB4,0)+IF(BC6-BB6&gt;0,BC6-BB6,0)+IF(BC8-BB8&gt;0,BC8-BB8,0)+IF(BC9-BB9&gt;0,BC9-BB9,0)+IF(BC11-BB11&gt;0,BC11-BB11,0)+IF(BC12-BB12&gt;0,BC12-BB12,0)+IF(BC13-BB13&gt;0,BC13-BB13,0)+IF(BC14-BB14&gt;0,BC14-BB14,0)+IF(BC15-BB15&gt;0,BC15-BB15,0)+IF(BC16-BB16&gt;0,BC16-BB16,0)+IF(BC17-BB17&gt;0,BC17-BB17,0)+IF(BC18-BB18&gt;0,BC18-BB18,0)+IF(BC19-BB19&gt;0,BC19-BB19,0)+IF(BC23-BB23&gt;0,BC23-BB23,0)+IF(BC24-BB24&gt;0,BC24-BB24,0)+IF(BC25-BB25&gt;0,BC25-BB25,0)+IF(BC26-BB26&gt;0,BC26-BB26,0)+IF(BC27-BB27&gt;0,BC27-BB27,0)+IF(BC28-BB28&gt;0,BC28-BB28,0)+IF(BC29-BB29&gt;0,BC29-BB29,0)+IF(BC30-BB30&gt;0,BC30-BB30,0)+IF(BC31-BB31&gt;0,BC31-BB31,0)+IF(BC32-BB32&gt;0,BC32-BB32,0)+IF(BC33-BB33&gt;0,BC33-BB33,0)+IF(BC34-BB34&gt;0,BC34-BB34,0)+IF(BC35-BB35&gt;0,BC35-BB35,0)+IF(BC36-BB36&gt;0,BC36-BB36,0)+IF(BC37-BB37&gt;0,BC37-BB37,0)+IF(BC38-BB38&gt;0,BC38-BB38,0)+IF(BC39-BB39&gt;0,BC39-BB39,0)+IF(BC40-BB40&gt;0,BC40-BB40,0)+IF(BC41-BB41&gt;0,BC41-BB41,0)+IF(BC42-BB42&gt;0,BC42-BB42,0)+IF(BC43-BB43&gt;0,BC43-BB43,0)+IF(BC44-BB44&gt;0,BC44-BB44,0)+IF(BC45-BB45&gt;0,BC45-BB45,0)+IF(BC46-BB46&gt;0,BC46-BB46,0)+IF(BC47-BB47&gt;0,BC47-BB47,0)+IF(BC48-BB48&gt;0,BC48-BB48,0)+IF(BC49-BB49&gt;0,BC49-BB49,0)+IF(BC50-BB50&gt;0,BC50-BB50,0)+IF(BC51-BB51&gt;0,BC51-BB51,0)+IF(BC52-BB52&gt;0,BC52-BB52,0)+IF(BC53-BB53&gt;0,BC53-BB53,0)+IF(BC54-BB54&gt;0,BC54-BB54,0)+IF(BC55-BB55&gt;0,BC55-BB55,0)+IF(BC56-BB56&gt;0,BC56-BB56,0)+IF(BC57-BB57&gt;0,BC57-BB57,0)+IF(BC58-BB58&gt;0,BC58-BB58,0)+IF(BC59-BB59&gt;0,BC59-BB59,0)+IF(BC60-BB60&gt;0,BC60-BB60,0)+IF(BC61-BB61&gt;0,BC61-BB61,0)+IF(BC62-BB62&gt;0,BC62-BB62,0)+IF(BC63-BB63&gt;0,BC63-BB63,0)+IF(BC64-BB64&gt;0,BC64-BB64,0)+IF(BC65-BB65&gt;0,BC65-BB65,0)+IF(BC5-BB5&gt;0,BC5-BB5,0)+IF(BC7-BB7&gt;0,BC7-BB7,0)+IF(BC10-BB10&gt;0,BC10-BB10,0)+IF(BC20-BB20&gt;0,BC20-BB20,0)+IF(BC21-BB21&gt;0,BC21-BB21,0)+IF(BC22-BB22&gt;0,BC22-BB22,0)</f>
        <v>995</v>
      </c>
      <c r="BD70" s="108">
        <f>IF(BD4-AY4&gt;0,BD4-AY4,0)+IF(BD6-AY6&gt;0,BD6-AY6,0)+IF(BD8-AY8&gt;0,BD8-AY8,0)+IF(BD9-AY9&gt;0,BD9-AY9,0)+IF(BD11-AY11&gt;0,BD11-AY11,0)+IF(BD12-AY12&gt;0,BD12-AY12,0)+IF(BD13-AY13&gt;0,BD13-AY13,0)+IF(BD14-AY14&gt;0,BD14-AY14,0)+IF(BD15-AY15&gt;0,BD15-AY15,0)+IF(BD16-AY16&gt;0,BD16-AY16,0)+IF(BD17-AY17&gt;0,BD17-AY17,0)+IF(BD18-AY18&gt;0,BD18-AY18,0)+IF(BD19-AY19&gt;0,BD19-AY19,0)+IF(BD23-AY23&gt;0,BD23-AY23,0)+IF(BD24-AY24&gt;0,BD24-AY24,0)+IF(BD25-AY25&gt;0,BD25-AY25,0)+IF(BD26-AY26&gt;0,BD26-AY26,0)+IF(BD27-AY27&gt;0,BD27-AY27,0)+IF(BD28-AY28&gt;0,BD28-AY28,0)+IF(BD29-AY29&gt;0,BD29-AY29,0)+IF(BD30-AY30&gt;0,BD30-AY30,0)+IF(BD31-AY31&gt;0,BD31-AY31,0)+IF(BD32-AY32&gt;0,BD32-AY32,0)+IF(BD33-AY33&gt;0,BD33-AY33,0)+IF(BD34-AY34&gt;0,BD34-AY34,0)+IF(BD35-AY35&gt;0,BD35-AY35,0)+IF(BD36-AY36&gt;0,BD36-AY36,0)+IF(BD37-AY37&gt;0,BD37-AY37,0)+IF(BD38-AY38&gt;0,BD38-AY38,0)+IF(BD39-AY39&gt;0,BD39-AY39,0)+IF(BD40-AY40&gt;0,BD40-AY40,0)+IF(BD41-AY41&gt;0,BD41-AY41,0)+IF(BD42-AY42&gt;0,BD42-AY42,0)+IF(BD43-AY43&gt;0,BD43-AY43,0)+IF(BD44-AY44&gt;0,BD44-AY44,0)+IF(BD45-AY45&gt;0,BD45-AY45,0)+IF(BD46-AY46&gt;0,BD46-AY46,0)+IF(BD47-AY47&gt;0,BD47-AY47,0)+IF(BD48-AY48&gt;0,BD48-AY48,0)+IF(BD49-AY49&gt;0,BD49-AY49,0)+IF(BD50-AY50&gt;0,BD50-AY50,0)+IF(BD51-AY51&gt;0,BD51-AY51,0)+IF(BD52-AY52&gt;0,BD52-AY52,0)+IF(BD53-AY53&gt;0,BD53-AY53,0)+IF(BD54-AY54&gt;0,BD54-AY54,0)+IF(BD55-AY55&gt;0,BD55-AY55,0)+IF(BD56-AY56&gt;0,BD56-AY56,0)+IF(BD57-AY57&gt;0,BD57-AY57,0)+IF(BD58-AY58&gt;0,BD58-AY58,0)+IF(BD59-AY59&gt;0,BD59-AY59,0)+IF(BD60-AY60&gt;0,BD60-AY60,0)+IF(BD61-AY61&gt;0,BD61-AY61,0)+IF(BD62-AY62&gt;0,BD62-AY62,0)+IF(BD63-AY63&gt;0,BD63-AY63,0)+IF(BD64-AY64&gt;0,BD64-AY64,0)+IF(BD65-AY65&gt;0,BD65-AY65,0)+IF(BD5-AY5&gt;0,BD5-AY5,0)+IF(BD7-AY7&gt;0,BD7-AY7,0)+IF(BD10-AY10&gt;0,BD10-AY10,0)+IF(BD20-AY20&gt;0,BD20-AY20,0)+IF(BD21-AY21&gt;0,BD21-AY21,0)+IF(BD22-AY22&gt;0,BD22-AY22,0)</f>
        <v>1284</v>
      </c>
      <c r="BE70" s="39">
        <f t="shared" ref="BE70:BG70" si="79">IF(BE4-BD4&gt;0,BE4-BD4,0)+IF(BE6-BD6&gt;0,BE6-BD6,0)+IF(BE8-BD8&gt;0,BE8-BD8,0)+IF(BE9-BD9&gt;0,BE9-BD9,0)+IF(BE11-BD11&gt;0,BE11-BD11,0)+IF(BE12-BD12&gt;0,BE12-BD12,0)+IF(BE13-BD13&gt;0,BE13-BD13,0)+IF(BE14-BD14&gt;0,BE14-BD14,0)+IF(BE15-BD15&gt;0,BE15-BD15,0)+IF(BE16-BD16&gt;0,BE16-BD16,0)+IF(BE17-BD17&gt;0,BE17-BD17,0)+IF(BE18-BD18&gt;0,BE18-BD18,0)+IF(BE19-BD19&gt;0,BE19-BD19,0)+IF(BE23-BD23&gt;0,BE23-BD23,0)+IF(BE24-BD24&gt;0,BE24-BD24,0)+IF(BE25-BD25&gt;0,BE25-BD25,0)+IF(BE26-BD26&gt;0,BE26-BD26,0)+IF(BE27-BD27&gt;0,BE27-BD27,0)+IF(BE28-BD28&gt;0,BE28-BD28,0)+IF(BE29-BD29&gt;0,BE29-BD29,0)+IF(BE30-BD30&gt;0,BE30-BD30,0)+IF(BE31-BD31&gt;0,BE31-BD31,0)+IF(BE32-BD32&gt;0,BE32-BD32,0)+IF(BE33-BD33&gt;0,BE33-BD33,0)+IF(BE34-BD34&gt;0,BE34-BD34,0)+IF(BE35-BD35&gt;0,BE35-BD35,0)+IF(BE36-BD36&gt;0,BE36-BD36,0)+IF(BE37-BD37&gt;0,BE37-BD37,0)+IF(BE38-BD38&gt;0,BE38-BD38,0)+IF(BE39-BD39&gt;0,BE39-BD39,0)+IF(BE40-BD40&gt;0,BE40-BD40,0)+IF(BE41-BD41&gt;0,BE41-BD41,0)+IF(BE42-BD42&gt;0,BE42-BD42,0)+IF(BE43-BD43&gt;0,BE43-BD43,0)+IF(BE44-BD44&gt;0,BE44-BD44,0)+IF(BE45-BD45&gt;0,BE45-BD45,0)+IF(BE46-BD46&gt;0,BE46-BD46,0)+IF(BE47-BD47&gt;0,BE47-BD47,0)+IF(BE48-BD48&gt;0,BE48-BD48,0)+IF(BE49-BD49&gt;0,BE49-BD49,0)+IF(BE50-BD50&gt;0,BE50-BD50,0)+IF(BE51-BD51&gt;0,BE51-BD51,0)+IF(BE52-BD52&gt;0,BE52-BD52,0)+IF(BE53-BD53&gt;0,BE53-BD53,0)+IF(BE54-BD54&gt;0,BE54-BD54,0)+IF(BE55-BD55&gt;0,BE55-BD55,0)+IF(BE56-BD56&gt;0,BE56-BD56,0)+IF(BE57-BD57&gt;0,BE57-BD57,0)+IF(BE58-BD58&gt;0,BE58-BD58,0)+IF(BE59-BD59&gt;0,BE59-BD59,0)+IF(BE60-BD60&gt;0,BE60-BD60,0)+IF(BE61-BD61&gt;0,BE61-BD61,0)+IF(BE62-BD62&gt;0,BE62-BD62,0)+IF(BE63-BD63&gt;0,BE63-BD63,0)+IF(BE64-BD64&gt;0,BE64-BD64,0)+IF(BE65-BD65&gt;0,BE65-BD65,0)+IF(BE5-BD5&gt;0,BE5-BD5,0)+IF(BE7-BD7&gt;0,BE7-BD7,0)+IF(BE10-BD10&gt;0,BE10-BD10,0)+IF(BE20-BD20&gt;0,BE20-BD20,0)+IF(BE21-BD21&gt;0,BE21-BD21,0)+IF(BE22-BD22&gt;0,BE22-BD22,0)</f>
        <v>0</v>
      </c>
      <c r="BF70" s="39">
        <f t="shared" si="79"/>
        <v>0</v>
      </c>
      <c r="BG70" s="39">
        <f t="shared" si="79"/>
        <v>0</v>
      </c>
      <c r="BH70" s="39">
        <f>IF(BH4-BG4&gt;0,BH4-BG4,0)+IF(BH6-BG6&gt;0,BH6-BG6,0)+IF(BH8-BG8&gt;0,BH8-BG8,0)+IF(BH9-BG9&gt;0,BH9-BG9,0)+IF(BH11-BG11&gt;0,BH11-BG11,0)+IF(BH12-BG12&gt;0,BH12-BG12,0)+IF(BH13-BG13&gt;0,BH13-BG13,0)+IF(BH14-BG14&gt;0,BH14-BG14,0)+IF(BH15-BG15&gt;0,BH15-BG15,0)+IF(BH16-BG16&gt;0,BH16-BG16,0)+IF(BH17-BG17&gt;0,BH17-BG17,0)+IF(BH18-BG18&gt;0,BH18-BG18,0)+IF(BH19-BG19&gt;0,BH19-BG19,0)+IF(BH23-BG23&gt;0,BH23-BG23,0)+IF(BH24-BG24&gt;0,BH24-BG24,0)+IF(BH25-BG25&gt;0,BH25-BG25,0)+IF(BH26-BG26&gt;0,BH26-BG26,0)+IF(BH27-BG27&gt;0,BH27-BG27,0)+IF(BH28-BG28&gt;0,BH28-BG28,0)+IF(BH29-BG29&gt;0,BH29-BG29,0)+IF(BH30-BG30&gt;0,BH30-BG30,0)+IF(BH31-BG31&gt;0,BH31-BG31,0)+IF(BH32-BG32&gt;0,BH32-BG32,0)+IF(BH33-BG33&gt;0,BH33-BG33,0)+IF(BH34-BG34&gt;0,BH34-BG34,0)+IF(BH35-BG35&gt;0,BH35-BG35,0)+IF(BH36-BG36&gt;0,BH36-BG36,0)+IF(BH37-BG37&gt;0,BH37-BG37,0)+IF(BH38-BG38&gt;0,BH38-BG38,0)+IF(BH39-BG39&gt;0,BH39-BG39,0)+IF(BH40-BG40&gt;0,BH40-BG40,0)+IF(BH41-BG41&gt;0,BH41-BG41,0)+IF(BH42-BG42&gt;0,BH42-BG42,0)+IF(BH43-BG43&gt;0,BH43-BG43,0)+IF(BH44-BG44&gt;0,BH44-BG44,0)+IF(BH45-BG45&gt;0,BH45-BG45,0)+IF(BH46-BG46&gt;0,BH46-BG46,0)+IF(BH47-BG47&gt;0,BH47-BG47,0)+IF(BH48-BG48&gt;0,BH48-BG48,0)+IF(BH49-BG49&gt;0,BH49-BG49,0)+IF(BH50-BG50&gt;0,BH50-BG50,0)+IF(BH51-BG51&gt;0,BH51-BG51,0)+IF(BH52-BG52&gt;0,BH52-BG52,0)+IF(BH53-BG53&gt;0,BH53-BG53,0)+IF(BH54-BG54&gt;0,BH54-BG54,0)+IF(BH55-BG55&gt;0,BH55-BG55,0)+IF(BH56-BG56&gt;0,BH56-BG56,0)+IF(BH57-BG57&gt;0,BH57-BG57,0)+IF(BH58-BG58&gt;0,BH58-BG58,0)+IF(BH59-BG59&gt;0,BH59-BG59,0)+IF(BH60-BG60&gt;0,BH60-BG60,0)+IF(BH61-BG61&gt;0,BH61-BG61,0)+IF(BH62-BG62&gt;0,BH62-BG62,0)+IF(BH63-BG63&gt;0,BH63-BG63,0)+IF(BH64-BG64&gt;0,BH64-BG64,0)+IF(BH65-BG65&gt;0,BH65-BG65,0)+IF(BH5-BG5&gt;0,BH5-BG5,0)+IF(BH7-BG7&gt;0,BH7-BG7,0)+IF(BH10-BG10&gt;0,BH10-BG10,0)+IF(BH20-BG20&gt;0,BH20-BG20,0)+IF(BH21-BG21&gt;0,BH21-BG21,0)+IF(BH22-BG22&gt;0,BH22-BG22,0)</f>
        <v>0</v>
      </c>
      <c r="BI70" s="108">
        <f>IF(BI4-BD4&gt;0,BI4-BD4,0)+IF(BI6-BD6&gt;0,BI6-BD6,0)+IF(BI8-BD8&gt;0,BI8-BD8,0)+IF(BI9-BD9&gt;0,BI9-BD9,0)+IF(BI11-BD11&gt;0,BI11-BD11,0)+IF(BI12-BD12&gt;0,BI12-BD12,0)+IF(BI13-BD13&gt;0,BI13-BD13,0)+IF(BI14-BD14&gt;0,BI14-BD14,0)+IF(BI15-BD15&gt;0,BI15-BD15,0)+IF(BI16-BD16&gt;0,BI16-BD16,0)+IF(BI17-BD17&gt;0,BI17-BD17,0)+IF(BI18-BD18&gt;0,BI18-BD18,0)+IF(BI19-BD19&gt;0,BI19-BD19,0)+IF(BI23-BD23&gt;0,BI23-BD23,0)+IF(BI24-BD24&gt;0,BI24-BD24,0)+IF(BI25-BD25&gt;0,BI25-BD25,0)+IF(BI26-BD26&gt;0,BI26-BD26,0)+IF(BI27-BD27&gt;0,BI27-BD27,0)+IF(BI28-BD28&gt;0,BI28-BD28,0)+IF(BI29-BD29&gt;0,BI29-BD29,0)+IF(BI30-BD30&gt;0,BI30-BD30,0)+IF(BI31-BD31&gt;0,BI31-BD31,0)+IF(BI32-BD32&gt;0,BI32-BD32,0)+IF(BI33-BD33&gt;0,BI33-BD33,0)+IF(BI34-BD34&gt;0,BI34-BD34,0)+IF(BI35-BD35&gt;0,BI35-BD35,0)+IF(BI36-BD36&gt;0,BI36-BD36,0)+IF(BI37-BD37&gt;0,BI37-BD37,0)+IF(BI38-BD38&gt;0,BI38-BD38,0)+IF(BI39-BD39&gt;0,BI39-BD39,0)+IF(BI40-BD40&gt;0,BI40-BD40,0)+IF(BI41-BD41&gt;0,BI41-BD41,0)+IF(BI42-BD42&gt;0,BI42-BD42,0)+IF(BI43-BD43&gt;0,BI43-BD43,0)+IF(BI44-BD44&gt;0,BI44-BD44,0)+IF(BI45-BD45&gt;0,BI45-BD45,0)+IF(BI46-BD46&gt;0,BI46-BD46,0)+IF(BI47-BD47&gt;0,BI47-BD47,0)+IF(BI48-BD48&gt;0,BI48-BD48,0)+IF(BI49-BD49&gt;0,BI49-BD49,0)+IF(BI50-BD50&gt;0,BI50-BD50,0)+IF(BI51-BD51&gt;0,BI51-BD51,0)+IF(BI52-BD52&gt;0,BI52-BD52,0)+IF(BI53-BD53&gt;0,BI53-BD53,0)+IF(BI54-BD54&gt;0,BI54-BD54,0)+IF(BI55-BD55&gt;0,BI55-BD55,0)+IF(BI56-BD56&gt;0,BI56-BD56,0)+IF(BI57-BD57&gt;0,BI57-BD57,0)+IF(BI58-BD58&gt;0,BI58-BD58,0)+IF(BI59-BD59&gt;0,BI59-BD59,0)+IF(BI60-BD60&gt;0,BI60-BD60,0)+IF(BI61-BD61&gt;0,BI61-BD61,0)+IF(BI62-BD62&gt;0,BI62-BD62,0)+IF(BI63-BD63&gt;0,BI63-BD63,0)+IF(BI64-BD64&gt;0,BI64-BD64,0)+IF(BI65-BD65&gt;0,BI65-BD65,0)+IF(BI5-BD5&gt;0,BI5-BD5,0)+IF(BI7-BD7&gt;0,BI7-BD7,0)+IF(BI10-BD10&gt;0,BI10-BD10,0)+IF(BI20-BD20&gt;0,BI20-BD20,0)+IF(BI21-BD21&gt;0,BI21-BD21,0)+IF(BI22-BD22&gt;0,BI22-BD22,0)</f>
        <v>0</v>
      </c>
    </row>
    <row r="71" spans="1:62" s="26" customFormat="1">
      <c r="A71" s="12" t="s">
        <v>200</v>
      </c>
      <c r="E71" s="97"/>
      <c r="F71" s="108"/>
      <c r="J71" s="97"/>
      <c r="K71" s="108"/>
      <c r="O71" s="97"/>
      <c r="P71" s="108"/>
      <c r="Q71" s="39">
        <f>IF(Q4-P4&lt;0,Q4-P4,0)+IF(Q6-P6&lt;0,Q6-P6,0)+IF(Q8-P8&lt;0,Q8-P8,0)+IF(Q9-P9&lt;0,Q9-P9,0)+IF(Q11-P11&lt;0,Q11-P11,0)+IF(Q12-P12&lt;0,Q12-P12,0)+IF(Q13-P13&lt;0,Q13-P13,0)+IF(Q14-P14&lt;0,Q14-P14,0)+IF(Q15-P15&lt;0,Q15-P15,0)+IF(Q16-P16&lt;0,Q16-P16,0)+IF(Q17-P17&lt;0,Q17-P17,0)+IF(Q18-P18&lt;0,Q18-P18,0)+IF(Q19-P19&lt;0,Q19-P19,0)+IF(Q23-P23&lt;0,Q23-P23,0)+IF(Q24-P24&lt;0,Q24-P24,0)+IF(Q25-P25&lt;0,Q25-P25,0)+IF(Q26-P26&lt;0,Q26-P26,0)+IF(Q27-P27&lt;0,Q27-P27,0)+IF(Q28-P28&lt;0,Q28-P28,0)+IF(Q29-P29&lt;0,Q29-P29,0)+IF(Q30-P30&lt;0,Q30-P30,0)+IF(Q31-P31&lt;0,Q31-P31,0)+IF(Q32-P32&lt;0,Q32-P32,0)+IF(Q33-P33&lt;0,Q33-P33,0)+IF(Q34-P34&lt;0,Q34-P34,0)+IF(Q35-P35&lt;0,Q35-P35,0)+IF(Q36-P36&lt;0,Q36-P36,0)+IF(Q37-P37&lt;0,Q37-P37,0)+IF(Q38-P38&lt;0,Q38-P38,0)+IF(Q39-P39&lt;0,Q39-P39,0)+IF(Q40-P40&lt;0,Q40-P40,0)+IF(Q41-P41&lt;0,Q41-P41,0)+IF(Q42-P42&lt;0,Q42-P42,0)+IF(Q43-P43&lt;0,Q43-P43,0)+IF(Q44-P44&lt;0,Q44-P44,0)+IF(Q45-P45&lt;0,Q45-P45,0)+IF(Q46-P46&lt;0,Q46-P46,0)+IF(Q47-P47&lt;0,Q47-P47,0)+IF(Q48-P48&lt;0,Q48-P48,0)+IF(Q49-P49&lt;0,Q49-P49,0)+IF(Q50-P50&lt;0,Q50-P50,0)+IF(Q51-P51&lt;0,Q51-P51,0)+IF(Q52-P52&lt;0,Q52-P52,0)+IF(Q53-P53&lt;0,Q53-P53,0)+IF(Q54-P54&lt;0,Q54-P54,0)+IF(Q55-P55&lt;0,Q55-P55,0)+IF(Q56-P56&lt;0,Q56-P56,0)+IF(Q57-P57&lt;0,Q57-P57,0)+IF(Q58-P58&lt;0,Q58-P58,0)+IF(Q59-P59&lt;0,Q59-P59,0)+IF(Q60-P60&lt;0,Q60-P60,0)+IF(Q61-P61&lt;0,Q61-P61,0)+IF(Q62-P62&lt;0,Q62-P62,0)+IF(Q63-P63&lt;0,Q63-P63,0)+IF(Q64-P64&lt;0,Q64-P64,0)+IF(Q65-P65&lt;0,Q65-P65,0)</f>
        <v>-65</v>
      </c>
      <c r="R71" s="39">
        <f>IF(R4-Q4&lt;0,R4-Q4,0)+IF(R6-Q6&lt;0,R6-Q6,0)+IF(R8-Q8&lt;0,R8-Q8,0)+IF(R9-Q9&lt;0,R9-Q9,0)+IF(R11-Q11&lt;0,R11-Q11,0)+IF(R12-Q12&lt;0,R12-Q12,0)+IF(R13-Q13&lt;0,R13-Q13,0)+IF(R14-Q14&lt;0,R14-Q14,0)+IF(R15-Q15&lt;0,R15-Q15,0)+IF(R16-Q16&lt;0,R16-Q16,0)+IF(R17-Q17&lt;0,R17-Q17,0)+IF(R18-Q18&lt;0,R18-Q18,0)+IF(R19-Q19&lt;0,R19-Q19,0)+IF(R23-Q23&lt;0,R23-Q23,0)+IF(R24-Q24&lt;0,R24-Q24,0)+IF(R25-Q25&lt;0,R25-Q25,0)+IF(R26-Q26&lt;0,R26-Q26,0)+IF(R27-Q27&lt;0,R27-Q27,0)+IF(R28-Q28&lt;0,R28-Q28,0)+IF(R29-Q29&lt;0,R29-Q29,0)+IF(R30-Q30&lt;0,R30-Q30,0)+IF(R31-Q31&lt;0,R31-Q31,0)+IF(R32-Q32&lt;0,R32-Q32,0)+IF(R33-Q33&lt;0,R33-Q33,0)+IF(R34-Q34&lt;0,R34-Q34,0)+IF(R35-Q35&lt;0,R35-Q35,0)+IF(R36-Q36&lt;0,R36-Q36,0)+IF(R37-Q37&lt;0,R37-Q37,0)+IF(R38-Q38&lt;0,R38-Q38,0)+IF(R39-Q39&lt;0,R39-Q39,0)+IF(R40-Q40&lt;0,R40-Q40,0)+IF(R41-Q41&lt;0,R41-Q41,0)+IF(R42-Q42&lt;0,R42-Q42,0)+IF(R43-Q43&lt;0,R43-Q43,0)+IF(R44-Q44&lt;0,R44-Q44,0)+IF(R45-Q45&lt;0,R45-Q45,0)+IF(R46-Q46&lt;0,R46-Q46,0)+IF(R47-Q47&lt;0,R47-Q47,0)+IF(R48-Q48&lt;0,R48-Q48,0)+IF(R49-Q49&lt;0,R49-Q49,0)+IF(R50-Q50&lt;0,R50-Q50,0)+IF(R51-Q51&lt;0,R51-Q51,0)+IF(R52-Q52&lt;0,R52-Q52,0)+IF(R53-Q53&lt;0,R53-Q53,0)+IF(R54-Q54&lt;0,R54-Q54,0)+IF(R55-Q55&lt;0,R55-Q55,0)+IF(R56-Q56&lt;0,R56-Q56,0)+IF(R57-Q57&lt;0,R57-Q57,0)+IF(R58-Q58&lt;0,R58-Q58,0)+IF(R59-Q59&lt;0,R59-Q59,0)+IF(R60-Q60&lt;0,R60-Q60,0)+IF(R61-Q61&lt;0,R61-Q61,0)+IF(R62-Q62&lt;0,R62-Q62,0)+IF(R63-Q63&lt;0,R63-Q63,0)+IF(R64-Q64&lt;0,R64-Q64,0)+IF(R65-Q65&lt;0,R65-Q65,0)</f>
        <v>-350</v>
      </c>
      <c r="S71" s="39">
        <f>IF(S4-R4&lt;0,S4-R4,0)+IF(S6-R6&lt;0,S6-R6,0)+IF(S8-R8&lt;0,S8-R8,0)+IF(S9-R9&lt;0,S9-R9,0)+IF(S11-R11&lt;0,S11-R11,0)+IF(S12-R12&lt;0,S12-R12,0)+IF(S13-R13&lt;0,S13-R13,0)+IF(S14-R14&lt;0,S14-R14,0)+IF(S15-R15&lt;0,S15-R15,0)+IF(S16-R16&lt;0,S16-R16,0)+IF(S17-R17&lt;0,S17-R17,0)+IF(S18-R18&lt;0,S18-R18,0)+IF(S19-R19&lt;0,S19-R19,0)+IF(S23-R23&lt;0,S23-R23,0)+IF(S24-R24&lt;0,S24-R24,0)+IF(S25-R25&lt;0,S25-R25,0)+IF(S26-R26&lt;0,S26-R26,0)+IF(S27-R27&lt;0,S27-R27,0)+IF(S28-R28&lt;0,S28-R28,0)+IF(S29-R29&lt;0,S29-R29,0)+IF(S30-R30&lt;0,S30-R30,0)+IF(S31-R31&lt;0,S31-R31,0)+IF(S32-R32&lt;0,S32-R32,0)+IF(S33-R33&lt;0,S33-R33,0)+IF(S34-R34&lt;0,S34-R34,0)+IF(S35-R35&lt;0,S35-R35,0)+IF(S36-R36&lt;0,S36-R36,0)+IF(S37-R37&lt;0,S37-R37,0)+IF(S38-R38&lt;0,S38-R38,0)+IF(S39-R39&lt;0,S39-R39,0)+IF(S40-R40&lt;0,S40-R40,0)+IF(S41-R41&lt;0,S41-R41,0)+IF(S42-R42&lt;0,S42-R42,0)+IF(S43-R43&lt;0,S43-R43,0)+IF(S44-R44&lt;0,S44-R44,0)+IF(S45-R45&lt;0,S45-R45,0)+IF(S46-R46&lt;0,S46-R46,0)+IF(S47-R47&lt;0,S47-R47,0)+IF(S48-R48&lt;0,S48-R48,0)+IF(S49-R49&lt;0,S49-R49,0)+IF(S50-R50&lt;0,S50-R50,0)+IF(S51-R51&lt;0,S51-R51,0)+IF(S52-R52&lt;0,S52-R52,0)+IF(S53-R53&lt;0,S53-R53,0)+IF(S54-R54&lt;0,S54-R54,0)+IF(S55-R55&lt;0,S55-R55,0)+IF(S56-R56&lt;0,S56-R56,0)+IF(S57-R57&lt;0,S57-R57,0)+IF(S58-R58&lt;0,S58-R58,0)+IF(S59-R59&lt;0,S59-R59,0)+IF(S60-R60&lt;0,S60-R60,0)+IF(S61-R61&lt;0,S61-R61,0)+IF(S62-R62&lt;0,S62-R62,0)+IF(S63-R63&lt;0,S63-R63,0)+IF(S64-R64&lt;0,S64-R64,0)+IF(S65-R65&lt;0,S65-R65,0)</f>
        <v>-242</v>
      </c>
      <c r="T71" s="39">
        <f>IF(T4-S4&lt;0,T4-S4,0)+IF(T6-S6&lt;0,T6-S6,0)+IF(T8-S8&lt;0,T8-S8,0)+IF(T9-S9&lt;0,T9-S9,0)+IF(T11-S11&lt;0,T11-S11,0)+IF(T12-S12&lt;0,T12-S12,0)+IF(T13-S13&lt;0,T13-S13,0)+IF(T14-S14&lt;0,T14-S14,0)+IF(T15-S15&lt;0,T15-S15,0)+IF(T16-S16&lt;0,T16-S16,0)+IF(T17-S17&lt;0,T17-S17,0)+IF(T18-S18&lt;0,T18-S18,0)+IF(T19-S19&lt;0,T19-S19,0)+IF(T23-S23&lt;0,T23-S23,0)+IF(T24-S24&lt;0,T24-S24,0)+IF(T25-S25&lt;0,T25-S25,0)+IF(T26-S26&lt;0,T26-S26,0)+IF(T27-S27&lt;0,T27-S27,0)+IF(T28-S28&lt;0,T28-S28,0)+IF(T29-S29&lt;0,T29-S29,0)+IF(T30-S30&lt;0,T30-S30,0)+IF(T31-S31&lt;0,T31-S31,0)+IF(T32-S32&lt;0,T32-S32,0)+IF(T33-S33&lt;0,T33-S33,0)+IF(T34-S34&lt;0,T34-S34,0)+IF(T35-S35&lt;0,T35-S35,0)+IF(T36-S36&lt;0,T36-S36,0)+IF(T37-S37&lt;0,T37-S37,0)+IF(T38-S38&lt;0,T38-S38,0)+IF(T39-S39&lt;0,T39-S39,0)+IF(T40-S40&lt;0,T40-S40,0)+IF(T41-S41&lt;0,T41-S41,0)+IF(T42-S42&lt;0,T42-S42,0)+IF(T43-S43&lt;0,T43-S43,0)+IF(T44-S44&lt;0,T44-S44,0)+IF(T45-S45&lt;0,T45-S45,0)+IF(T46-S46&lt;0,T46-S46,0)+IF(T47-S47&lt;0,T47-S47,0)+IF(T48-S48&lt;0,T48-S48,0)+IF(T49-S49&lt;0,T49-S49,0)+IF(T50-S50&lt;0,T50-S50,0)+IF(T51-S51&lt;0,T51-S51,0)+IF(T52-S52&lt;0,T52-S52,0)+IF(T53-S53&lt;0,T53-S53,0)+IF(T54-S54&lt;0,T54-S54,0)+IF(T55-S55&lt;0,T55-S55,0)+IF(T56-S56&lt;0,T56-S56,0)+IF(T57-S57&lt;0,T57-S57,0)+IF(T58-S58&lt;0,T58-S58,0)+IF(T59-S59&lt;0,T59-S59,0)+IF(T60-S60&lt;0,T60-S60,0)+IF(T61-S61&lt;0,T61-S61,0)+IF(T62-S62&lt;0,T62-S62,0)+IF(T63-S63&lt;0,T63-S63,0)+IF(T64-S64&lt;0,T64-S64,0)+IF(T65-S65&lt;0,T65-S65,0)</f>
        <v>-77</v>
      </c>
      <c r="U71" s="108">
        <f>IF(U4-P4&lt;0,U4-P4,0)+IF(U6-P6&lt;0,U6-P6,0)+IF(U8-P8&lt;0,U8-P8,0)+IF(U9-P9&lt;0,U9-P9,0)+IF(U11-P11&lt;0,U11-P11,0)+IF(U12-P12&lt;0,U12-P12,0)+IF(U13-P13&lt;0,U13-P13,0)+IF(U14-P14&lt;0,U14-P14,0)+IF(U15-P15&lt;0,U15-P15,0)+IF(U16-P16&lt;0,U16-P16,0)+IF(U17-P17&lt;0,U17-P17,0)+IF(U18-P18&lt;0,U18-P18,0)+IF(U19-P19&lt;0,U19-P19,0)+IF(U23-P23&lt;0,U23-P23,0)+IF(U24-P24&lt;0,U24-P24,0)+IF(U25-P25&lt;0,U25-P25,0)+IF(U26-P26&lt;0,U26-P26,0)+IF(U27-P27&lt;0,U27-P27,0)+IF(U28-P28&lt;0,U28-P28,0)+IF(U29-P29&lt;0,U29-P29,0)+IF(U30-P30&lt;0,U30-P30,0)+IF(U31-P31&lt;0,U31-P31,0)+IF(U32-P32&lt;0,U32-P32,0)+IF(U33-P33&lt;0,U33-P33,0)+IF(U34-P34&lt;0,U34-P34,0)+IF(U35-P35&lt;0,U35-P35,0)+IF(U36-P36&lt;0,U36-P36,0)+IF(U37-P37&lt;0,U37-P37,0)+IF(U38-P38&lt;0,U38-P38,0)+IF(U39-P39&lt;0,U39-P39,0)+IF(U40-P40&lt;0,U40-P40,0)+IF(U41-P41&lt;0,U41-P41,0)+IF(U42-P42&lt;0,U42-P42,0)+IF(U43-P43&lt;0,U43-P43,0)+IF(U44-P44&lt;0,U44-P44,0)+IF(U45-P45&lt;0,U45-P45,0)+IF(U46-P46&lt;0,U46-P46,0)+IF(U47-P47&lt;0,U47-P47,0)+IF(U48-P48&lt;0,U48-P48,0)+IF(U49-P49&lt;0,U49-P49,0)+IF(U50-P50&lt;0,U50-P50,0)+IF(U51-P51&lt;0,U51-P51,0)+IF(U52-P52&lt;0,U52-P52,0)+IF(U53-P53&lt;0,U53-P53,0)+IF(U54-P54&lt;0,U54-P54,0)+IF(U55-P55&lt;0,U55-P55,0)+IF(U56-P56&lt;0,U56-P56,0)+IF(U57-P57&lt;0,U57-P57,0)+IF(U58-P58&lt;0,U58-P58,0)+IF(U59-P59&lt;0,U59-P59,0)+IF(U60-P60&lt;0,U60-P60,0)+IF(U61-P61&lt;0,U61-P61,0)+IF(U62-P62&lt;0,U62-P62,0)+IF(U63-P63&lt;0,U63-P63,0)+IF(U64-P64&lt;0,U64-P64,0)</f>
        <v>-382</v>
      </c>
      <c r="V71" s="39">
        <f>IF(V4-U4&lt;0,V4-U4,0)+IF(V6-U6&lt;0,V6-U6,0)+IF(V8-U8&lt;0,V8-U8,0)+IF(V9-U9&lt;0,V9-U9,0)+IF(V11-U11&lt;0,V11-U11,0)+IF(V12-U12&lt;0,V12-U12,0)+IF(V13-U13&lt;0,V13-U13,0)+IF(V14-U14&lt;0,V14-U14,0)+IF(V15-U15&lt;0,V15-U15,0)+IF(V16-U16&lt;0,V16-U16,0)+IF(V17-U17&lt;0,V17-U17,0)+IF(V18-U18&lt;0,V18-U18,0)+IF(V19-U19&lt;0,V19-U19,0)+IF(V23-U23&lt;0,V23-U23,0)+IF(V24-U24&lt;0,V24-U24,0)+IF(V25-U25&lt;0,V25-U25,0)+IF(V26-U26&lt;0,V26-U26,0)+IF(V27-U27&lt;0,V27-U27,0)+IF(V28-U28&lt;0,V28-U28,0)+IF(V29-U29&lt;0,V29-U29,0)+IF(V30-U30&lt;0,V30-U30,0)+IF(V31-U31&lt;0,V31-U31,0)+IF(V32-U32&lt;0,V32-U32,0)+IF(V33-U33&lt;0,V33-U33,0)+IF(V34-U34&lt;0,V34-U34,0)+IF(V35-U35&lt;0,V35-U35,0)+IF(V36-U36&lt;0,V36-U36,0)+IF(V37-U37&lt;0,V37-U37,0)+IF(V38-U38&lt;0,V38-U38,0)+IF(V39-U39&lt;0,V39-U39,0)+IF(V40-U40&lt;0,V40-U40,0)+IF(V41-U41&lt;0,V41-U41,0)+IF(V42-U42&lt;0,V42-U42,0)+IF(V43-U43&lt;0,V43-U43,0)+IF(V44-U44&lt;0,V44-U44,0)+IF(V45-U45&lt;0,V45-U45,0)+IF(V46-U46&lt;0,V46-U46,0)+IF(V47-U47&lt;0,V47-U47,0)+IF(V48-U48&lt;0,V48-U48,0)+IF(V49-U49&lt;0,V49-U49,0)+IF(V50-U50&lt;0,V50-U50,0)+IF(V51-U51&lt;0,V51-U51,0)+IF(V52-U52&lt;0,V52-U52,0)+IF(V53-U53&lt;0,V53-U53,0)+IF(V54-U54&lt;0,V54-U54,0)+IF(V55-U55&lt;0,V55-U55,0)+IF(V56-U56&lt;0,V56-U56,0)+IF(V57-U57&lt;0,V57-U57,0)+IF(V58-U58&lt;0,V58-U58,0)+IF(V59-U59&lt;0,V59-U59,0)+IF(V60-U60&lt;0,V60-U60,0)+IF(V61-U61&lt;0,V61-U61,0)+IF(V62-U62&lt;0,V62-U62,0)+IF(V63-U63&lt;0,V63-U63,0)+IF(V64-U64&lt;0,V64-U64,0)+IF(V65-U65&lt;0,V65-U65,0)</f>
        <v>-700</v>
      </c>
      <c r="W71" s="39">
        <f>IF(W4-V4&lt;0,W4-V4,0)+IF(W6-V6&lt;0,W6-V6,0)+IF(W8-V8&lt;0,W8-V8,0)+IF(W9-V9&lt;0,W9-V9,0)+IF(W11-V11&lt;0,W11-V11,0)+IF(W12-V12&lt;0,W12-V12,0)+IF(W13-V13&lt;0,W13-V13,0)+IF(W14-V14&lt;0,W14-V14,0)+IF(W15-V15&lt;0,W15-V15,0)+IF(W16-V16&lt;0,W16-V16,0)+IF(W17-V17&lt;0,W17-V17,0)+IF(W18-V18&lt;0,W18-V18,0)+IF(W19-V19&lt;0,W19-V19,0)+IF(W23-V23&lt;0,W23-V23,0)+IF(W24-V24&lt;0,W24-V24,0)+IF(W25-V25&lt;0,W25-V25,0)+IF(W26-V26&lt;0,W26-V26,0)+IF(W27-V27&lt;0,W27-V27,0)+IF(W28-V28&lt;0,W28-V28,0)+IF(W29-V29&lt;0,W29-V29,0)+IF(W30-V30&lt;0,W30-V30,0)+IF(W31-V31&lt;0,W31-V31,0)+IF(W32-V32&lt;0,W32-V32,0)+IF(W33-V33&lt;0,W33-V33,0)+IF(W34-V34&lt;0,W34-V34,0)+IF(W35-V35&lt;0,W35-V35,0)+IF(W36-V36&lt;0,W36-V36,0)+IF(W37-V37&lt;0,W37-V37,0)+IF(W38-V38&lt;0,W38-V38,0)+IF(W39-V39&lt;0,W39-V39,0)+IF(W40-V40&lt;0,W40-V40,0)+IF(W41-V41&lt;0,W41-V41,0)+IF(W42-V42&lt;0,W42-V42,0)+IF(W43-V43&lt;0,W43-V43,0)+IF(W44-V44&lt;0,W44-V44,0)+IF(W45-V45&lt;0,W45-V45,0)+IF(W46-V46&lt;0,W46-V46,0)+IF(W47-V47&lt;0,W47-V47,0)+IF(W48-V48&lt;0,W48-V48,0)+IF(W49-V49&lt;0,W49-V49,0)+IF(W50-V50&lt;0,W50-V50,0)+IF(W51-V51&lt;0,W51-V51,0)+IF(W52-V52&lt;0,W52-V52,0)+IF(W53-V53&lt;0,W53-V53,0)+IF(W54-V54&lt;0,W54-V54,0)+IF(W55-V55&lt;0,W55-V55,0)+IF(W56-V56&lt;0,W56-V56,0)+IF(W57-V57&lt;0,W57-V57,0)+IF(W58-V58&lt;0,W58-V58,0)+IF(W59-V59&lt;0,W59-V59,0)+IF(W60-V60&lt;0,W60-V60,0)+IF(W61-V61&lt;0,W61-V61,0)+IF(W62-V62&lt;0,W62-V62,0)+IF(W63-V63&lt;0,W63-V63,0)+IF(W64-V64&lt;0,W64-V64,0)+IF(W65-V65&lt;0,W65-V65,0)</f>
        <v>-22.999999999998181</v>
      </c>
      <c r="X71" s="39">
        <f>IF(X4-W4&lt;0,X4-W4,0)+IF(X6-W6&lt;0,X6-W6,0)+IF(X8-W8&lt;0,X8-W8,0)+IF(X9-W9&lt;0,X9-W9,0)+IF(X11-W11&lt;0,X11-W11,0)+IF(X12-W12&lt;0,X12-W12,0)+IF(X13-W13&lt;0,X13-W13,0)+IF(X14-W14&lt;0,X14-W14,0)+IF(X15-W15&lt;0,X15-W15,0)+IF(X16-W16&lt;0,X16-W16,0)+IF(X17-W17&lt;0,X17-W17,0)+IF(X18-W18&lt;0,X18-W18,0)+IF(X19-W19&lt;0,X19-W19,0)+IF(X23-W23&lt;0,X23-W23,0)+IF(X24-W24&lt;0,X24-W24,0)+IF(X25-W25&lt;0,X25-W25,0)+IF(X26-W26&lt;0,X26-W26,0)+IF(X27-W27&lt;0,X27-W27,0)+IF(X28-W28&lt;0,X28-W28,0)+IF(X29-W29&lt;0,X29-W29,0)+IF(X30-W30&lt;0,X30-W30,0)+IF(X31-W31&lt;0,X31-W31,0)+IF(X32-W32&lt;0,X32-W32,0)+IF(X33-W33&lt;0,X33-W33,0)+IF(X34-W34&lt;0,X34-W34,0)+IF(X35-W35&lt;0,X35-W35,0)+IF(X36-W36&lt;0,X36-W36,0)+IF(X37-W37&lt;0,X37-W37,0)+IF(X38-W38&lt;0,X38-W38,0)+IF(X39-W39&lt;0,X39-W39,0)+IF(X40-W40&lt;0,X40-W40,0)+IF(X41-W41&lt;0,X41-W41,0)+IF(X42-W42&lt;0,X42-W42,0)+IF(X43-W43&lt;0,X43-W43,0)+IF(X44-W44&lt;0,X44-W44,0)+IF(X45-W45&lt;0,X45-W45,0)+IF(X46-W46&lt;0,X46-W46,0)+IF(X47-W47&lt;0,X47-W47,0)+IF(X48-W48&lt;0,X48-W48,0)+IF(X49-W49&lt;0,X49-W49,0)+IF(X50-W50&lt;0,X50-W50,0)+IF(X51-W51&lt;0,X51-W51,0)+IF(X52-W52&lt;0,X52-W52,0)+IF(X53-W53&lt;0,X53-W53,0)+IF(X54-W54&lt;0,X54-W54,0)+IF(X55-W55&lt;0,X55-W55,0)+IF(X56-W56&lt;0,X56-W56,0)+IF(X57-W57&lt;0,X57-W57,0)+IF(X58-W58&lt;0,X58-W58,0)+IF(X59-W59&lt;0,X59-W59,0)+IF(X60-W60&lt;0,X60-W60,0)+IF(X61-W61&lt;0,X61-W61,0)+IF(X62-W62&lt;0,X62-W62,0)+IF(X63-W63&lt;0,X63-W63,0)+IF(X64-W64&lt;0,X64-W64,0)+IF(X65-W65&lt;0,X65-W65,0)</f>
        <v>-67.000000000003638</v>
      </c>
      <c r="Y71" s="39">
        <f>IF(Y4-X4&lt;0,Y4-X4,0)+IF(Y6-X6&lt;0,Y6-X6,0)+IF(Y8-X8&lt;0,Y8-X8,0)+IF(Y9-X9&lt;0,Y9-X9,0)+IF(Y11-X11&lt;0,Y11-X11,0)+IF(Y12-X12&lt;0,Y12-X12,0)+IF(Y13-X13&lt;0,Y13-X13,0)+IF(Y14-X14&lt;0,Y14-X14,0)+IF(Y15-X15&lt;0,Y15-X15,0)+IF(Y16-X16&lt;0,Y16-X16,0)+IF(Y17-X17&lt;0,Y17-X17,0)+IF(Y18-X18&lt;0,Y18-X18,0)+IF(Y19-X19&lt;0,Y19-X19,0)+IF(Y23-X23&lt;0,Y23-X23,0)+IF(Y24-X24&lt;0,Y24-X24,0)+IF(Y25-X25&lt;0,Y25-X25,0)+IF(Y26-X26&lt;0,Y26-X26,0)+IF(Y27-X27&lt;0,Y27-X27,0)+IF(Y28-X28&lt;0,Y28-X28,0)+IF(Y29-X29&lt;0,Y29-X29,0)+IF(Y30-X30&lt;0,Y30-X30,0)+IF(Y31-X31&lt;0,Y31-X31,0)+IF(Y32-X32&lt;0,Y32-X32,0)+IF(Y33-X33&lt;0,Y33-X33,0)+IF(Y34-X34&lt;0,Y34-X34,0)+IF(Y35-X35&lt;0,Y35-X35,0)+IF(Y36-X36&lt;0,Y36-X36,0)+IF(Y37-X37&lt;0,Y37-X37,0)+IF(Y38-X38&lt;0,Y38-X38,0)+IF(Y39-X39&lt;0,Y39-X39,0)+IF(Y40-X40&lt;0,Y40-X40,0)+IF(Y41-X41&lt;0,Y41-X41,0)+IF(Y42-X42&lt;0,Y42-X42,0)+IF(Y43-X43&lt;0,Y43-X43,0)+IF(Y44-X44&lt;0,Y44-X44,0)+IF(Y45-X45&lt;0,Y45-X45,0)+IF(Y46-X46&lt;0,Y46-X46,0)+IF(Y47-X47&lt;0,Y47-X47,0)+IF(Y48-X48&lt;0,Y48-X48,0)+IF(Y49-X49&lt;0,Y49-X49,0)+IF(Y50-X50&lt;0,Y50-X50,0)+IF(Y51-X51&lt;0,Y51-X51,0)+IF(Y52-X52&lt;0,Y52-X52,0)+IF(Y53-X53&lt;0,Y53-X53,0)+IF(Y54-X54&lt;0,Y54-X54,0)+IF(Y55-X55&lt;0,Y55-X55,0)+IF(Y56-X56&lt;0,Y56-X56,0)+IF(Y57-X57&lt;0,Y57-X57,0)+IF(Y58-X58&lt;0,Y58-X58,0)+IF(Y59-X59&lt;0,Y59-X59,0)+IF(Y60-X60&lt;0,Y60-X60,0)+IF(Y61-X61&lt;0,Y61-X61,0)+IF(Y62-X62&lt;0,Y62-X62,0)+IF(Y63-X63&lt;0,Y63-X63,0)+IF(Y64-X64&lt;0,Y64-X64,0)+IF(Y65-X65&lt;0,Y65-X65,0)</f>
        <v>-548.73700000000417</v>
      </c>
      <c r="Z71" s="108">
        <f>IF(Z4-U4&lt;0,Z4-U4,0)+IF(Z6-U6&lt;0,Z6-U6,0)+IF(Z8-U8&lt;0,Z8-U8,0)+IF(Z9-U9&lt;0,Z9-U9,0)+IF(Z11-U11&lt;0,Z11-U11,0)+IF(Z12-U12&lt;0,Z12-U12,0)+IF(Z13-U13&lt;0,Z13-U13,0)+IF(Z14-U14&lt;0,Z14-U14,0)+IF(Z15-U15&lt;0,Z15-U15,0)+IF(Z16-U16&lt;0,Z16-U16,0)+IF(Z17-U17&lt;0,Z17-U17,0)+IF(Z18-U18&lt;0,Z18-U18,0)+IF(Z19-U19&lt;0,Z19-U19,0)+IF(Z23-U23&lt;0,Z23-U23,0)+IF(Z24-U24&lt;0,Z24-U24,0)+IF(Z25-U25&lt;0,Z25-U25,0)+IF(Z26-U26&lt;0,Z26-U26,0)+IF(Z27-U27&lt;0,Z27-U27,0)+IF(Z28-U28&lt;0,Z28-U28,0)+IF(Z29-U29&lt;0,Z29-U29,0)+IF(Z30-U30&lt;0,Z30-U30,0)+IF(Z31-U31&lt;0,Z31-U31,0)+IF(Z32-U32&lt;0,Z32-U32,0)+IF(Z33-U33&lt;0,Z33-U33,0)+IF(Z34-U34&lt;0,Z34-U34,0)+IF(Z35-U35&lt;0,Z35-U35,0)+IF(Z36-U36&lt;0,Z36-U36,0)+IF(Z37-U37&lt;0,Z37-U37,0)+IF(Z38-U38&lt;0,Z38-U38,0)+IF(Z39-U39&lt;0,Z39-U39,0)+IF(Z40-U40&lt;0,Z40-U40,0)+IF(Z41-U41&lt;0,Z41-U41,0)+IF(Z42-U42&lt;0,Z42-U42,0)+IF(Z43-U43&lt;0,Z43-U43,0)+IF(Z44-U44&lt;0,Z44-U44,0)+IF(Z45-U45&lt;0,Z45-U45,0)+IF(Z46-U46&lt;0,Z46-U46,0)+IF(Z47-U47&lt;0,Z47-U47,0)+IF(Z48-U48&lt;0,Z48-U48,0)+IF(Z49-U49&lt;0,Z49-U49,0)+IF(Z50-U50&lt;0,Z50-U50,0)+IF(Z51-U51&lt;0,Z51-U51,0)+IF(Z52-U52&lt;0,Z52-U52,0)+IF(Z53-U53&lt;0,Z53-U53,0)+IF(Z54-U54&lt;0,Z54-U54,0)+IF(Z55-U55&lt;0,Z55-U55,0)+IF(Z56-U56&lt;0,Z56-U56,0)+IF(Z57-U57&lt;0,Z57-U57,0)+IF(Z58-U58&lt;0,Z58-U58,0)+IF(Z59-U59&lt;0,Z59-U59,0)+IF(Z60-U60&lt;0,Z60-U60,0)+IF(Z61-U61&lt;0,Z61-U61,0)+IF(Z62-U62&lt;0,Z62-U62,0)+IF(Z63-U63&lt;0,Z63-U63,0)+IF(Z64-U64&lt;0,Z64-U64,0)</f>
        <v>-701.02</v>
      </c>
      <c r="AA71" s="39">
        <f>IF(AA4-Z4&lt;0,AA4-Z4,0)+IF(AA6-Z6&lt;0,AA6-Z6,0)+IF(AA8-Z8&lt;0,AA8-Z8,0)+IF(AA9-Z9&lt;0,AA9-Z9,0)+IF(AA11-Z11&lt;0,AA11-Z11,0)+IF(AA12-Z12&lt;0,AA12-Z12,0)+IF(AA13-Z13&lt;0,AA13-Z13,0)+IF(AA14-Z14&lt;0,AA14-Z14,0)+IF(AA15-Z15&lt;0,AA15-Z15,0)+IF(AA16-Z16&lt;0,AA16-Z16,0)+IF(AA17-Z17&lt;0,AA17-Z17,0)+IF(AA18-Z18&lt;0,AA18-Z18,0)+IF(AA19-Z19&lt;0,AA19-Z19,0)+IF(AA23-Z23&lt;0,AA23-Z23,0)+IF(AA24-Z24&lt;0,AA24-Z24,0)+IF(AA25-Z25&lt;0,AA25-Z25,0)+IF(AA26-Z26&lt;0,AA26-Z26,0)+IF(AA27-Z27&lt;0,AA27-Z27,0)+IF(AA28-Z28&lt;0,AA28-Z28,0)+IF(AA29-Z29&lt;0,AA29-Z29,0)+IF(AA30-Z30&lt;0,AA30-Z30,0)+IF(AA31-Z31&lt;0,AA31-Z31,0)+IF(AA32-Z32&lt;0,AA32-Z32,0)+IF(AA33-Z33&lt;0,AA33-Z33,0)+IF(AA34-Z34&lt;0,AA34-Z34,0)+IF(AA35-Z35&lt;0,AA35-Z35,0)+IF(AA36-Z36&lt;0,AA36-Z36,0)+IF(AA37-Z37&lt;0,AA37-Z37,0)+IF(AA38-Z38&lt;0,AA38-Z38,0)+IF(AA39-Z39&lt;0,AA39-Z39,0)+IF(AA40-Z40&lt;0,AA40-Z40,0)+IF(AA41-Z41&lt;0,AA41-Z41,0)+IF(AA42-Z42&lt;0,AA42-Z42,0)+IF(AA43-Z43&lt;0,AA43-Z43,0)+IF(AA44-Z44&lt;0,AA44-Z44,0)+IF(AA45-Z45&lt;0,AA45-Z45,0)+IF(AA46-Z46&lt;0,AA46-Z46,0)+IF(AA47-Z47&lt;0,AA47-Z47,0)+IF(AA48-Z48&lt;0,AA48-Z48,0)+IF(AA49-Z49&lt;0,AA49-Z49,0)+IF(AA50-Z50&lt;0,AA50-Z50,0)+IF(AA51-Z51&lt;0,AA51-Z51,0)+IF(AA52-Z52&lt;0,AA52-Z52,0)+IF(AA53-Z53&lt;0,AA53-Z53,0)+IF(AA54-Z54&lt;0,AA54-Z54,0)+IF(AA55-Z55&lt;0,AA55-Z55,0)+IF(AA56-Z56&lt;0,AA56-Z56,0)+IF(AA57-Z57&lt;0,AA57-Z57,0)+IF(AA58-Z58&lt;0,AA58-Z58,0)+IF(AA59-Z59&lt;0,AA59-Z59,0)+IF(AA60-Z60&lt;0,AA60-Z60,0)+IF(AA61-Z61&lt;0,AA61-Z61,0)+IF(AA62-Z62&lt;0,AA62-Z62,0)+IF(AA63-Z63&lt;0,AA63-Z63,0)+IF(AA64-Z64&lt;0,AA64-Z64,0)+IF(AA65-Z65&lt;0,AA65-Z65,0)</f>
        <v>-2200.4029999999948</v>
      </c>
      <c r="AB71" s="39">
        <f>IF(AB4-AA4&lt;0,AB4-AA4,0)+IF(AB6-AA6&lt;0,AB6-AA6,0)+IF(AB8-AA8&lt;0,AB8-AA8,0)+IF(AB9-AA9&lt;0,AB9-AA9,0)+IF(AB11-AA11&lt;0,AB11-AA11,0)+IF(AB12-AA12&lt;0,AB12-AA12,0)+IF(AB13-AA13&lt;0,AB13-AA13,0)+IF(AB14-AA14&lt;0,AB14-AA14,0)+IF(AB15-AA15&lt;0,AB15-AA15,0)+IF(AB16-AA16&lt;0,AB16-AA16,0)+IF(AB17-AA17&lt;0,AB17-AA17,0)+IF(AB18-AA18&lt;0,AB18-AA18,0)+IF(AB19-AA19&lt;0,AB19-AA19,0)+IF(AB23-AA23&lt;0,AB23-AA23,0)+IF(AB24-AA24&lt;0,AB24-AA24,0)+IF(AB25-AA25&lt;0,AB25-AA25,0)+IF(AB26-AA26&lt;0,AB26-AA26,0)+IF(AB27-AA27&lt;0,AB27-AA27,0)+IF(AB28-AA28&lt;0,AB28-AA28,0)+IF(AB29-AA29&lt;0,AB29-AA29,0)+IF(AB30-AA30&lt;0,AB30-AA30,0)+IF(AB31-AA31&lt;0,AB31-AA31,0)+IF(AB32-AA32&lt;0,AB32-AA32,0)+IF(AB33-AA33&lt;0,AB33-AA33,0)+IF(AB34-AA34&lt;0,AB34-AA34,0)+IF(AB35-AA35&lt;0,AB35-AA35,0)+IF(AB36-AA36&lt;0,AB36-AA36,0)+IF(AB37-AA37&lt;0,AB37-AA37,0)+IF(AB38-AA38&lt;0,AB38-AA38,0)+IF(AB39-AA39&lt;0,AB39-AA39,0)+IF(AB40-AA40&lt;0,AB40-AA40,0)+IF(AB41-AA41&lt;0,AB41-AA41,0)+IF(AB42-AA42&lt;0,AB42-AA42,0)+IF(AB43-AA43&lt;0,AB43-AA43,0)+IF(AB44-AA44&lt;0,AB44-AA44,0)+IF(AB45-AA45&lt;0,AB45-AA45,0)+IF(AB46-AA46&lt;0,AB46-AA46,0)+IF(AB47-AA47&lt;0,AB47-AA47,0)+IF(AB48-AA48&lt;0,AB48-AA48,0)+IF(AB49-AA49&lt;0,AB49-AA49,0)+IF(AB50-AA50&lt;0,AB50-AA50,0)+IF(AB51-AA51&lt;0,AB51-AA51,0)+IF(AB52-AA52&lt;0,AB52-AA52,0)+IF(AB53-AA53&lt;0,AB53-AA53,0)+IF(AB54-AA54&lt;0,AB54-AA54,0)+IF(AB55-AA55&lt;0,AB55-AA55,0)+IF(AB56-AA56&lt;0,AB56-AA56,0)+IF(AB57-AA57&lt;0,AB57-AA57,0)+IF(AB58-AA58&lt;0,AB58-AA58,0)+IF(AB59-AA59&lt;0,AB59-AA59,0)+IF(AB60-AA60&lt;0,AB60-AA60,0)+IF(AB61-AA61&lt;0,AB61-AA61,0)+IF(AB62-AA62&lt;0,AB62-AA62,0)+IF(AB63-AA63&lt;0,AB63-AA63,0)+IF(AB64-AA64&lt;0,AB64-AA64,0)+IF(AB65-AA65&lt;0,AB65-AA65,0)</f>
        <v>-2548</v>
      </c>
      <c r="AC71" s="39">
        <f>IF(AC4-AB4&lt;0,AC4-AB4,0)+IF(AC6-AB6&lt;0,AC6-AB6,0)+IF(AC8-AB8&lt;0,AC8-AB8,0)+IF(AC9-AB9&lt;0,AC9-AB9,0)+IF(AC11-AB11&lt;0,AC11-AB11,0)+IF(AC12-AB12&lt;0,AC12-AB12,0)+IF(AC13-AB13&lt;0,AC13-AB13,0)+IF(AC14-AB14&lt;0,AC14-AB14,0)+IF(AC15-AB15&lt;0,AC15-AB15,0)+IF(AC16-AB16&lt;0,AC16-AB16,0)+IF(AC17-AB17&lt;0,AC17-AB17,0)+IF(AC18-AB18&lt;0,AC18-AB18,0)+IF(AC19-AB19&lt;0,AC19-AB19,0)+IF(AC23-AB23&lt;0,AC23-AB23,0)+IF(AC24-AB24&lt;0,AC24-AB24,0)+IF(AC25-AB25&lt;0,AC25-AB25,0)+IF(AC26-AB26&lt;0,AC26-AB26,0)+IF(AC27-AB27&lt;0,AC27-AB27,0)+IF(AC28-AB28&lt;0,AC28-AB28,0)+IF(AC29-AB29&lt;0,AC29-AB29,0)+IF(AC30-AB30&lt;0,AC30-AB30,0)+IF(AC31-AB31&lt;0,AC31-AB31,0)+IF(AC32-AB32&lt;0,AC32-AB32,0)+IF(AC33-AB33&lt;0,AC33-AB33,0)+IF(AC34-AB34&lt;0,AC34-AB34,0)+IF(AC35-AB35&lt;0,AC35-AB35,0)+IF(AC36-AB36&lt;0,AC36-AB36,0)+IF(AC37-AB37&lt;0,AC37-AB37,0)+IF(AC38-AB38&lt;0,AC38-AB38,0)+IF(AC39-AB39&lt;0,AC39-AB39,0)+IF(AC40-AB40&lt;0,AC40-AB40,0)+IF(AC41-AB41&lt;0,AC41-AB41,0)+IF(AC42-AB42&lt;0,AC42-AB42,0)+IF(AC43-AB43&lt;0,AC43-AB43,0)+IF(AC44-AB44&lt;0,AC44-AB44,0)+IF(AC45-AB45&lt;0,AC45-AB45,0)+IF(AC46-AB46&lt;0,AC46-AB46,0)+IF(AC47-AB47&lt;0,AC47-AB47,0)+IF(AC48-AB48&lt;0,AC48-AB48,0)+IF(AC49-AB49&lt;0,AC49-AB49,0)+IF(AC50-AB50&lt;0,AC50-AB50,0)+IF(AC51-AB51&lt;0,AC51-AB51,0)+IF(AC52-AB52&lt;0,AC52-AB52,0)+IF(AC53-AB53&lt;0,AC53-AB53,0)+IF(AC54-AB54&lt;0,AC54-AB54,0)+IF(AC55-AB55&lt;0,AC55-AB55,0)+IF(AC56-AB56&lt;0,AC56-AB56,0)+IF(AC57-AB57&lt;0,AC57-AB57,0)+IF(AC58-AB58&lt;0,AC58-AB58,0)+IF(AC59-AB59&lt;0,AC59-AB59,0)+IF(AC60-AB60&lt;0,AC60-AB60,0)+IF(AC61-AB61&lt;0,AC61-AB61,0)+IF(AC62-AB62&lt;0,AC62-AB62,0)+IF(AC63-AB63&lt;0,AC63-AB63,0)+IF(AC64-AB64&lt;0,AC64-AB64,0)+IF(AC65-AB65&lt;0,AC65-AB65,0)</f>
        <v>-2300</v>
      </c>
      <c r="AD71" s="39">
        <f>IF(AD4-AC4&lt;0,AD4-AC4,0)+IF(AD6-AC6&lt;0,AD6-AC6,0)+IF(AD8-AC8&lt;0,AD8-AC8,0)+IF(AD9-AC9&lt;0,AD9-AC9,0)+IF(AD11-AC11&lt;0,AD11-AC11,0)+IF(AD12-AC12&lt;0,AD12-AC12,0)+IF(AD13-AC13&lt;0,AD13-AC13,0)+IF(AD14-AC14&lt;0,AD14-AC14,0)+IF(AD15-AC15&lt;0,AD15-AC15,0)+IF(AD16-AC16&lt;0,AD16-AC16,0)+IF(AD17-AC17&lt;0,AD17-AC17,0)+IF(AD18-AC18&lt;0,AD18-AC18,0)+IF(AD19-AC19&lt;0,AD19-AC19,0)+IF(AD23-AC23&lt;0,AD23-AC23,0)+IF(AD24-AC24&lt;0,AD24-AC24,0)+IF(AD25-AC25&lt;0,AD25-AC25,0)+IF(AD26-AC26&lt;0,AD26-AC26,0)+IF(AD27-AC27&lt;0,AD27-AC27,0)+IF(AD28-AC28&lt;0,AD28-AC28,0)+IF(AD29-AC29&lt;0,AD29-AC29,0)+IF(AD30-AC30&lt;0,AD30-AC30,0)+IF(AD31-AC31&lt;0,AD31-AC31,0)+IF(AD32-AC32&lt;0,AD32-AC32,0)+IF(AD33-AC33&lt;0,AD33-AC33,0)+IF(AD34-AC34&lt;0,AD34-AC34,0)+IF(AD35-AC35&lt;0,AD35-AC35,0)+IF(AD36-AC36&lt;0,AD36-AC36,0)+IF(AD37-AC37&lt;0,AD37-AC37,0)+IF(AD38-AC38&lt;0,AD38-AC38,0)+IF(AD39-AC39&lt;0,AD39-AC39,0)+IF(AD40-AC40&lt;0,AD40-AC40,0)+IF(AD41-AC41&lt;0,AD41-AC41,0)+IF(AD42-AC42&lt;0,AD42-AC42,0)+IF(AD43-AC43&lt;0,AD43-AC43,0)+IF(AD44-AC44&lt;0,AD44-AC44,0)+IF(AD45-AC45&lt;0,AD45-AC45,0)+IF(AD46-AC46&lt;0,AD46-AC46,0)+IF(AD47-AC47&lt;0,AD47-AC47,0)+IF(AD48-AC48&lt;0,AD48-AC48,0)+IF(AD49-AC49&lt;0,AD49-AC49,0)+IF(AD50-AC50&lt;0,AD50-AC50,0)+IF(AD51-AC51&lt;0,AD51-AC51,0)+IF(AD52-AC52&lt;0,AD52-AC52,0)+IF(AD53-AC53&lt;0,AD53-AC53,0)+IF(AD54-AC54&lt;0,AD54-AC54,0)+IF(AD55-AC55&lt;0,AD55-AC55,0)+IF(AD56-AC56&lt;0,AD56-AC56,0)+IF(AD57-AC57&lt;0,AD57-AC57,0)+IF(AD58-AC58&lt;0,AD58-AC58,0)+IF(AD59-AC59&lt;0,AD59-AC59,0)+IF(AD60-AC60&lt;0,AD60-AC60,0)+IF(AD61-AC61&lt;0,AD61-AC61,0)+IF(AD62-AC62&lt;0,AD62-AC62,0)+IF(AD63-AC63&lt;0,AD63-AC63,0)+IF(AD64-AC64&lt;0,AD64-AC64,0)+IF(AD65-AC65&lt;0,AD65-AC65,0)</f>
        <v>-2250</v>
      </c>
      <c r="AE71" s="108">
        <f>IF(AE4-Z4&lt;0,AE4-Z4,0)+IF(AE6-Z6&lt;0,AE6-Z6,0)+IF(AE8-Z8&lt;0,AE8-Z8,0)+IF(AE9-Z9&lt;0,AE9-Z9,0)+IF(AE11-Z11&lt;0,AE11-Z11,0)+IF(AE12-Z12&lt;0,AE12-Z12,0)+IF(AE13-Z13&lt;0,AE13-Z13,0)+IF(AE14-Z14&lt;0,AE14-Z14,0)+IF(AE15-Z15&lt;0,AE15-Z15,0)+IF(AE16-Z16&lt;0,AE16-Z16,0)+IF(AE17-Z17&lt;0,AE17-Z17,0)+IF(AE18-Z18&lt;0,AE18-Z18,0)+IF(AE19-Z19&lt;0,AE19-Z19,0)+IF(AE23-Z23&lt;0,AE23-Z23,0)+IF(AE24-Z24&lt;0,AE24-Z24,0)+IF(AE25-Z25&lt;0,AE25-Z25,0)+IF(AE26-Z26&lt;0,AE26-Z26,0)+IF(AE27-Z27&lt;0,AE27-Z27,0)+IF(AE28-Z28&lt;0,AE28-Z28,0)+IF(AE29-Z29&lt;0,AE29-Z29,0)+IF(AE30-Z30&lt;0,AE30-Z30,0)+IF(AE31-Z31&lt;0,AE31-Z31,0)+IF(AE32-Z32&lt;0,AE32-Z32,0)+IF(AE33-Z33&lt;0,AE33-Z33,0)+IF(AE34-Z34&lt;0,AE34-Z34,0)+IF(AE35-Z35&lt;0,AE35-Z35,0)+IF(AE36-Z36&lt;0,AE36-Z36,0)+IF(AE37-Z37&lt;0,AE37-Z37,0)+IF(AE38-Z38&lt;0,AE38-Z38,0)+IF(AE39-Z39&lt;0,AE39-Z39,0)+IF(AE40-Z40&lt;0,AE40-Z40,0)+IF(AE41-Z41&lt;0,AE41-Z41,0)+IF(AE42-Z42&lt;0,AE42-Z42,0)+IF(AE43-Z43&lt;0,AE43-Z43,0)+IF(AE44-Z44&lt;0,AE44-Z44,0)+IF(AE45-Z45&lt;0,AE45-Z45,0)+IF(AE46-Z46&lt;0,AE46-Z46,0)+IF(AE47-Z47&lt;0,AE47-Z47,0)+IF(AE48-Z48&lt;0,AE48-Z48,0)+IF(AE49-Z49&lt;0,AE49-Z49,0)+IF(AE50-Z50&lt;0,AE50-Z50,0)+IF(AE51-Z51&lt;0,AE51-Z51,0)+IF(AE52-Z52&lt;0,AE52-Z52,0)+IF(AE53-Z53&lt;0,AE53-Z53,0)+IF(AE54-Z54&lt;0,AE54-Z54,0)+IF(AE55-Z55&lt;0,AE55-Z55,0)+IF(AE56-Z56&lt;0,AE56-Z56,0)+IF(AE57-Z57&lt;0,AE57-Z57,0)+IF(AE58-Z58&lt;0,AE58-Z58,0)+IF(AE59-Z59&lt;0,AE59-Z59,0)+IF(AE60-Z60&lt;0,AE60-Z60,0)+IF(AE61-Z61&lt;0,AE61-Z61,0)+IF(AE62-Z62&lt;0,AE62-Z62,0)+IF(AE63-Z63&lt;0,AE63-Z63,0)+IF(AE64-Z64&lt;0,AE64-Z64,0)</f>
        <v>-9009</v>
      </c>
      <c r="AF71" s="39">
        <f>IF(AF4-AE4&lt;0,AF4-AE4,0)+IF(AF6-AE6&lt;0,AF6-AE6,0)+IF(AF8-AE8&lt;0,AF8-AE8,0)+IF(AF9-AE9&lt;0,AF9-AE9,0)+IF(AF11-AE11&lt;0,AF11-AE11,0)+IF(AF12-AE12&lt;0,AF12-AE12,0)+IF(AF13-AE13&lt;0,AF13-AE13,0)+IF(AF14-AE14&lt;0,AF14-AE14,0)+IF(AF15-AE15&lt;0,AF15-AE15,0)+IF(AF16-AE16&lt;0,AF16-AE16,0)+IF(AF17-AE17&lt;0,AF17-AE17,0)+IF(AF18-AE18&lt;0,AF18-AE18,0)+IF(AF19-AE19&lt;0,AF19-AE19,0)+IF(AF23-AE23&lt;0,AF23-AE23,0)+IF(AF24-AE24&lt;0,AF24-AE24,0)+IF(AF25-AE25&lt;0,AF25-AE25,0)+IF(AF26-AE26&lt;0,AF26-AE26,0)+IF(AF27-AE27&lt;0,AF27-AE27,0)+IF(AF28-AE28&lt;0,AF28-AE28,0)+IF(AF29-AE29&lt;0,AF29-AE29,0)+IF(AF30-AE30&lt;0,AF30-AE30,0)+IF(AF31-AE31&lt;0,AF31-AE31,0)+IF(AF32-AE32&lt;0,AF32-AE32,0)+IF(AF33-AE33&lt;0,AF33-AE33,0)+IF(AF34-AE34&lt;0,AF34-AE34,0)+IF(AF35-AE35&lt;0,AF35-AE35,0)+IF(AF36-AE36&lt;0,AF36-AE36,0)+IF(AF37-AE37&lt;0,AF37-AE37,0)+IF(AF38-AE38&lt;0,AF38-AE38,0)+IF(AF39-AE39&lt;0,AF39-AE39,0)+IF(AF40-AE40&lt;0,AF40-AE40,0)+IF(AF41-AE41&lt;0,AF41-AE41,0)+IF(AF42-AE42&lt;0,AF42-AE42,0)+IF(AF43-AE43&lt;0,AF43-AE43,0)+IF(AF44-AE44&lt;0,AF44-AE44,0)+IF(AF45-AE45&lt;0,AF45-AE45,0)+IF(AF46-AE46&lt;0,AF46-AE46,0)+IF(AF47-AE47&lt;0,AF47-AE47,0)+IF(AF48-AE48&lt;0,AF48-AE48,0)+IF(AF49-AE49&lt;0,AF49-AE49,0)+IF(AF50-AE50&lt;0,AF50-AE50,0)+IF(AF51-AE51&lt;0,AF51-AE51,0)+IF(AF52-AE52&lt;0,AF52-AE52,0)+IF(AF53-AE53&lt;0,AF53-AE53,0)+IF(AF54-AE54&lt;0,AF54-AE54,0)+IF(AF55-AE55&lt;0,AF55-AE55,0)+IF(AF56-AE56&lt;0,AF56-AE56,0)+IF(AF57-AE57&lt;0,AF57-AE57,0)+IF(AF58-AE58&lt;0,AF58-AE58,0)+IF(AF59-AE59&lt;0,AF59-AE59,0)+IF(AF60-AE60&lt;0,AF60-AE60,0)+IF(AF61-AE61&lt;0,AF61-AE61,0)+IF(AF62-AE62&lt;0,AF62-AE62,0)+IF(AF63-AE63&lt;0,AF63-AE63,0)+IF(AF64-AE64&lt;0,AF64-AE64,0)+IF(AF65-AE65&lt;0,AF65-AE65,0)+IF(AF5-AE5&lt;0,AF5-AE5,0)+IF(AF7-AE7&lt;0,AF7-AE7,0)+IF(AF10-AE10&lt;0,AF10-AE10,0)+IF(AF20-AE20&lt;0,AF20-AE20,0)+IF(AF21-AE21&lt;0,AF21-AE21,0)+IF(AF22-AE22&lt;0,AF22-AE22,0)</f>
        <v>-21458</v>
      </c>
      <c r="AG71" s="39">
        <f>IF(AG4-AF4&lt;0,AG4-AF4,0)+IF(AG6-AF6&lt;0,AG6-AF6,0)+IF(AG8-AF8&lt;0,AG8-AF8,0)+IF(AG9-AF9&lt;0,AG9-AF9,0)+IF(AG11-AF11&lt;0,AG11-AF11,0)+IF(AG12-AF12&lt;0,AG12-AF12,0)+IF(AG13-AF13&lt;0,AG13-AF13,0)+IF(AG14-AF14&lt;0,AG14-AF14,0)+IF(AG15-AF15&lt;0,AG15-AF15,0)+IF(AG16-AF16&lt;0,AG16-AF16,0)+IF(AG17-AF17&lt;0,AG17-AF17,0)+IF(AG18-AF18&lt;0,AG18-AF18,0)+IF(AG19-AF19&lt;0,AG19-AF19,0)+IF(AG23-AF23&lt;0,AG23-AF23,0)+IF(AG24-AF24&lt;0,AG24-AF24,0)+IF(AG25-AF25&lt;0,AG25-AF25,0)+IF(AG26-AF26&lt;0,AG26-AF26,0)+IF(AG27-AF27&lt;0,AG27-AF27,0)+IF(AG28-AF28&lt;0,AG28-AF28,0)+IF(AG29-AF29&lt;0,AG29-AF29,0)+IF(AG30-AF30&lt;0,AG30-AF30,0)+IF(AG31-AF31&lt;0,AG31-AF31,0)+IF(AG32-AF32&lt;0,AG32-AF32,0)+IF(AG33-AF33&lt;0,AG33-AF33,0)+IF(AG34-AF34&lt;0,AG34-AF34,0)+IF(AG35-AF35&lt;0,AG35-AF35,0)+IF(AG36-AF36&lt;0,AG36-AF36,0)+IF(AG37-AF37&lt;0,AG37-AF37,0)+IF(AG38-AF38&lt;0,AG38-AF38,0)+IF(AG39-AF39&lt;0,AG39-AF39,0)+IF(AG40-AF40&lt;0,AG40-AF40,0)+IF(AG41-AF41&lt;0,AG41-AF41,0)+IF(AG42-AF42&lt;0,AG42-AF42,0)+IF(AG43-AF43&lt;0,AG43-AF43,0)+IF(AG44-AF44&lt;0,AG44-AF44,0)+IF(AG45-AF45&lt;0,AG45-AF45,0)+IF(AG46-AF46&lt;0,AG46-AF46,0)+IF(AG47-AF47&lt;0,AG47-AF47,0)+IF(AG48-AF48&lt;0,AG48-AF48,0)+IF(AG49-AF49&lt;0,AG49-AF49,0)+IF(AG50-AF50&lt;0,AG50-AF50,0)+IF(AG51-AF51&lt;0,AG51-AF51,0)+IF(AG52-AF52&lt;0,AG52-AF52,0)+IF(AG53-AF53&lt;0,AG53-AF53,0)+IF(AG54-AF54&lt;0,AG54-AF54,0)+IF(AG55-AF55&lt;0,AG55-AF55,0)+IF(AG56-AF56&lt;0,AG56-AF56,0)+IF(AG57-AF57&lt;0,AG57-AF57,0)+IF(AG58-AF58&lt;0,AG58-AF58,0)+IF(AG59-AF59&lt;0,AG59-AF59,0)+IF(AG60-AF60&lt;0,AG60-AF60,0)+IF(AG61-AF61&lt;0,AG61-AF61,0)+IF(AG62-AF62&lt;0,AG62-AF62,0)+IF(AG63-AF63&lt;0,AG63-AF63,0)+IF(AG64-AF64&lt;0,AG64-AF64,0)+IF(AG65-AF65&lt;0,AG65-AF65,0)+IF(AG5-AF5&lt;0,AG5-AF5,0)+IF(AG7-AF7&lt;0,AG7-AF7,0)+IF(AG10-AF10&lt;0,AG10-AF10,0)+IF(AG20-AF20&lt;0,AG20-AF20,0)+IF(AG21-AF21&lt;0,AG21-AF21,0)+IF(AG22-AF22&lt;0,AG22-AF22,0)</f>
        <v>-3978</v>
      </c>
      <c r="AH71" s="39">
        <f>IF(AH4-AG4&lt;0,AH4-AG4,0)+IF(AH6-AG6&lt;0,AH6-AG6,0)+IF(AH8-AG8&lt;0,AH8-AG8,0)+IF(AH9-AG9&lt;0,AH9-AG9,0)+IF(AH11-AG11&lt;0,AH11-AG11,0)+IF(AH12-AG12&lt;0,AH12-AG12,0)+IF(AH13-AG13&lt;0,AH13-AG13,0)+IF(AH14-AG14&lt;0,AH14-AG14,0)+IF(AH15-AG15&lt;0,AH15-AG15,0)+IF(AH16-AG16&lt;0,AH16-AG16,0)+IF(AH17-AG17&lt;0,AH17-AG17,0)+IF(AH18-AG18&lt;0,AH18-AG18,0)+IF(AH19-AG19&lt;0,AH19-AG19,0)+IF(AH23-AG23&lt;0,AH23-AG23,0)+IF(AH24-AG24&lt;0,AH24-AG24,0)+IF(AH25-AG25&lt;0,AH25-AG25,0)+IF(AH26-AG26&lt;0,AH26-AG26,0)+IF(AH27-AG27&lt;0,AH27-AG27,0)+IF(AH28-AG28&lt;0,AH28-AG28,0)+IF(AH29-AG29&lt;0,AH29-AG29,0)+IF(AH30-AG30&lt;0,AH30-AG30,0)+IF(AH31-AG31&lt;0,AH31-AG31,0)+IF(AH32-AG32&lt;0,AH32-AG32,0)+IF(AH33-AG33&lt;0,AH33-AG33,0)+IF(AH34-AG34&lt;0,AH34-AG34,0)+IF(AH35-AG35&lt;0,AH35-AG35,0)+IF(AH36-AG36&lt;0,AH36-AG36,0)+IF(AH37-AG37&lt;0,AH37-AG37,0)+IF(AH38-AG38&lt;0,AH38-AG38,0)+IF(AH39-AG39&lt;0,AH39-AG39,0)+IF(AH40-AG40&lt;0,AH40-AG40,0)+IF(AH41-AG41&lt;0,AH41-AG41,0)+IF(AH42-AG42&lt;0,AH42-AG42,0)+IF(AH43-AG43&lt;0,AH43-AG43,0)+IF(AH44-AG44&lt;0,AH44-AG44,0)+IF(AH45-AG45&lt;0,AH45-AG45,0)+IF(AH46-AG46&lt;0,AH46-AG46,0)+IF(AH47-AG47&lt;0,AH47-AG47,0)+IF(AH48-AG48&lt;0,AH48-AG48,0)+IF(AH49-AG49&lt;0,AH49-AG49,0)+IF(AH50-AG50&lt;0,AH50-AG50,0)+IF(AH51-AG51&lt;0,AH51-AG51,0)+IF(AH52-AG52&lt;0,AH52-AG52,0)+IF(AH53-AG53&lt;0,AH53-AG53,0)+IF(AH54-AG54&lt;0,AH54-AG54,0)+IF(AH55-AG55&lt;0,AH55-AG55,0)+IF(AH56-AG56&lt;0,AH56-AG56,0)+IF(AH57-AG57&lt;0,AH57-AG57,0)+IF(AH58-AG58&lt;0,AH58-AG58,0)+IF(AH59-AG59&lt;0,AH59-AG59,0)+IF(AH60-AG60&lt;0,AH60-AG60,0)+IF(AH61-AG61&lt;0,AH61-AG61,0)+IF(AH62-AG62&lt;0,AH62-AG62,0)+IF(AH63-AG63&lt;0,AH63-AG63,0)+IF(AH64-AG64&lt;0,AH64-AG64,0)+IF(AH65-AG65&lt;0,AH65-AG65,0)+IF(AH5-AG5&lt;0,AH5-AG5,0)+IF(AH7-AG7&lt;0,AH7-AG7,0)+IF(AH10-AG10&lt;0,AH10-AG10,0)+IF(AH20-AG20&lt;0,AH20-AG20,0)+IF(AH21-AG21&lt;0,AH21-AG21,0)+IF(AH22-AG22&lt;0,AH22-AG22,0)</f>
        <v>-2290</v>
      </c>
      <c r="AI71" s="39">
        <f>IF(AI4-AH4&lt;0,AI4-AH4,0)+IF(AI6-AH6&lt;0,AI6-AH6,0)+IF(AI8-AH8&lt;0,AI8-AH8,0)+IF(AI9-AH9&lt;0,AI9-AH9,0)+IF(AI11-AH11&lt;0,AI11-AH11,0)+IF(AI12-AH12&lt;0,AI12-AH12,0)+IF(AI13-AH13&lt;0,AI13-AH13,0)+IF(AI14-AH14&lt;0,AI14-AH14,0)+IF(AI15-AH15&lt;0,AI15-AH15,0)+IF(AI16-AH16&lt;0,AI16-AH16,0)+IF(AI17-AH17&lt;0,AI17-AH17,0)+IF(AI18-AH18&lt;0,AI18-AH18,0)+IF(AI19-AH19&lt;0,AI19-AH19,0)+IF(AI23-AH23&lt;0,AI23-AH23,0)+IF(AI24-AH24&lt;0,AI24-AH24,0)+IF(AI25-AH25&lt;0,AI25-AH25,0)+IF(AI26-AH26&lt;0,AI26-AH26,0)+IF(AI27-AH27&lt;0,AI27-AH27,0)+IF(AI28-AH28&lt;0,AI28-AH28,0)+IF(AI29-AH29&lt;0,AI29-AH29,0)+IF(AI30-AH30&lt;0,AI30-AH30,0)+IF(AI31-AH31&lt;0,AI31-AH31,0)+IF(AI32-AH32&lt;0,AI32-AH32,0)+IF(AI33-AH33&lt;0,AI33-AH33,0)+IF(AI34-AH34&lt;0,AI34-AH34,0)+IF(AI35-AH35&lt;0,AI35-AH35,0)+IF(AI36-AH36&lt;0,AI36-AH36,0)+IF(AI37-AH37&lt;0,AI37-AH37,0)+IF(AI38-AH38&lt;0,AI38-AH38,0)+IF(AI39-AH39&lt;0,AI39-AH39,0)+IF(AI40-AH40&lt;0,AI40-AH40,0)+IF(AI41-AH41&lt;0,AI41-AH41,0)+IF(AI42-AH42&lt;0,AI42-AH42,0)+IF(AI43-AH43&lt;0,AI43-AH43,0)+IF(AI44-AH44&lt;0,AI44-AH44,0)+IF(AI45-AH45&lt;0,AI45-AH45,0)+IF(AI46-AH46&lt;0,AI46-AH46,0)+IF(AI47-AH47&lt;0,AI47-AH47,0)+IF(AI48-AH48&lt;0,AI48-AH48,0)+IF(AI49-AH49&lt;0,AI49-AH49,0)+IF(AI50-AH50&lt;0,AI50-AH50,0)+IF(AI51-AH51&lt;0,AI51-AH51,0)+IF(AI52-AH52&lt;0,AI52-AH52,0)+IF(AI53-AH53&lt;0,AI53-AH53,0)+IF(AI54-AH54&lt;0,AI54-AH54,0)+IF(AI55-AH55&lt;0,AI55-AH55,0)+IF(AI56-AH56&lt;0,AI56-AH56,0)+IF(AI57-AH57&lt;0,AI57-AH57,0)+IF(AI58-AH58&lt;0,AI58-AH58,0)+IF(AI59-AH59&lt;0,AI59-AH59,0)+IF(AI60-AH60&lt;0,AI60-AH60,0)+IF(AI61-AH61&lt;0,AI61-AH61,0)+IF(AI62-AH62&lt;0,AI62-AH62,0)+IF(AI63-AH63&lt;0,AI63-AH63,0)+IF(AI64-AH64&lt;0,AI64-AH64,0)+IF(AI65-AH65&lt;0,AI65-AH65,0)+IF(AI5-AH5&lt;0,AI5-AH5,0)+IF(AI7-AH7&lt;0,AI7-AH7,0)+IF(AI10-AH10&lt;0,AI10-AH10,0)+IF(AI20-AH20&lt;0,AI20-AH20,0)+IF(AI21-AH21&lt;0,AI21-AH21,0)+IF(AI22-AH22&lt;0,AI22-AH22,0)</f>
        <v>-4654</v>
      </c>
      <c r="AJ71" s="108">
        <f>IF(AJ4-AE4&lt;0,AJ4-AE4,0)+IF(AJ6-AE6&lt;0,AJ6-AE6,0)+IF(AJ8-AE8&lt;0,AJ8-AE8,0)+IF(AJ9-AE9&lt;0,AJ9-AE9,0)+IF(AJ11-AE11&lt;0,AJ11-AE11,0)+IF(AJ12-AE12&lt;0,AJ12-AE12,0)+IF(AJ13-AE13&lt;0,AJ13-AE13,0)+IF(AJ14-AE14&lt;0,AJ14-AE14,0)+IF(AJ15-AE15&lt;0,AJ15-AE15,0)+IF(AJ16-AE16&lt;0,AJ16-AE16,0)+IF(AJ17-AE17&lt;0,AJ17-AE17,0)+IF(AJ18-AE18&lt;0,AJ18-AE18,0)+IF(AJ19-AE19&lt;0,AJ19-AE19,0)+IF(AJ23-AE23&lt;0,AJ23-AE23,0)+IF(AJ24-AE24&lt;0,AJ24-AE24,0)+IF(AJ25-AE25&lt;0,AJ25-AE25,0)+IF(AJ26-AE26&lt;0,AJ26-AE26,0)+IF(AJ27-AE27&lt;0,AJ27-AE27,0)+IF(AJ28-AE28&lt;0,AJ28-AE28,0)+IF(AJ29-AE29&lt;0,AJ29-AE29,0)+IF(AJ30-AE30&lt;0,AJ30-AE30,0)+IF(AJ31-AE31&lt;0,AJ31-AE31,0)+IF(AJ32-AE32&lt;0,AJ32-AE32,0)+IF(AJ33-AE33&lt;0,AJ33-AE33,0)+IF(AJ34-AE34&lt;0,AJ34-AE34,0)+IF(AJ35-AE35&lt;0,AJ35-AE35,0)+IF(AJ36-AE36&lt;0,AJ36-AE36,0)+IF(AJ37-AE37&lt;0,AJ37-AE37,0)+IF(AJ38-AE38&lt;0,AJ38-AE38,0)+IF(AJ39-AE39&lt;0,AJ39-AE39,0)+IF(AJ40-AE40&lt;0,AJ40-AE40,0)+IF(AJ41-AE41&lt;0,AJ41-AE41,0)+IF(AJ42-AE42&lt;0,AJ42-AE42,0)+IF(AJ43-AE43&lt;0,AJ43-AE43,0)+IF(AJ44-AE44&lt;0,AJ44-AE44,0)+IF(AJ45-AE45&lt;0,AJ45-AE45,0)+IF(AJ46-AE46&lt;0,AJ46-AE46,0)+IF(AJ47-AE47&lt;0,AJ47-AE47,0)+IF(AJ48-AE48&lt;0,AJ48-AE48,0)+IF(AJ49-AE49&lt;0,AJ49-AE49,0)+IF(AJ50-AE50&lt;0,AJ50-AE50,0)+IF(AJ51-AE51&lt;0,AJ51-AE51,0)+IF(AJ52-AE52&lt;0,AJ52-AE52,0)+IF(AJ53-AE53&lt;0,AJ53-AE53,0)+IF(AJ54-AE54&lt;0,AJ54-AE54,0)+IF(AJ55-AE55&lt;0,AJ55-AE55,0)+IF(AJ56-AE56&lt;0,AJ56-AE56,0)+IF(AJ57-AE57&lt;0,AJ57-AE57,0)+IF(AJ58-AE58&lt;0,AJ58-AE58,0)+IF(AJ59-AE59&lt;0,AJ59-AE59,0)+IF(AJ60-AE60&lt;0,AJ60-AE60,0)+IF(AJ61-AE61&lt;0,AJ61-AE61,0)+IF(AJ62-AE62&lt;0,AJ62-AE62,0)+IF(AJ63-AE63&lt;0,AJ63-AE63,0)+IF(AJ64-AE64&lt;0,AJ64-AE64,0)+IF(AJ5-AE5&lt;0,AJ5-AE5,0)+IF(AJ7-AE7&lt;0,AJ7-AE7,0)+IF(AJ10-AE10&lt;0,AJ10-AE10,0)</f>
        <v>-15312</v>
      </c>
      <c r="AK71" s="39">
        <f>IF(AK4-AJ4&lt;0,AK4-AJ4,0)+IF(AK6-AJ6&lt;0,AK6-AJ6,0)+IF(AK8-AJ8&lt;0,AK8-AJ8,0)+IF(AK9-AJ9&lt;0,AK9-AJ9,0)+IF(AK11-AJ11&lt;0,AK11-AJ11,0)+IF(AK12-AJ12&lt;0,AK12-AJ12,0)+IF(AK13-AJ13&lt;0,AK13-AJ13,0)+IF(AK14-AJ14&lt;0,AK14-AJ14,0)+IF(AK15-AJ15&lt;0,AK15-AJ15,0)+IF(AK16-AJ16&lt;0,AK16-AJ16,0)+IF(AK17-AJ17&lt;0,AK17-AJ17,0)+IF(AK18-AJ18&lt;0,AK18-AJ18,0)+IF(AK19-AJ19&lt;0,AK19-AJ19,0)+IF(AK23-AJ23&lt;0,AK23-AJ23,0)+IF(AK24-AJ24&lt;0,AK24-AJ24,0)+IF(AK25-AJ25&lt;0,AK25-AJ25,0)+IF(AK26-AJ26&lt;0,AK26-AJ26,0)+IF(AK27-AJ27&lt;0,AK27-AJ27,0)+IF(AK28-AJ28&lt;0,AK28-AJ28,0)+IF(AK29-AJ29&lt;0,AK29-AJ29,0)+IF(AK30-AJ30&lt;0,AK30-AJ30,0)+IF(AK31-AJ31&lt;0,AK31-AJ31,0)+IF(AK32-AJ32&lt;0,AK32-AJ32,0)+IF(AK33-AJ33&lt;0,AK33-AJ33,0)+IF(AK34-AJ34&lt;0,AK34-AJ34,0)+IF(AK35-AJ35&lt;0,AK35-AJ35,0)+IF(AK36-AJ36&lt;0,AK36-AJ36,0)+IF(AK37-AJ37&lt;0,AK37-AJ37,0)+IF(AK38-AJ38&lt;0,AK38-AJ38,0)+IF(AK39-AJ39&lt;0,AK39-AJ39,0)+IF(AK40-AJ40&lt;0,AK40-AJ40,0)+IF(AK41-AJ41&lt;0,AK41-AJ41,0)+IF(AK42-AJ42&lt;0,AK42-AJ42,0)+IF(AK43-AJ43&lt;0,AK43-AJ43,0)+IF(AK44-AJ44&lt;0,AK44-AJ44,0)+IF(AK45-AJ45&lt;0,AK45-AJ45,0)+IF(AK46-AJ46&lt;0,AK46-AJ46,0)+IF(AK47-AJ47&lt;0,AK47-AJ47,0)+IF(AK48-AJ48&lt;0,AK48-AJ48,0)+IF(AK49-AJ49&lt;0,AK49-AJ49,0)+IF(AK50-AJ50&lt;0,AK50-AJ50,0)+IF(AK51-AJ51&lt;0,AK51-AJ51,0)+IF(AK52-AJ52&lt;0,AK52-AJ52,0)+IF(AK53-AJ53&lt;0,AK53-AJ53,0)+IF(AK54-AJ54&lt;0,AK54-AJ54,0)+IF(AK55-AJ55&lt;0,AK55-AJ55,0)+IF(AK56-AJ56&lt;0,AK56-AJ56,0)+IF(AK57-AJ57&lt;0,AK57-AJ57,0)+IF(AK58-AJ58&lt;0,AK58-AJ58,0)+IF(AK59-AJ59&lt;0,AK59-AJ59,0)+IF(AK60-AJ60&lt;0,AK60-AJ60,0)+IF(AK61-AJ61&lt;0,AK61-AJ61,0)+IF(AK62-AJ62&lt;0,AK62-AJ62,0)+IF(AK63-AJ63&lt;0,AK63-AJ63,0)+IF(AK64-AJ64&lt;0,AK64-AJ64,0)+IF(AK65-AJ65&lt;0,AK65-AJ65,0)+IF(AK5-AJ5&lt;0,AK5-AJ5,0)+IF(AK7-AJ7&lt;0,AK7-AJ7,0)+IF(AK10-AJ10&lt;0,AK10-AJ10,0)+IF(AK20-AJ20&lt;0,AK20-AJ20,0)+IF(AK21-AJ21&lt;0,AK21-AJ21,0)+IF(AK22-AJ22&lt;0,AK22-AJ22,0)</f>
        <v>-800</v>
      </c>
      <c r="AL71" s="39">
        <f>IF(AL4-AK4&lt;0,AL4-AK4,0)+IF(AL6-AK6&lt;0,AL6-AK6,0)+IF(AL8-AK8&lt;0,AL8-AK8,0)+IF(AL9-AK9&lt;0,AL9-AK9,0)+IF(AL11-AK11&lt;0,AL11-AK11,0)+IF(AL12-AK12&lt;0,AL12-AK12,0)+IF(AL13-AK13&lt;0,AL13-AK13,0)+IF(AL14-AK14&lt;0,AL14-AK14,0)+IF(AL15-AK15&lt;0,AL15-AK15,0)+IF(AL16-AK16&lt;0,AL16-AK16,0)+IF(AL17-AK17&lt;0,AL17-AK17,0)+IF(AL18-AK18&lt;0,AL18-AK18,0)+IF(AL19-AK19&lt;0,AL19-AK19,0)+IF(AL23-AK23&lt;0,AL23-AK23,0)+IF(AL24-AK24&lt;0,AL24-AK24,0)+IF(AL25-AK25&lt;0,AL25-AK25,0)+IF(AL26-AK26&lt;0,AL26-AK26,0)+IF(AL27-AK27&lt;0,AL27-AK27,0)+IF(AL28-AK28&lt;0,AL28-AK28,0)+IF(AL29-AK29&lt;0,AL29-AK29,0)+IF(AL30-AK30&lt;0,AL30-AK30,0)+IF(AL31-AK31&lt;0,AL31-AK31,0)+IF(AL32-AK32&lt;0,AL32-AK32,0)+IF(AL33-AK33&lt;0,AL33-AK33,0)+IF(AL34-AK34&lt;0,AL34-AK34,0)+IF(AL35-AK35&lt;0,AL35-AK35,0)+IF(AL36-AK36&lt;0,AL36-AK36,0)+IF(AL37-AK37&lt;0,AL37-AK37,0)+IF(AL38-AK38&lt;0,AL38-AK38,0)+IF(AL39-AK39&lt;0,AL39-AK39,0)+IF(AL40-AK40&lt;0,AL40-AK40,0)+IF(AL41-AK41&lt;0,AL41-AK41,0)+IF(AL42-AK42&lt;0,AL42-AK42,0)+IF(AL43-AK43&lt;0,AL43-AK43,0)+IF(AL44-AK44&lt;0,AL44-AK44,0)+IF(AL45-AK45&lt;0,AL45-AK45,0)+IF(AL46-AK46&lt;0,AL46-AK46,0)+IF(AL47-AK47&lt;0,AL47-AK47,0)+IF(AL48-AK48&lt;0,AL48-AK48,0)+IF(AL49-AK49&lt;0,AL49-AK49,0)+IF(AL50-AK50&lt;0,AL50-AK50,0)+IF(AL51-AK51&lt;0,AL51-AK51,0)+IF(AL52-AK52&lt;0,AL52-AK52,0)+IF(AL53-AK53&lt;0,AL53-AK53,0)+IF(AL54-AK54&lt;0,AL54-AK54,0)+IF(AL55-AK55&lt;0,AL55-AK55,0)+IF(AL56-AK56&lt;0,AL56-AK56,0)+IF(AL57-AK57&lt;0,AL57-AK57,0)+IF(AL58-AK58&lt;0,AL58-AK58,0)+IF(AL59-AK59&lt;0,AL59-AK59,0)+IF(AL60-AK60&lt;0,AL60-AK60,0)+IF(AL61-AK61&lt;0,AL61-AK61,0)+IF(AL62-AK62&lt;0,AL62-AK62,0)+IF(AL63-AK63&lt;0,AL63-AK63,0)+IF(AL64-AK64&lt;0,AL64-AK64,0)+IF(AL65-AK65&lt;0,AL65-AK65,0)+IF(AL5-AK5&lt;0,AL5-AK5,0)+IF(AL7-AK7&lt;0,AL7-AK7,0)+IF(AL10-AK10&lt;0,AL10-AK10,0)+IF(AL20-AK20&lt;0,AL20-AK20,0)+IF(AL21-AK21&lt;0,AL21-AK21,0)+IF(AL22-AK22&lt;0,AL22-AK22,0)</f>
        <v>-600</v>
      </c>
      <c r="AM71" s="39">
        <f>IF(AM4-AL4&lt;0,AM4-AL4,0)+IF(AM6-AL6&lt;0,AM6-AL6,0)+IF(AM8-AL8&lt;0,AM8-AL8,0)+IF(AM9-AL9&lt;0,AM9-AL9,0)+IF(AM11-AL11&lt;0,AM11-AL11,0)+IF(AM12-AL12&lt;0,AM12-AL12,0)+IF(AM13-AL13&lt;0,AM13-AL13,0)+IF(AM14-AL14&lt;0,AM14-AL14,0)+IF(AM15-AL15&lt;0,AM15-AL15,0)+IF(AM16-AL16&lt;0,AM16-AL16,0)+IF(AM17-AL17&lt;0,AM17-AL17,0)+IF(AM18-AL18&lt;0,AM18-AL18,0)+IF(AM19-AL19&lt;0,AM19-AL19,0)+IF(AM23-AL23&lt;0,AM23-AL23,0)+IF(AM24-AL24&lt;0,AM24-AL24,0)+IF(AM25-AL25&lt;0,AM25-AL25,0)+IF(AM26-AL26&lt;0,AM26-AL26,0)+IF(AM27-AL27&lt;0,AM27-AL27,0)+IF(AM28-AL28&lt;0,AM28-AL28,0)+IF(AM29-AL29&lt;0,AM29-AL29,0)+IF(AM30-AL30&lt;0,AM30-AL30,0)+IF(AM31-AL31&lt;0,AM31-AL31,0)+IF(AM32-AL32&lt;0,AM32-AL32,0)+IF(AM33-AL33&lt;0,AM33-AL33,0)+IF(AM34-AL34&lt;0,AM34-AL34,0)+IF(AM35-AL35&lt;0,AM35-AL35,0)+IF(AM36-AL36&lt;0,AM36-AL36,0)+IF(AM37-AL37&lt;0,AM37-AL37,0)+IF(AM38-AL38&lt;0,AM38-AL38,0)+IF(AM39-AL39&lt;0,AM39-AL39,0)+IF(AM40-AL40&lt;0,AM40-AL40,0)+IF(AM41-AL41&lt;0,AM41-AL41,0)+IF(AM42-AL42&lt;0,AM42-AL42,0)+IF(AM43-AL43&lt;0,AM43-AL43,0)+IF(AM44-AL44&lt;0,AM44-AL44,0)+IF(AM45-AL45&lt;0,AM45-AL45,0)+IF(AM46-AL46&lt;0,AM46-AL46,0)+IF(AM47-AL47&lt;0,AM47-AL47,0)+IF(AM48-AL48&lt;0,AM48-AL48,0)+IF(AM49-AL49&lt;0,AM49-AL49,0)+IF(AM50-AL50&lt;0,AM50-AL50,0)+IF(AM51-AL51&lt;0,AM51-AL51,0)+IF(AM52-AL52&lt;0,AM52-AL52,0)+IF(AM53-AL53&lt;0,AM53-AL53,0)+IF(AM54-AL54&lt;0,AM54-AL54,0)+IF(AM55-AL55&lt;0,AM55-AL55,0)+IF(AM56-AL56&lt;0,AM56-AL56,0)+IF(AM57-AL57&lt;0,AM57-AL57,0)+IF(AM58-AL58&lt;0,AM58-AL58,0)+IF(AM59-AL59&lt;0,AM59-AL59,0)+IF(AM60-AL60&lt;0,AM60-AL60,0)+IF(AM61-AL61&lt;0,AM61-AL61,0)+IF(AM62-AL62&lt;0,AM62-AL62,0)+IF(AM63-AL63&lt;0,AM63-AL63,0)+IF(AM64-AL64&lt;0,AM64-AL64,0)+IF(AM65-AL65&lt;0,AM65-AL65,0)+IF(AM5-AL5&lt;0,AM5-AL5,0)+IF(AM7-AL7&lt;0,AM7-AL7,0)+IF(AM10-AL10&lt;0,AM10-AL10,0)+IF(AM20-AL20&lt;0,AM20-AL20,0)+IF(AM21-AL21&lt;0,AM21-AL21,0)+IF(AM22-AL22&lt;0,AM22-AL22,0)</f>
        <v>0</v>
      </c>
      <c r="AN71" s="39">
        <f>IF(AN4-AM4&lt;0,AN4-AM4,0)+IF(AN6-AM6&lt;0,AN6-AM6,0)+IF(AN8-AM8&lt;0,AN8-AM8,0)+IF(AN9-AM9&lt;0,AN9-AM9,0)+IF(AN11-AM11&lt;0,AN11-AM11,0)+IF(AN12-AM12&lt;0,AN12-AM12,0)+IF(AN13-AM13&lt;0,AN13-AM13,0)+IF(AN14-AM14&lt;0,AN14-AM14,0)+IF(AN15-AM15&lt;0,AN15-AM15,0)+IF(AN16-AM16&lt;0,AN16-AM16,0)+IF(AN17-AM17&lt;0,AN17-AM17,0)+IF(AN18-AM18&lt;0,AN18-AM18,0)+IF(AN19-AM19&lt;0,AN19-AM19,0)+IF(AN23-AM23&lt;0,AN23-AM23,0)+IF(AN24-AM24&lt;0,AN24-AM24,0)+IF(AN25-AM25&lt;0,AN25-AM25,0)+IF(AN26-AM26&lt;0,AN26-AM26,0)+IF(AN27-AM27&lt;0,AN27-AM27,0)+IF(AN28-AM28&lt;0,AN28-AM28,0)+IF(AN29-AM29&lt;0,AN29-AM29,0)+IF(AN30-AM30&lt;0,AN30-AM30,0)+IF(AN31-AM31&lt;0,AN31-AM31,0)+IF(AN32-AM32&lt;0,AN32-AM32,0)+IF(AN33-AM33&lt;0,AN33-AM33,0)+IF(AN34-AM34&lt;0,AN34-AM34,0)+IF(AN35-AM35&lt;0,AN35-AM35,0)+IF(AN36-AM36&lt;0,AN36-AM36,0)+IF(AN37-AM37&lt;0,AN37-AM37,0)+IF(AN38-AM38&lt;0,AN38-AM38,0)+IF(AN39-AM39&lt;0,AN39-AM39,0)+IF(AN40-AM40&lt;0,AN40-AM40,0)+IF(AN41-AM41&lt;0,AN41-AM41,0)+IF(AN42-AM42&lt;0,AN42-AM42,0)+IF(AN43-AM43&lt;0,AN43-AM43,0)+IF(AN44-AM44&lt;0,AN44-AM44,0)+IF(AN45-AM45&lt;0,AN45-AM45,0)+IF(AN46-AM46&lt;0,AN46-AM46,0)+IF(AN47-AM47&lt;0,AN47-AM47,0)+IF(AN48-AM48&lt;0,AN48-AM48,0)+IF(AN49-AM49&lt;0,AN49-AM49,0)+IF(AN50-AM50&lt;0,AN50-AM50,0)+IF(AN51-AM51&lt;0,AN51-AM51,0)+IF(AN52-AM52&lt;0,AN52-AM52,0)+IF(AN53-AM53&lt;0,AN53-AM53,0)+IF(AN54-AM54&lt;0,AN54-AM54,0)+IF(AN55-AM55&lt;0,AN55-AM55,0)+IF(AN56-AM56&lt;0,AN56-AM56,0)+IF(AN57-AM57&lt;0,AN57-AM57,0)+IF(AN58-AM58&lt;0,AN58-AM58,0)+IF(AN59-AM59&lt;0,AN59-AM59,0)+IF(AN60-AM60&lt;0,AN60-AM60,0)+IF(AN61-AM61&lt;0,AN61-AM61,0)+IF(AN62-AM62&lt;0,AN62-AM62,0)+IF(AN63-AM63&lt;0,AN63-AM63,0)+IF(AN64-AM64&lt;0,AN64-AM64,0)+IF(AN65-AM65&lt;0,AN65-AM65,0)+IF(AN5-AM5&lt;0,AN5-AM5,0)+IF(AN7-AM7&lt;0,AN7-AM7,0)+IF(AN10-AM10&lt;0,AN10-AM10,0)+IF(AN20-AM20&lt;0,AN20-AM20,0)+IF(AN21-AM21&lt;0,AN21-AM21,0)+IF(AN22-AM22&lt;0,AN22-AM22,0)</f>
        <v>-250</v>
      </c>
      <c r="AO71" s="108">
        <f>IF(AO4-AJ4&lt;0,AO4-AJ4,0)+IF(AO6-AJ6&lt;0,AO6-AJ6,0)+IF(AO8-AJ8&lt;0,AO8-AJ8,0)+IF(AO9-AJ9&lt;0,AO9-AJ9,0)+IF(AO11-AJ11&lt;0,AO11-AJ11,0)+IF(AO12-AJ12&lt;0,AO12-AJ12,0)+IF(AO13-AJ13&lt;0,AO13-AJ13,0)+IF(AO14-AJ14&lt;0,AO14-AJ14,0)+IF(AO15-AJ15&lt;0,AO15-AJ15,0)+IF(AO16-AJ16&lt;0,AO16-AJ16,0)+IF(AO17-AJ17&lt;0,AO17-AJ17,0)+IF(AO18-AJ18&lt;0,AO18-AJ18,0)+IF(AO19-AJ19&lt;0,AO19-AJ19,0)+IF(AO23-AJ23&lt;0,AO23-AJ23,0)+IF(AO24-AJ24&lt;0,AO24-AJ24,0)+IF(AO25-AJ25&lt;0,AO25-AJ25,0)+IF(AO26-AJ26&lt;0,AO26-AJ26,0)+IF(AO27-AJ27&lt;0,AO27-AJ27,0)+IF(AO28-AJ28&lt;0,AO28-AJ28,0)+IF(AO29-AJ29&lt;0,AO29-AJ29,0)+IF(AO30-AJ30&lt;0,AO30-AJ30,0)+IF(AO31-AJ31&lt;0,AO31-AJ31,0)+IF(AO32-AJ32&lt;0,AO32-AJ32,0)+IF(AO33-AJ33&lt;0,AO33-AJ33,0)+IF(AO34-AJ34&lt;0,AO34-AJ34,0)+IF(AO35-AJ35&lt;0,AO35-AJ35,0)+IF(AO36-AJ36&lt;0,AO36-AJ36,0)+IF(AO37-AJ37&lt;0,AO37-AJ37,0)+IF(AO38-AJ38&lt;0,AO38-AJ38,0)+IF(AO39-AJ39&lt;0,AO39-AJ39,0)+IF(AO40-AJ40&lt;0,AO40-AJ40,0)+IF(AO41-AJ41&lt;0,AO41-AJ41,0)+IF(AO42-AJ42&lt;0,AO42-AJ42,0)+IF(AO43-AJ43&lt;0,AO43-AJ43,0)+IF(AO44-AJ44&lt;0,AO44-AJ44,0)+IF(AO45-AJ45&lt;0,AO45-AJ45,0)+IF(AO46-AJ46&lt;0,AO46-AJ46,0)+IF(AO47-AJ47&lt;0,AO47-AJ47,0)+IF(AO48-AJ48&lt;0,AO48-AJ48,0)+IF(AO49-AJ49&lt;0,AO49-AJ49,0)+IF(AO50-AJ50&lt;0,AO50-AJ50,0)+IF(AO51-AJ51&lt;0,AO51-AJ51,0)+IF(AO52-AJ52&lt;0,AO52-AJ52,0)+IF(AO53-AJ53&lt;0,AO53-AJ53,0)+IF(AO54-AJ54&lt;0,AO54-AJ54,0)+IF(AO55-AJ55&lt;0,AO55-AJ55,0)+IF(AO56-AJ56&lt;0,AO56-AJ56,0)+IF(AO57-AJ57&lt;0,AO57-AJ57,0)+IF(AO58-AJ58&lt;0,AO58-AJ58,0)+IF(AO59-AJ59&lt;0,AO59-AJ59,0)+IF(AO60-AJ60&lt;0,AO60-AJ60,0)+IF(AO61-AJ61&lt;0,AO61-AJ61,0)+IF(AO62-AJ62&lt;0,AO62-AJ62,0)+IF(AO63-AJ63&lt;0,AO63-AJ63,0)+IF(AO64-AJ64&lt;0,AO64-AJ64,0)+IF(AO5-AJ5&lt;0,AO5-AJ5,0)+IF(AO7-AJ7&lt;0,AO7-AJ7,0)+IF(AO10-AJ10&lt;0,AO10-AJ10,0)</f>
        <v>-1650</v>
      </c>
      <c r="AP71" s="39">
        <f>IF(AP4-AO4&lt;0,AP4-AO4,0)+IF(AP6-AO6&lt;0,AP6-AO6,0)+IF(AP8-AO8&lt;0,AP8-AO8,0)+IF(AP9-AO9&lt;0,AP9-AO9,0)+IF(AP11-AO11&lt;0,AP11-AO11,0)+IF(AP12-AO12&lt;0,AP12-AO12,0)+IF(AP13-AO13&lt;0,AP13-AO13,0)+IF(AP14-AO14&lt;0,AP14-AO14,0)+IF(AP15-AO15&lt;0,AP15-AO15,0)+IF(AP16-AO16&lt;0,AP16-AO16,0)+IF(AP17-AO17&lt;0,AP17-AO17,0)+IF(AP18-AO18&lt;0,AP18-AO18,0)+IF(AP19-AO19&lt;0,AP19-AO19,0)+IF(AP23-AO23&lt;0,AP23-AO23,0)+IF(AP24-AO24&lt;0,AP24-AO24,0)+IF(AP25-AO25&lt;0,AP25-AO25,0)+IF(AP26-AO26&lt;0,AP26-AO26,0)+IF(AP27-AO27&lt;0,AP27-AO27,0)+IF(AP28-AO28&lt;0,AP28-AO28,0)+IF(AP29-AO29&lt;0,AP29-AO29,0)+IF(AP30-AO30&lt;0,AP30-AO30,0)+IF(AP31-AO31&lt;0,AP31-AO31,0)+IF(AP32-AO32&lt;0,AP32-AO32,0)+IF(AP33-AO33&lt;0,AP33-AO33,0)+IF(AP34-AO34&lt;0,AP34-AO34,0)+IF(AP35-AO35&lt;0,AP35-AO35,0)+IF(AP36-AO36&lt;0,AP36-AO36,0)+IF(AP37-AO37&lt;0,AP37-AO37,0)+IF(AP38-AO38&lt;0,AP38-AO38,0)+IF(AP39-AO39&lt;0,AP39-AO39,0)+IF(AP40-AO40&lt;0,AP40-AO40,0)+IF(AP41-AO41&lt;0,AP41-AO41,0)+IF(AP42-AO42&lt;0,AP42-AO42,0)+IF(AP43-AO43&lt;0,AP43-AO43,0)+IF(AP44-AO44&lt;0,AP44-AO44,0)+IF(AP45-AO45&lt;0,AP45-AO45,0)+IF(AP46-AO46&lt;0,AP46-AO46,0)+IF(AP47-AO47&lt;0,AP47-AO47,0)+IF(AP48-AO48&lt;0,AP48-AO48,0)+IF(AP49-AO49&lt;0,AP49-AO49,0)+IF(AP50-AO50&lt;0,AP50-AO50,0)+IF(AP51-AO51&lt;0,AP51-AO51,0)+IF(AP52-AO52&lt;0,AP52-AO52,0)+IF(AP53-AO53&lt;0,AP53-AO53,0)+IF(AP54-AO54&lt;0,AP54-AO54,0)+IF(AP55-AO55&lt;0,AP55-AO55,0)+IF(AP56-AO56&lt;0,AP56-AO56,0)+IF(AP57-AO57&lt;0,AP57-AO57,0)+IF(AP58-AO58&lt;0,AP58-AO58,0)+IF(AP59-AO59&lt;0,AP59-AO59,0)+IF(AP60-AO60&lt;0,AP60-AO60,0)+IF(AP61-AO61&lt;0,AP61-AO61,0)+IF(AP62-AO62&lt;0,AP62-AO62,0)+IF(AP63-AO63&lt;0,AP63-AO63,0)+IF(AP64-AO64&lt;0,AP64-AO64,0)+IF(AP65-AO65&lt;0,AP65-AO65,0)+IF(AP5-AO5&lt;0,AP5-AO5,0)+IF(AP7-AO7&lt;0,AP7-AO7,0)+IF(AP10-AO10&lt;0,AP10-AO10,0)+IF(AP20-AO20&lt;0,AP20-AO20,0)+IF(AP21-AO21&lt;0,AP21-AO21,0)+IF(AP22-AO22&lt;0,AP22-AO22,0)</f>
        <v>-5500</v>
      </c>
      <c r="AQ71" s="39">
        <f>IF(AQ4-AP4&lt;0,AQ4-AP4,0)+IF(AQ6-AP6&lt;0,AQ6-AP6,0)+IF(AQ8-AP8&lt;0,AQ8-AP8,0)+IF(AQ9-AP9&lt;0,AQ9-AP9,0)+IF(AQ11-AP11&lt;0,AQ11-AP11,0)+IF(AQ12-AP12&lt;0,AQ12-AP12,0)+IF(AQ13-AP13&lt;0,AQ13-AP13,0)+IF(AQ14-AP14&lt;0,AQ14-AP14,0)+IF(AQ15-AP15&lt;0,AQ15-AP15,0)+IF(AQ16-AP16&lt;0,AQ16-AP16,0)+IF(AQ17-AP17&lt;0,AQ17-AP17,0)+IF(AQ18-AP18&lt;0,AQ18-AP18,0)+IF(AQ19-AP19&lt;0,AQ19-AP19,0)+IF(AQ23-AP23&lt;0,AQ23-AP23,0)+IF(AQ24-AP24&lt;0,AQ24-AP24,0)+IF(AQ25-AP25&lt;0,AQ25-AP25,0)+IF(AQ26-AP26&lt;0,AQ26-AP26,0)+IF(AQ27-AP27&lt;0,AQ27-AP27,0)+IF(AQ28-AP28&lt;0,AQ28-AP28,0)+IF(AQ29-AP29&lt;0,AQ29-AP29,0)+IF(AQ30-AP30&lt;0,AQ30-AP30,0)+IF(AQ31-AP31&lt;0,AQ31-AP31,0)+IF(AQ32-AP32&lt;0,AQ32-AP32,0)+IF(AQ33-AP33&lt;0,AQ33-AP33,0)+IF(AQ34-AP34&lt;0,AQ34-AP34,0)+IF(AQ35-AP35&lt;0,AQ35-AP35,0)+IF(AQ36-AP36&lt;0,AQ36-AP36,0)+IF(AQ37-AP37&lt;0,AQ37-AP37,0)+IF(AQ38-AP38&lt;0,AQ38-AP38,0)+IF(AQ39-AP39&lt;0,AQ39-AP39,0)+IF(AQ40-AP40&lt;0,AQ40-AP40,0)+IF(AQ41-AP41&lt;0,AQ41-AP41,0)+IF(AQ42-AP42&lt;0,AQ42-AP42,0)+IF(AQ43-AP43&lt;0,AQ43-AP43,0)+IF(AQ44-AP44&lt;0,AQ44-AP44,0)+IF(AQ45-AP45&lt;0,AQ45-AP45,0)+IF(AQ46-AP46&lt;0,AQ46-AP46,0)+IF(AQ47-AP47&lt;0,AQ47-AP47,0)+IF(AQ48-AP48&lt;0,AQ48-AP48,0)+IF(AQ49-AP49&lt;0,AQ49-AP49,0)+IF(AQ50-AP50&lt;0,AQ50-AP50,0)+IF(AQ51-AP51&lt;0,AQ51-AP51,0)+IF(AQ52-AP52&lt;0,AQ52-AP52,0)+IF(AQ53-AP53&lt;0,AQ53-AP53,0)+IF(AQ54-AP54&lt;0,AQ54-AP54,0)+IF(AQ55-AP55&lt;0,AQ55-AP55,0)+IF(AQ56-AP56&lt;0,AQ56-AP56,0)+IF(AQ57-AP57&lt;0,AQ57-AP57,0)+IF(AQ58-AP58&lt;0,AQ58-AP58,0)+IF(AQ59-AP59&lt;0,AQ59-AP59,0)+IF(AQ60-AP60&lt;0,AQ60-AP60,0)+IF(AQ61-AP61&lt;0,AQ61-AP61,0)+IF(AQ62-AP62&lt;0,AQ62-AP62,0)+IF(AQ63-AP63&lt;0,AQ63-AP63,0)+IF(AQ64-AP64&lt;0,AQ64-AP64,0)+IF(AQ65-AP65&lt;0,AQ65-AP65,0)+IF(AQ5-AP5&lt;0,AQ5-AP5,0)+IF(AQ7-AP7&lt;0,AQ7-AP7,0)+IF(AQ10-AP10&lt;0,AQ10-AP10,0)+IF(AQ20-AP20&lt;0,AQ20-AP20,0)+IF(AQ21-AP21&lt;0,AQ21-AP21,0)+IF(AQ22-AP22&lt;0,AQ22-AP22,0)</f>
        <v>-3123</v>
      </c>
      <c r="AR71" s="39">
        <f>IF(AR4-AQ4&lt;0,AR4-AQ4,0)+IF(AR6-AQ6&lt;0,AR6-AQ6,0)+IF(AR8-AQ8&lt;0,AR8-AQ8,0)+IF(AR9-AQ9&lt;0,AR9-AQ9,0)+IF(AR11-AQ11&lt;0,AR11-AQ11,0)+IF(AR12-AQ12&lt;0,AR12-AQ12,0)+IF(AR13-AQ13&lt;0,AR13-AQ13,0)+IF(AR14-AQ14&lt;0,AR14-AQ14,0)+IF(AR15-AQ15&lt;0,AR15-AQ15,0)+IF(AR16-AQ16&lt;0,AR16-AQ16,0)+IF(AR17-AQ17&lt;0,AR17-AQ17,0)+IF(AR18-AQ18&lt;0,AR18-AQ18,0)+IF(AR19-AQ19&lt;0,AR19-AQ19,0)+IF(AR23-AQ23&lt;0,AR23-AQ23,0)+IF(AR24-AQ24&lt;0,AR24-AQ24,0)+IF(AR25-AQ25&lt;0,AR25-AQ25,0)+IF(AR26-AQ26&lt;0,AR26-AQ26,0)+IF(AR27-AQ27&lt;0,AR27-AQ27,0)+IF(AR28-AQ28&lt;0,AR28-AQ28,0)+IF(AR29-AQ29&lt;0,AR29-AQ29,0)+IF(AR30-AQ30&lt;0,AR30-AQ30,0)+IF(AR31-AQ31&lt;0,AR31-AQ31,0)+IF(AR32-AQ32&lt;0,AR32-AQ32,0)+IF(AR33-AQ33&lt;0,AR33-AQ33,0)+IF(AR34-AQ34&lt;0,AR34-AQ34,0)+IF(AR35-AQ35&lt;0,AR35-AQ35,0)+IF(AR36-AQ36&lt;0,AR36-AQ36,0)+IF(AR37-AQ37&lt;0,AR37-AQ37,0)+IF(AR38-AQ38&lt;0,AR38-AQ38,0)+IF(AR39-AQ39&lt;0,AR39-AQ39,0)+IF(AR40-AQ40&lt;0,AR40-AQ40,0)+IF(AR41-AQ41&lt;0,AR41-AQ41,0)+IF(AR42-AQ42&lt;0,AR42-AQ42,0)+IF(AR43-AQ43&lt;0,AR43-AQ43,0)+IF(AR44-AQ44&lt;0,AR44-AQ44,0)+IF(AR45-AQ45&lt;0,AR45-AQ45,0)+IF(AR46-AQ46&lt;0,AR46-AQ46,0)+IF(AR47-AQ47&lt;0,AR47-AQ47,0)+IF(AR48-AQ48&lt;0,AR48-AQ48,0)+IF(AR49-AQ49&lt;0,AR49-AQ49,0)+IF(AR50-AQ50&lt;0,AR50-AQ50,0)+IF(AR51-AQ51&lt;0,AR51-AQ51,0)+IF(AR52-AQ52&lt;0,AR52-AQ52,0)+IF(AR53-AQ53&lt;0,AR53-AQ53,0)+IF(AR54-AQ54&lt;0,AR54-AQ54,0)+IF(AR55-AQ55&lt;0,AR55-AQ55,0)+IF(AR56-AQ56&lt;0,AR56-AQ56,0)+IF(AR57-AQ57&lt;0,AR57-AQ57,0)+IF(AR58-AQ58&lt;0,AR58-AQ58,0)+IF(AR59-AQ59&lt;0,AR59-AQ59,0)+IF(AR60-AQ60&lt;0,AR60-AQ60,0)+IF(AR61-AQ61&lt;0,AR61-AQ61,0)+IF(AR62-AQ62&lt;0,AR62-AQ62,0)+IF(AR63-AQ63&lt;0,AR63-AQ63,0)+IF(AR64-AQ64&lt;0,AR64-AQ64,0)+IF(AR65-AQ65&lt;0,AR65-AQ65,0)+IF(AR5-AQ5&lt;0,AR5-AQ5,0)+IF(AR7-AQ7&lt;0,AR7-AQ7,0)+IF(AR10-AQ10&lt;0,AR10-AQ10,0)+IF(AR20-AQ20&lt;0,AR20-AQ20,0)+IF(AR21-AQ21&lt;0,AR21-AQ21,0)+IF(AR22-AQ22&lt;0,AR22-AQ22,0)</f>
        <v>-200</v>
      </c>
      <c r="AS71" s="39">
        <f>IF(AS4-AR4&lt;0,AS4-AR4,0)+IF(AS6-AR6&lt;0,AS6-AR6,0)+IF(AS8-AR8&lt;0,AS8-AR8,0)+IF(AS9-AR9&lt;0,AS9-AR9,0)+IF(AS11-AR11&lt;0,AS11-AR11,0)+IF(AS12-AR12&lt;0,AS12-AR12,0)+IF(AS13-AR13&lt;0,AS13-AR13,0)+IF(AS14-AR14&lt;0,AS14-AR14,0)+IF(AS15-AR15&lt;0,AS15-AR15,0)+IF(AS16-AR16&lt;0,AS16-AR16,0)+IF(AS17-AR17&lt;0,AS17-AR17,0)+IF(AS18-AR18&lt;0,AS18-AR18,0)+IF(AS19-AR19&lt;0,AS19-AR19,0)+IF(AS23-AR23&lt;0,AS23-AR23,0)+IF(AS24-AR24&lt;0,AS24-AR24,0)+IF(AS25-AR25&lt;0,AS25-AR25,0)+IF(AS26-AR26&lt;0,AS26-AR26,0)+IF(AS27-AR27&lt;0,AS27-AR27,0)+IF(AS28-AR28&lt;0,AS28-AR28,0)+IF(AS29-AR29&lt;0,AS29-AR29,0)+IF(AS30-AR30&lt;0,AS30-AR30,0)+IF(AS31-AR31&lt;0,AS31-AR31,0)+IF(AS32-AR32&lt;0,AS32-AR32,0)+IF(AS33-AR33&lt;0,AS33-AR33,0)+IF(AS34-AR34&lt;0,AS34-AR34,0)+IF(AS35-AR35&lt;0,AS35-AR35,0)+IF(AS36-AR36&lt;0,AS36-AR36,0)+IF(AS37-AR37&lt;0,AS37-AR37,0)+IF(AS38-AR38&lt;0,AS38-AR38,0)+IF(AS39-AR39&lt;0,AS39-AR39,0)+IF(AS40-AR40&lt;0,AS40-AR40,0)+IF(AS41-AR41&lt;0,AS41-AR41,0)+IF(AS42-AR42&lt;0,AS42-AR42,0)+IF(AS43-AR43&lt;0,AS43-AR43,0)+IF(AS44-AR44&lt;0,AS44-AR44,0)+IF(AS45-AR45&lt;0,AS45-AR45,0)+IF(AS46-AR46&lt;0,AS46-AR46,0)+IF(AS47-AR47&lt;0,AS47-AR47,0)+IF(AS48-AR48&lt;0,AS48-AR48,0)+IF(AS49-AR49&lt;0,AS49-AR49,0)+IF(AS50-AR50&lt;0,AS50-AR50,0)+IF(AS51-AR51&lt;0,AS51-AR51,0)+IF(AS52-AR52&lt;0,AS52-AR52,0)+IF(AS53-AR53&lt;0,AS53-AR53,0)+IF(AS54-AR54&lt;0,AS54-AR54,0)+IF(AS55-AR55&lt;0,AS55-AR55,0)+IF(AS56-AR56&lt;0,AS56-AR56,0)+IF(AS57-AR57&lt;0,AS57-AR57,0)+IF(AS58-AR58&lt;0,AS58-AR58,0)+IF(AS59-AR59&lt;0,AS59-AR59,0)+IF(AS60-AR60&lt;0,AS60-AR60,0)+IF(AS61-AR61&lt;0,AS61-AR61,0)+IF(AS62-AR62&lt;0,AS62-AR62,0)+IF(AS63-AR63&lt;0,AS63-AR63,0)+IF(AS64-AR64&lt;0,AS64-AR64,0)+IF(AS65-AR65&lt;0,AS65-AR65,0)+IF(AS5-AR5&lt;0,AS5-AR5,0)+IF(AS7-AR7&lt;0,AS7-AR7,0)+IF(AS10-AR10&lt;0,AS10-AR10,0)+IF(AS20-AR20&lt;0,AS20-AR20,0)+IF(AS21-AR21&lt;0,AS21-AR21,0)+IF(AS22-AR22&lt;0,AS22-AR22,0)</f>
        <v>-3000</v>
      </c>
      <c r="AT71" s="108">
        <f>IF(AT4-AO4&lt;0,AT4-AO4,0)+IF(AT6-AO6&lt;0,AT6-AO6,0)+IF(AT8-AO8&lt;0,AT8-AO8,0)+IF(AT9-AO9&lt;0,AT9-AO9,0)+IF(AT11-AO11&lt;0,AT11-AO11,0)+IF(AT12-AO12&lt;0,AT12-AO12,0)+IF(AT13-AO13&lt;0,AT13-AO13,0)+IF(AT14-AO14&lt;0,AT14-AO14,0)+IF(AT15-AO15&lt;0,AT15-AO15,0)+IF(AT16-AO16&lt;0,AT16-AO16,0)+IF(AT17-AO17&lt;0,AT17-AO17,0)+IF(AT18-AO18&lt;0,AT18-AO18,0)+IF(AT19-AO19&lt;0,AT19-AO19,0)+IF(AT23-AO23&lt;0,AT23-AO23,0)+IF(AT24-AO24&lt;0,AT24-AO24,0)+IF(AT25-AO25&lt;0,AT25-AO25,0)+IF(AT26-AO26&lt;0,AT26-AO26,0)+IF(AT27-AO27&lt;0,AT27-AO27,0)+IF(AT28-AO28&lt;0,AT28-AO28,0)+IF(AT29-AO29&lt;0,AT29-AO29,0)+IF(AT30-AO30&lt;0,AT30-AO30,0)+IF(AT31-AO31&lt;0,AT31-AO31,0)+IF(AT32-AO32&lt;0,AT32-AO32,0)+IF(AT33-AO33&lt;0,AT33-AO33,0)+IF(AT34-AO34&lt;0,AT34-AO34,0)+IF(AT35-AO35&lt;0,AT35-AO35,0)+IF(AT36-AO36&lt;0,AT36-AO36,0)+IF(AT37-AO37&lt;0,AT37-AO37,0)+IF(AT38-AO38&lt;0,AT38-AO38,0)+IF(AT39-AO39&lt;0,AT39-AO39,0)+IF(AT40-AO40&lt;0,AT40-AO40,0)+IF(AT41-AO41&lt;0,AT41-AO41,0)+IF(AT42-AO42&lt;0,AT42-AO42,0)+IF(AT43-AO43&lt;0,AT43-AO43,0)+IF(AT44-AO44&lt;0,AT44-AO44,0)+IF(AT45-AO45&lt;0,AT45-AO45,0)+IF(AT46-AO46&lt;0,AT46-AO46,0)+IF(AT47-AO47&lt;0,AT47-AO47,0)+IF(AT48-AO48&lt;0,AT48-AO48,0)+IF(AT49-AO49&lt;0,AT49-AO49,0)+IF(AT50-AO50&lt;0,AT50-AO50,0)+IF(AT51-AO51&lt;0,AT51-AO51,0)+IF(AT52-AO52&lt;0,AT52-AO52,0)+IF(AT53-AO53&lt;0,AT53-AO53,0)+IF(AT54-AO54&lt;0,AT54-AO54,0)+IF(AT55-AO55&lt;0,AT55-AO55,0)+IF(AT56-AO56&lt;0,AT56-AO56,0)+IF(AT57-AO57&lt;0,AT57-AO57,0)+IF(AT58-AO58&lt;0,AT58-AO58,0)+IF(AT59-AO59&lt;0,AT59-AO59,0)+IF(AT60-AO60&lt;0,AT60-AO60,0)+IF(AT61-AO61&lt;0,AT61-AO61,0)+IF(AT62-AO62&lt;0,AT62-AO62,0)+IF(AT63-AO63&lt;0,AT63-AO63,0)+IF(AT64-AO64&lt;0,AT64-AO64,0)+IF(AT5-AO5&lt;0,AT5-AO5,0)+IF(AT7-AO7&lt;0,AT7-AO7,0)+IF(AT10-AO10&lt;0,AT10-AO10,0)</f>
        <v>-7575</v>
      </c>
      <c r="AU71" s="39">
        <f t="shared" ref="AU71:AW71" si="80">IF(AU4-AT4&lt;0,AU4-AT4,0)+IF(AU6-AT6&lt;0,AU6-AT6,0)+IF(AU8-AT8&lt;0,AU8-AT8,0)+IF(AU9-AT9&lt;0,AU9-AT9,0)+IF(AU11-AT11&lt;0,AU11-AT11,0)+IF(AU12-AT12&lt;0,AU12-AT12,0)+IF(AU13-AT13&lt;0,AU13-AT13,0)+IF(AU14-AT14&lt;0,AU14-AT14,0)+IF(AU15-AT15&lt;0,AU15-AT15,0)+IF(AU16-AT16&lt;0,AU16-AT16,0)+IF(AU17-AT17&lt;0,AU17-AT17,0)+IF(AU18-AT18&lt;0,AU18-AT18,0)+IF(AU19-AT19&lt;0,AU19-AT19,0)+IF(AU23-AT23&lt;0,AU23-AT23,0)+IF(AU24-AT24&lt;0,AU24-AT24,0)+IF(AU25-AT25&lt;0,AU25-AT25,0)+IF(AU26-AT26&lt;0,AU26-AT26,0)+IF(AU27-AT27&lt;0,AU27-AT27,0)+IF(AU28-AT28&lt;0,AU28-AT28,0)+IF(AU29-AT29&lt;0,AU29-AT29,0)+IF(AU30-AT30&lt;0,AU30-AT30,0)+IF(AU31-AT31&lt;0,AU31-AT31,0)+IF(AU32-AT32&lt;0,AU32-AT32,0)+IF(AU33-AT33&lt;0,AU33-AT33,0)+IF(AU34-AT34&lt;0,AU34-AT34,0)+IF(AU35-AT35&lt;0,AU35-AT35,0)+IF(AU36-AT36&lt;0,AU36-AT36,0)+IF(AU37-AT37&lt;0,AU37-AT37,0)+IF(AU38-AT38&lt;0,AU38-AT38,0)+IF(AU39-AT39&lt;0,AU39-AT39,0)+IF(AU40-AT40&lt;0,AU40-AT40,0)+IF(AU41-AT41&lt;0,AU41-AT41,0)+IF(AU42-AT42&lt;0,AU42-AT42,0)+IF(AU43-AT43&lt;0,AU43-AT43,0)+IF(AU44-AT44&lt;0,AU44-AT44,0)+IF(AU45-AT45&lt;0,AU45-AT45,0)+IF(AU46-AT46&lt;0,AU46-AT46,0)+IF(AU47-AT47&lt;0,AU47-AT47,0)+IF(AU48-AT48&lt;0,AU48-AT48,0)+IF(AU49-AT49&lt;0,AU49-AT49,0)+IF(AU50-AT50&lt;0,AU50-AT50,0)+IF(AU51-AT51&lt;0,AU51-AT51,0)+IF(AU52-AT52&lt;0,AU52-AT52,0)+IF(AU53-AT53&lt;0,AU53-AT53,0)+IF(AU54-AT54&lt;0,AU54-AT54,0)+IF(AU55-AT55&lt;0,AU55-AT55,0)+IF(AU56-AT56&lt;0,AU56-AT56,0)+IF(AU57-AT57&lt;0,AU57-AT57,0)+IF(AU58-AT58&lt;0,AU58-AT58,0)+IF(AU59-AT59&lt;0,AU59-AT59,0)+IF(AU60-AT60&lt;0,AU60-AT60,0)+IF(AU61-AT61&lt;0,AU61-AT61,0)+IF(AU62-AT62&lt;0,AU62-AT62,0)+IF(AU63-AT63&lt;0,AU63-AT63,0)+IF(AU64-AT64&lt;0,AU64-AT64,0)+IF(AU65-AT65&lt;0,AU65-AT65,0)+IF(AU5-AT5&lt;0,AU5-AT5,0)+IF(AU7-AT7&lt;0,AU7-AT7,0)+IF(AU10-AT10&lt;0,AU10-AT10,0)+IF(AU20-AT20&lt;0,AU20-AT20,0)+IF(AU21-AT21&lt;0,AU21-AT21,0)+IF(AU22-AT22&lt;0,AU22-AT22,0)</f>
        <v>-4400</v>
      </c>
      <c r="AV71" s="39">
        <f t="shared" si="80"/>
        <v>-13</v>
      </c>
      <c r="AW71" s="39">
        <f t="shared" si="80"/>
        <v>-300</v>
      </c>
      <c r="AX71" s="39">
        <f>IF(AX4-AW4&lt;0,AX4-AW4,0)+IF(AX6-AW6&lt;0,AX6-AW6,0)+IF(AX8-AW8&lt;0,AX8-AW8,0)+IF(AX9-AW9&lt;0,AX9-AW9,0)+IF(AX11-AW11&lt;0,AX11-AW11,0)+IF(AX12-AW12&lt;0,AX12-AW12,0)+IF(AX13-AW13&lt;0,AX13-AW13,0)+IF(AX14-AW14&lt;0,AX14-AW14,0)+IF(AX15-AW15&lt;0,AX15-AW15,0)+IF(AX16-AW16&lt;0,AX16-AW16,0)+IF(AX17-AW17&lt;0,AX17-AW17,0)+IF(AX18-AW18&lt;0,AX18-AW18,0)+IF(AX19-AW19&lt;0,AX19-AW19,0)+IF(AX23-AW23&lt;0,AX23-AW23,0)+IF(AX24-AW24&lt;0,AX24-AW24,0)+IF(AX25-AW25&lt;0,AX25-AW25,0)+IF(AX26-AW26&lt;0,AX26-AW26,0)+IF(AX27-AW27&lt;0,AX27-AW27,0)+IF(AX28-AW28&lt;0,AX28-AW28,0)+IF(AX29-AW29&lt;0,AX29-AW29,0)+IF(AX30-AW30&lt;0,AX30-AW30,0)+IF(AX31-AW31&lt;0,AX31-AW31,0)+IF(AX32-AW32&lt;0,AX32-AW32,0)+IF(AX33-AW33&lt;0,AX33-AW33,0)+IF(AX34-AW34&lt;0,AX34-AW34,0)+IF(AX35-AW35&lt;0,AX35-AW35,0)+IF(AX36-AW36&lt;0,AX36-AW36,0)+IF(AX37-AW37&lt;0,AX37-AW37,0)+IF(AX38-AW38&lt;0,AX38-AW38,0)+IF(AX39-AW39&lt;0,AX39-AW39,0)+IF(AX40-AW40&lt;0,AX40-AW40,0)+IF(AX41-AW41&lt;0,AX41-AW41,0)+IF(AX42-AW42&lt;0,AX42-AW42,0)+IF(AX43-AW43&lt;0,AX43-AW43,0)+IF(AX44-AW44&lt;0,AX44-AW44,0)+IF(AX45-AW45&lt;0,AX45-AW45,0)+IF(AX46-AW46&lt;0,AX46-AW46,0)+IF(AX47-AW47&lt;0,AX47-AW47,0)+IF(AX48-AW48&lt;0,AX48-AW48,0)+IF(AX49-AW49&lt;0,AX49-AW49,0)+IF(AX50-AW50&lt;0,AX50-AW50,0)+IF(AX51-AW51&lt;0,AX51-AW51,0)+IF(AX52-AW52&lt;0,AX52-AW52,0)+IF(AX53-AW53&lt;0,AX53-AW53,0)+IF(AX54-AW54&lt;0,AX54-AW54,0)+IF(AX55-AW55&lt;0,AX55-AW55,0)+IF(AX56-AW56&lt;0,AX56-AW56,0)+IF(AX57-AW57&lt;0,AX57-AW57,0)+IF(AX58-AW58&lt;0,AX58-AW58,0)+IF(AX59-AW59&lt;0,AX59-AW59,0)+IF(AX60-AW60&lt;0,AX60-AW60,0)+IF(AX61-AW61&lt;0,AX61-AW61,0)+IF(AX62-AW62&lt;0,AX62-AW62,0)+IF(AX63-AW63&lt;0,AX63-AW63,0)+IF(AX64-AW64&lt;0,AX64-AW64,0)+IF(AX65-AW65&lt;0,AX65-AW65,0)+IF(AX5-AW5&lt;0,AX5-AW5,0)+IF(AX7-AW7&lt;0,AX7-AW7,0)+IF(AX10-AW10&lt;0,AX10-AW10,0)+IF(AX20-AW20&lt;0,AX20-AW20,0)+IF(AX21-AW21&lt;0,AX21-AW21,0)+IF(AX22-AW22&lt;0,AX22-AW22,0)</f>
        <v>-3786</v>
      </c>
      <c r="AY71" s="108">
        <f>IF(AY4-AT4&lt;0,AY4-AT4,0)+IF(AY6-AT6&lt;0,AY6-AT6,0)+IF(AY8-AT8&lt;0,AY8-AT8,0)+IF(AY9-AT9&lt;0,AY9-AT9,0)+IF(AY11-AT11&lt;0,AY11-AT11,0)+IF(AY12-AT12&lt;0,AY12-AT12,0)+IF(AY13-AT13&lt;0,AY13-AT13,0)+IF(AY14-AT14&lt;0,AY14-AT14,0)+IF(AY15-AT15&lt;0,AY15-AT15,0)+IF(AY16-AT16&lt;0,AY16-AT16,0)+IF(AY17-AT17&lt;0,AY17-AT17,0)+IF(AY18-AT18&lt;0,AY18-AT18,0)+IF(AY19-AT19&lt;0,AY19-AT19,0)+IF(AY23-AT23&lt;0,AY23-AT23,0)+IF(AY24-AT24&lt;0,AY24-AT24,0)+IF(AY25-AT25&lt;0,AY25-AT25,0)+IF(AY26-AT26&lt;0,AY26-AT26,0)+IF(AY27-AT27&lt;0,AY27-AT27,0)+IF(AY28-AT28&lt;0,AY28-AT28,0)+IF(AY29-AT29&lt;0,AY29-AT29,0)+IF(AY30-AT30&lt;0,AY30-AT30,0)+IF(AY31-AT31&lt;0,AY31-AT31,0)+IF(AY32-AT32&lt;0,AY32-AT32,0)+IF(AY33-AT33&lt;0,AY33-AT33,0)+IF(AY34-AT34&lt;0,AY34-AT34,0)+IF(AY35-AT35&lt;0,AY35-AT35,0)+IF(AY36-AT36&lt;0,AY36-AT36,0)+IF(AY37-AT37&lt;0,AY37-AT37,0)+IF(AY38-AT38&lt;0,AY38-AT38,0)+IF(AY39-AT39&lt;0,AY39-AT39,0)+IF(AY40-AT40&lt;0,AY40-AT40,0)+IF(AY41-AT41&lt;0,AY41-AT41,0)+IF(AY42-AT42&lt;0,AY42-AT42,0)+IF(AY43-AT43&lt;0,AY43-AT43,0)+IF(AY44-AT44&lt;0,AY44-AT44,0)+IF(AY45-AT45&lt;0,AY45-AT45,0)+IF(AY46-AT46&lt;0,AY46-AT46,0)+IF(AY47-AT47&lt;0,AY47-AT47,0)+IF(AY48-AT48&lt;0,AY48-AT48,0)+IF(AY49-AT49&lt;0,AY49-AT49,0)+IF(AY50-AT50&lt;0,AY50-AT50,0)+IF(AY51-AT51&lt;0,AY51-AT51,0)+IF(AY52-AT52&lt;0,AY52-AT52,0)+IF(AY53-AT53&lt;0,AY53-AT53,0)+IF(AY54-AT54&lt;0,AY54-AT54,0)+IF(AY55-AT55&lt;0,AY55-AT55,0)+IF(AY56-AT56&lt;0,AY56-AT56,0)+IF(AY57-AT57&lt;0,AY57-AT57,0)+IF(AY58-AT58&lt;0,AY58-AT58,0)+IF(AY59-AT59&lt;0,AY59-AT59,0)+IF(AY60-AT60&lt;0,AY60-AT60,0)+IF(AY61-AT61&lt;0,AY61-AT61,0)+IF(AY62-AT62&lt;0,AY62-AT62,0)+IF(AY63-AT63&lt;0,AY63-AT63,0)+IF(AY64-AT64&lt;0,AY64-AT64,0)+IF(AY5-AT5&lt;0,AY5-AT5,0)+IF(AY7-AT7&lt;0,AY7-AT7,0)+IF(AY10-AT10&lt;0,AY10-AT10,0)+IF(AY65-AT65&lt;0,AY65-AT65,0)+IF(AY20-AT20&lt;0,AY20-AT20,0)+IF(AY21-AT21&lt;0,AY21-AT21,0)+IF(AY22-AT22&lt;0,AY22-AT22,0)</f>
        <v>-7443</v>
      </c>
      <c r="AZ71" s="39">
        <f>IF(AZ4-AY4&lt;0,AZ4-AY4,0)+IF(AZ6-AY6&lt;0,AZ6-AY6,0)+IF(AZ8-AY8&lt;0,AZ8-AY8,0)+IF(AZ9-AY9&lt;0,AZ9-AY9,0)+IF(AZ11-AY11&lt;0,AZ11-AY11,0)+IF(AZ12-AY12&lt;0,AZ12-AY12,0)+IF(AZ13-AY13&lt;0,AZ13-AY13,0)+IF(AZ14-AY14&lt;0,AZ14-AY14,0)+IF(AZ15-AY15&lt;0,AZ15-AY15,0)+IF(AZ16-AY16&lt;0,AZ16-AY16,0)+IF(AZ17-AY17&lt;0,AZ17-AY17,0)+IF(AZ18-AY18&lt;0,AZ18-AY18,0)+IF(AZ19-AY19&lt;0,AZ19-AY19,0)+IF(AZ23-AY23&lt;0,AZ23-AY23,0)+IF(AZ24-AY24&lt;0,AZ24-AY24,0)+IF(AZ25-AY25&lt;0,AZ25-AY25,0)+IF(AZ26-AY26&lt;0,AZ26-AY26,0)+IF(AZ27-AY27&lt;0,AZ27-AY27,0)+IF(AZ28-AY28&lt;0,AZ28-AY28,0)+IF(AZ29-AY29&lt;0,AZ29-AY29,0)+IF(AZ30-AY30&lt;0,AZ30-AY30,0)+IF(AZ31-AY31&lt;0,AZ31-AY31,0)+IF(AZ32-AY32&lt;0,AZ32-AY32,0)+IF(AZ33-AY33&lt;0,AZ33-AY33,0)+IF(AZ34-AY34&lt;0,AZ34-AY34,0)+IF(AZ35-AY35&lt;0,AZ35-AY35,0)+IF(AZ36-AY36&lt;0,AZ36-AY36,0)+IF(AZ37-AY37&lt;0,AZ37-AY37,0)+IF(AZ38-AY38&lt;0,AZ38-AY38,0)+IF(AZ39-AY39&lt;0,AZ39-AY39,0)+IF(AZ40-AY40&lt;0,AZ40-AY40,0)+IF(AZ41-AY41&lt;0,AZ41-AY41,0)+IF(AZ42-AY42&lt;0,AZ42-AY42,0)+IF(AZ43-AY43&lt;0,AZ43-AY43,0)+IF(AZ44-AY44&lt;0,AZ44-AY44,0)+IF(AZ45-AY45&lt;0,AZ45-AY45,0)+IF(AZ46-AY46&lt;0,AZ46-AY46,0)+IF(AZ47-AY47&lt;0,AZ47-AY47,0)+IF(AZ48-AY48&lt;0,AZ48-AY48,0)+IF(AZ49-AY49&lt;0,AZ49-AY49,0)+IF(AZ50-AY50&lt;0,AZ50-AY50,0)+IF(AZ51-AY51&lt;0,AZ51-AY51,0)+IF(AZ52-AY52&lt;0,AZ52-AY52,0)+IF(AZ53-AY53&lt;0,AZ53-AY53,0)+IF(AZ54-AY54&lt;0,AZ54-AY54,0)+IF(AZ55-AY55&lt;0,AZ55-AY55,0)+IF(AZ56-AY56&lt;0,AZ56-AY56,0)+IF(AZ57-AY57&lt;0,AZ57-AY57,0)+IF(AZ58-AY58&lt;0,AZ58-AY58,0)+IF(AZ59-AY59&lt;0,AZ59-AY59,0)+IF(AZ60-AY60&lt;0,AZ60-AY60,0)+IF(AZ61-AY61&lt;0,AZ61-AY61,0)+IF(AZ62-AY62&lt;0,AZ62-AY62,0)+IF(AZ63-AY63&lt;0,AZ63-AY63,0)+IF(AZ64-AY64&lt;0,AZ64-AY64,0)+IF(AZ65-AY65&lt;0,AZ65-AY65,0)+IF(AZ5-AY5&lt;0,AZ5-AY5,0)+IF(AZ7-AY7&lt;0,AZ7-AY7,0)+IF(AZ10-AY10&lt;0,AZ10-AY10,0)+IF(AZ20-AY20&lt;0,AZ20-AY20,0)+IF(AZ21-AY21&lt;0,AZ21-AY21,0)+IF(AZ22-AY22&lt;0,AZ22-AY22,0)</f>
        <v>-250</v>
      </c>
      <c r="BA71" s="39">
        <f t="shared" ref="BA71" si="81">IF(BA4-AZ4&lt;0,BA4-AZ4,0)+IF(BA6-AZ6&lt;0,BA6-AZ6,0)+IF(BA8-AZ8&lt;0,BA8-AZ8,0)+IF(BA9-AZ9&lt;0,BA9-AZ9,0)+IF(BA11-AZ11&lt;0,BA11-AZ11,0)+IF(BA12-AZ12&lt;0,BA12-AZ12,0)+IF(BA13-AZ13&lt;0,BA13-AZ13,0)+IF(BA14-AZ14&lt;0,BA14-AZ14,0)+IF(BA15-AZ15&lt;0,BA15-AZ15,0)+IF(BA16-AZ16&lt;0,BA16-AZ16,0)+IF(BA17-AZ17&lt;0,BA17-AZ17,0)+IF(BA18-AZ18&lt;0,BA18-AZ18,0)+IF(BA19-AZ19&lt;0,BA19-AZ19,0)+IF(BA23-AZ23&lt;0,BA23-AZ23,0)+IF(BA24-AZ24&lt;0,BA24-AZ24,0)+IF(BA25-AZ25&lt;0,BA25-AZ25,0)+IF(BA26-AZ26&lt;0,BA26-AZ26,0)+IF(BA27-AZ27&lt;0,BA27-AZ27,0)+IF(BA28-AZ28&lt;0,BA28-AZ28,0)+IF(BA29-AZ29&lt;0,BA29-AZ29,0)+IF(BA30-AZ30&lt;0,BA30-AZ30,0)+IF(BA31-AZ31&lt;0,BA31-AZ31,0)+IF(BA32-AZ32&lt;0,BA32-AZ32,0)+IF(BA33-AZ33&lt;0,BA33-AZ33,0)+IF(BA34-AZ34&lt;0,BA34-AZ34,0)+IF(BA35-AZ35&lt;0,BA35-AZ35,0)+IF(BA36-AZ36&lt;0,BA36-AZ36,0)+IF(BA37-AZ37&lt;0,BA37-AZ37,0)+IF(BA38-AZ38&lt;0,BA38-AZ38,0)+IF(BA39-AZ39&lt;0,BA39-AZ39,0)+IF(BA40-AZ40&lt;0,BA40-AZ40,0)+IF(BA41-AZ41&lt;0,BA41-AZ41,0)+IF(BA42-AZ42&lt;0,BA42-AZ42,0)+IF(BA43-AZ43&lt;0,BA43-AZ43,0)+IF(BA44-AZ44&lt;0,BA44-AZ44,0)+IF(BA45-AZ45&lt;0,BA45-AZ45,0)+IF(BA46-AZ46&lt;0,BA46-AZ46,0)+IF(BA47-AZ47&lt;0,BA47-AZ47,0)+IF(BA48-AZ48&lt;0,BA48-AZ48,0)+IF(BA49-AZ49&lt;0,BA49-AZ49,0)+IF(BA50-AZ50&lt;0,BA50-AZ50,0)+IF(BA51-AZ51&lt;0,BA51-AZ51,0)+IF(BA52-AZ52&lt;0,BA52-AZ52,0)+IF(BA53-AZ53&lt;0,BA53-AZ53,0)+IF(BA54-AZ54&lt;0,BA54-AZ54,0)+IF(BA55-AZ55&lt;0,BA55-AZ55,0)+IF(BA56-AZ56&lt;0,BA56-AZ56,0)+IF(BA57-AZ57&lt;0,BA57-AZ57,0)+IF(BA58-AZ58&lt;0,BA58-AZ58,0)+IF(BA59-AZ59&lt;0,BA59-AZ59,0)+IF(BA60-AZ60&lt;0,BA60-AZ60,0)+IF(BA61-AZ61&lt;0,BA61-AZ61,0)+IF(BA62-AZ62&lt;0,BA62-AZ62,0)+IF(BA63-AZ63&lt;0,BA63-AZ63,0)+IF(BA64-AZ64&lt;0,BA64-AZ64,0)+IF(BA65-AZ65&lt;0,BA65-AZ65,0)+IF(BA5-AZ5&lt;0,BA5-AZ5,0)+IF(BA7-AZ7&lt;0,BA7-AZ7,0)+IF(BA10-AZ10&lt;0,BA10-AZ10,0)+IF(BA20-AZ20&lt;0,BA20-AZ20,0)+IF(BA21-AZ21&lt;0,BA21-AZ21,0)+IF(BA22-AZ22&lt;0,BA22-AZ22,0)</f>
        <v>-295</v>
      </c>
      <c r="BB71" s="39">
        <f t="shared" ref="BB71" si="82">IF(BB4-BA4&lt;0,BB4-BA4,0)+IF(BB6-BA6&lt;0,BB6-BA6,0)+IF(BB8-BA8&lt;0,BB8-BA8,0)+IF(BB9-BA9&lt;0,BB9-BA9,0)+IF(BB11-BA11&lt;0,BB11-BA11,0)+IF(BB12-BA12&lt;0,BB12-BA12,0)+IF(BB13-BA13&lt;0,BB13-BA13,0)+IF(BB14-BA14&lt;0,BB14-BA14,0)+IF(BB15-BA15&lt;0,BB15-BA15,0)+IF(BB16-BA16&lt;0,BB16-BA16,0)+IF(BB17-BA17&lt;0,BB17-BA17,0)+IF(BB18-BA18&lt;0,BB18-BA18,0)+IF(BB19-BA19&lt;0,BB19-BA19,0)+IF(BB23-BA23&lt;0,BB23-BA23,0)+IF(BB24-BA24&lt;0,BB24-BA24,0)+IF(BB25-BA25&lt;0,BB25-BA25,0)+IF(BB26-BA26&lt;0,BB26-BA26,0)+IF(BB27-BA27&lt;0,BB27-BA27,0)+IF(BB28-BA28&lt;0,BB28-BA28,0)+IF(BB29-BA29&lt;0,BB29-BA29,0)+IF(BB30-BA30&lt;0,BB30-BA30,0)+IF(BB31-BA31&lt;0,BB31-BA31,0)+IF(BB32-BA32&lt;0,BB32-BA32,0)+IF(BB33-BA33&lt;0,BB33-BA33,0)+IF(BB34-BA34&lt;0,BB34-BA34,0)+IF(BB35-BA35&lt;0,BB35-BA35,0)+IF(BB36-BA36&lt;0,BB36-BA36,0)+IF(BB37-BA37&lt;0,BB37-BA37,0)+IF(BB38-BA38&lt;0,BB38-BA38,0)+IF(BB39-BA39&lt;0,BB39-BA39,0)+IF(BB40-BA40&lt;0,BB40-BA40,0)+IF(BB41-BA41&lt;0,BB41-BA41,0)+IF(BB42-BA42&lt;0,BB42-BA42,0)+IF(BB43-BA43&lt;0,BB43-BA43,0)+IF(BB44-BA44&lt;0,BB44-BA44,0)+IF(BB45-BA45&lt;0,BB45-BA45,0)+IF(BB46-BA46&lt;0,BB46-BA46,0)+IF(BB47-BA47&lt;0,BB47-BA47,0)+IF(BB48-BA48&lt;0,BB48-BA48,0)+IF(BB49-BA49&lt;0,BB49-BA49,0)+IF(BB50-BA50&lt;0,BB50-BA50,0)+IF(BB51-BA51&lt;0,BB51-BA51,0)+IF(BB52-BA52&lt;0,BB52-BA52,0)+IF(BB53-BA53&lt;0,BB53-BA53,0)+IF(BB54-BA54&lt;0,BB54-BA54,0)+IF(BB55-BA55&lt;0,BB55-BA55,0)+IF(BB56-BA56&lt;0,BB56-BA56,0)+IF(BB57-BA57&lt;0,BB57-BA57,0)+IF(BB58-BA58&lt;0,BB58-BA58,0)+IF(BB59-BA59&lt;0,BB59-BA59,0)+IF(BB60-BA60&lt;0,BB60-BA60,0)+IF(BB61-BA61&lt;0,BB61-BA61,0)+IF(BB62-BA62&lt;0,BB62-BA62,0)+IF(BB63-BA63&lt;0,BB63-BA63,0)+IF(BB64-BA64&lt;0,BB64-BA64,0)+IF(BB65-BA65&lt;0,BB65-BA65,0)+IF(BB5-BA5&lt;0,BB5-BA5,0)+IF(BB7-BA7&lt;0,BB7-BA7,0)+IF(BB10-BA10&lt;0,BB10-BA10,0)+IF(BB20-BA20&lt;0,BB20-BA20,0)+IF(BB21-BA21&lt;0,BB21-BA21,0)+IF(BB22-BA22&lt;0,BB22-BA22,0)</f>
        <v>-300</v>
      </c>
      <c r="BC71" s="39">
        <f>IF(BC4-BB4&lt;0,BC4-BB4,0)+IF(BC6-BB6&lt;0,BC6-BB6,0)+IF(BC8-BB8&lt;0,BC8-BB8,0)+IF(BC9-BB9&lt;0,BC9-BB9,0)+IF(BC11-BB11&lt;0,BC11-BB11,0)+IF(BC12-BB12&lt;0,BC12-BB12,0)+IF(BC13-BB13&lt;0,BC13-BB13,0)+IF(BC14-BB14&lt;0,BC14-BB14,0)+IF(BC15-BB15&lt;0,BC15-BB15,0)+IF(BC16-BB16&lt;0,BC16-BB16,0)+IF(BC17-BB17&lt;0,BC17-BB17,0)+IF(BC18-BB18&lt;0,BC18-BB18,0)+IF(BC19-BB19&lt;0,BC19-BB19,0)+IF(BC23-BB23&lt;0,BC23-BB23,0)+IF(BC24-BB24&lt;0,BC24-BB24,0)+IF(BC25-BB25&lt;0,BC25-BB25,0)+IF(BC26-BB26&lt;0,BC26-BB26,0)+IF(BC27-BB27&lt;0,BC27-BB27,0)+IF(BC28-BB28&lt;0,BC28-BB28,0)+IF(BC29-BB29&lt;0,BC29-BB29,0)+IF(BC30-BB30&lt;0,BC30-BB30,0)+IF(BC31-BB31&lt;0,BC31-BB31,0)+IF(BC32-BB32&lt;0,BC32-BB32,0)+IF(BC33-BB33&lt;0,BC33-BB33,0)+IF(BC34-BB34&lt;0,BC34-BB34,0)+IF(BC35-BB35&lt;0,BC35-BB35,0)+IF(BC36-BB36&lt;0,BC36-BB36,0)+IF(BC37-BB37&lt;0,BC37-BB37,0)+IF(BC38-BB38&lt;0,BC38-BB38,0)+IF(BC39-BB39&lt;0,BC39-BB39,0)+IF(BC40-BB40&lt;0,BC40-BB40,0)+IF(BC41-BB41&lt;0,BC41-BB41,0)+IF(BC42-BB42&lt;0,BC42-BB42,0)+IF(BC43-BB43&lt;0,BC43-BB43,0)+IF(BC44-BB44&lt;0,BC44-BB44,0)+IF(BC45-BB45&lt;0,BC45-BB45,0)+IF(BC46-BB46&lt;0,BC46-BB46,0)+IF(BC47-BB47&lt;0,BC47-BB47,0)+IF(BC48-BB48&lt;0,BC48-BB48,0)+IF(BC49-BB49&lt;0,BC49-BB49,0)+IF(BC50-BB50&lt;0,BC50-BB50,0)+IF(BC51-BB51&lt;0,BC51-BB51,0)+IF(BC52-BB52&lt;0,BC52-BB52,0)+IF(BC53-BB53&lt;0,BC53-BB53,0)+IF(BC54-BB54&lt;0,BC54-BB54,0)+IF(BC55-BB55&lt;0,BC55-BB55,0)+IF(BC56-BB56&lt;0,BC56-BB56,0)+IF(BC57-BB57&lt;0,BC57-BB57,0)+IF(BC58-BB58&lt;0,BC58-BB58,0)+IF(BC59-BB59&lt;0,BC59-BB59,0)+IF(BC60-BB60&lt;0,BC60-BB60,0)+IF(BC61-BB61&lt;0,BC61-BB61,0)+IF(BC62-BB62&lt;0,BC62-BB62,0)+IF(BC63-BB63&lt;0,BC63-BB63,0)+IF(BC64-BB64&lt;0,BC64-BB64,0)+IF(BC65-BB65&lt;0,BC65-BB65,0)+IF(BC5-BB5&lt;0,BC5-BB5,0)+IF(BC7-BB7&lt;0,BC7-BB7,0)+IF(BC10-BB10&lt;0,BC10-BB10,0)+IF(BC20-BB20&lt;0,BC20-BB20,0)+IF(BC21-BB21&lt;0,BC21-BB21,0)+IF(BC22-BB22&lt;0,BC22-BB22,0)</f>
        <v>-250</v>
      </c>
      <c r="BD71" s="108">
        <f>IF(BD4-AY4&lt;0,BD4-AY4,0)+IF(BD6-AY6&lt;0,BD6-AY6,0)+IF(BD8-AY8&lt;0,BD8-AY8,0)+IF(BD9-AY9&lt;0,BD9-AY9,0)+IF(BD11-AY11&lt;0,BD11-AY11,0)+IF(BD12-AY12&lt;0,BD12-AY12,0)+IF(BD13-AY13&lt;0,BD13-AY13,0)+IF(BD14-AY14&lt;0,BD14-AY14,0)+IF(BD15-AY15&lt;0,BD15-AY15,0)+IF(BD16-AY16&lt;0,BD16-AY16,0)+IF(BD17-AY17&lt;0,BD17-AY17,0)+IF(BD18-AY18&lt;0,BD18-AY18,0)+IF(BD19-AY19&lt;0,BD19-AY19,0)+IF(BD23-AY23&lt;0,BD23-AY23,0)+IF(BD24-AY24&lt;0,BD24-AY24,0)+IF(BD25-AY25&lt;0,BD25-AY25,0)+IF(BD26-AY26&lt;0,BD26-AY26,0)+IF(BD27-AY27&lt;0,BD27-AY27,0)+IF(BD28-AY28&lt;0,BD28-AY28,0)+IF(BD29-AY29&lt;0,BD29-AY29,0)+IF(BD30-AY30&lt;0,BD30-AY30,0)+IF(BD31-AY31&lt;0,BD31-AY31,0)+IF(BD32-AY32&lt;0,BD32-AY32,0)+IF(BD33-AY33&lt;0,BD33-AY33,0)+IF(BD34-AY34&lt;0,BD34-AY34,0)+IF(BD35-AY35&lt;0,BD35-AY35,0)+IF(BD36-AY36&lt;0,BD36-AY36,0)+IF(BD37-AY37&lt;0,BD37-AY37,0)+IF(BD38-AY38&lt;0,BD38-AY38,0)+IF(BD39-AY39&lt;0,BD39-AY39,0)+IF(BD40-AY40&lt;0,BD40-AY40,0)+IF(BD41-AY41&lt;0,BD41-AY41,0)+IF(BD42-AY42&lt;0,BD42-AY42,0)+IF(BD43-AY43&lt;0,BD43-AY43,0)+IF(BD44-AY44&lt;0,BD44-AY44,0)+IF(BD45-AY45&lt;0,BD45-AY45,0)+IF(BD46-AY46&lt;0,BD46-AY46,0)+IF(BD47-AY47&lt;0,BD47-AY47,0)+IF(BD48-AY48&lt;0,BD48-AY48,0)+IF(BD49-AY49&lt;0,BD49-AY49,0)+IF(BD50-AY50&lt;0,BD50-AY50,0)+IF(BD51-AY51&lt;0,BD51-AY51,0)+IF(BD52-AY52&lt;0,BD52-AY52,0)+IF(BD53-AY53&lt;0,BD53-AY53,0)+IF(BD54-AY54&lt;0,BD54-AY54,0)+IF(BD55-AY55&lt;0,BD55-AY55,0)+IF(BD56-AY56&lt;0,BD56-AY56,0)+IF(BD57-AY57&lt;0,BD57-AY57,0)+IF(BD58-AY58&lt;0,BD58-AY58,0)+IF(BD59-AY59&lt;0,BD59-AY59,0)+IF(BD60-AY60&lt;0,BD60-AY60,0)+IF(BD61-AY61&lt;0,BD61-AY61,0)+IF(BD62-AY62&lt;0,BD62-AY62,0)+IF(BD63-AY63&lt;0,BD63-AY63,0)+IF(BD64-AY64&lt;0,BD64-AY64,0)+IF(BD5-AY5&lt;0,BD5-AY5,0)+IF(BD7-AY7&lt;0,BD7-AY7,0)+IF(BD10-AY10&lt;0,BD10-AY10,0)+IF(BD65-AY65&lt;0,BD65-AY65,0)+IF(BD20-AY20&lt;0,BD20-AY20,0)+IF(BD21-AY21&lt;0,BD21-AY21,0)+IF(BD22-AY22&lt;0,BD22-AY22,0)</f>
        <v>-1050</v>
      </c>
      <c r="BE71" s="39">
        <f t="shared" ref="BE71:BG71" si="83">IF(BE4-BD4&lt;0,BE4-BD4,0)+IF(BE6-BD6&lt;0,BE6-BD6,0)+IF(BE8-BD8&lt;0,BE8-BD8,0)+IF(BE9-BD9&lt;0,BE9-BD9,0)+IF(BE11-BD11&lt;0,BE11-BD11,0)+IF(BE12-BD12&lt;0,BE12-BD12,0)+IF(BE13-BD13&lt;0,BE13-BD13,0)+IF(BE14-BD14&lt;0,BE14-BD14,0)+IF(BE15-BD15&lt;0,BE15-BD15,0)+IF(BE16-BD16&lt;0,BE16-BD16,0)+IF(BE17-BD17&lt;0,BE17-BD17,0)+IF(BE18-BD18&lt;0,BE18-BD18,0)+IF(BE19-BD19&lt;0,BE19-BD19,0)+IF(BE23-BD23&lt;0,BE23-BD23,0)+IF(BE24-BD24&lt;0,BE24-BD24,0)+IF(BE25-BD25&lt;0,BE25-BD25,0)+IF(BE26-BD26&lt;0,BE26-BD26,0)+IF(BE27-BD27&lt;0,BE27-BD27,0)+IF(BE28-BD28&lt;0,BE28-BD28,0)+IF(BE29-BD29&lt;0,BE29-BD29,0)+IF(BE30-BD30&lt;0,BE30-BD30,0)+IF(BE31-BD31&lt;0,BE31-BD31,0)+IF(BE32-BD32&lt;0,BE32-BD32,0)+IF(BE33-BD33&lt;0,BE33-BD33,0)+IF(BE34-BD34&lt;0,BE34-BD34,0)+IF(BE35-BD35&lt;0,BE35-BD35,0)+IF(BE36-BD36&lt;0,BE36-BD36,0)+IF(BE37-BD37&lt;0,BE37-BD37,0)+IF(BE38-BD38&lt;0,BE38-BD38,0)+IF(BE39-BD39&lt;0,BE39-BD39,0)+IF(BE40-BD40&lt;0,BE40-BD40,0)+IF(BE41-BD41&lt;0,BE41-BD41,0)+IF(BE42-BD42&lt;0,BE42-BD42,0)+IF(BE43-BD43&lt;0,BE43-BD43,0)+IF(BE44-BD44&lt;0,BE44-BD44,0)+IF(BE45-BD45&lt;0,BE45-BD45,0)+IF(BE46-BD46&lt;0,BE46-BD46,0)+IF(BE47-BD47&lt;0,BE47-BD47,0)+IF(BE48-BD48&lt;0,BE48-BD48,0)+IF(BE49-BD49&lt;0,BE49-BD49,0)+IF(BE50-BD50&lt;0,BE50-BD50,0)+IF(BE51-BD51&lt;0,BE51-BD51,0)+IF(BE52-BD52&lt;0,BE52-BD52,0)+IF(BE53-BD53&lt;0,BE53-BD53,0)+IF(BE54-BD54&lt;0,BE54-BD54,0)+IF(BE55-BD55&lt;0,BE55-BD55,0)+IF(BE56-BD56&lt;0,BE56-BD56,0)+IF(BE57-BD57&lt;0,BE57-BD57,0)+IF(BE58-BD58&lt;0,BE58-BD58,0)+IF(BE59-BD59&lt;0,BE59-BD59,0)+IF(BE60-BD60&lt;0,BE60-BD60,0)+IF(BE61-BD61&lt;0,BE61-BD61,0)+IF(BE62-BD62&lt;0,BE62-BD62,0)+IF(BE63-BD63&lt;0,BE63-BD63,0)+IF(BE64-BD64&lt;0,BE64-BD64,0)+IF(BE65-BD65&lt;0,BE65-BD65,0)+IF(BE5-BD5&lt;0,BE5-BD5,0)+IF(BE7-BD7&lt;0,BE7-BD7,0)+IF(BE10-BD10&lt;0,BE10-BD10,0)+IF(BE20-BD20&lt;0,BE20-BD20,0)+IF(BE21-BD21&lt;0,BE21-BD21,0)+IF(BE22-BD22&lt;0,BE22-BD22,0)</f>
        <v>-550</v>
      </c>
      <c r="BF71" s="39">
        <f t="shared" si="83"/>
        <v>-2600</v>
      </c>
      <c r="BG71" s="39">
        <f t="shared" si="83"/>
        <v>-1300</v>
      </c>
      <c r="BH71" s="39">
        <f>IF(BH4-BG4&lt;0,BH4-BG4,0)+IF(BH6-BG6&lt;0,BH6-BG6,0)+IF(BH8-BG8&lt;0,BH8-BG8,0)+IF(BH9-BG9&lt;0,BH9-BG9,0)+IF(BH11-BG11&lt;0,BH11-BG11,0)+IF(BH12-BG12&lt;0,BH12-BG12,0)+IF(BH13-BG13&lt;0,BH13-BG13,0)+IF(BH14-BG14&lt;0,BH14-BG14,0)+IF(BH15-BG15&lt;0,BH15-BG15,0)+IF(BH16-BG16&lt;0,BH16-BG16,0)+IF(BH17-BG17&lt;0,BH17-BG17,0)+IF(BH18-BG18&lt;0,BH18-BG18,0)+IF(BH19-BG19&lt;0,BH19-BG19,0)+IF(BH23-BG23&lt;0,BH23-BG23,0)+IF(BH24-BG24&lt;0,BH24-BG24,0)+IF(BH25-BG25&lt;0,BH25-BG25,0)+IF(BH26-BG26&lt;0,BH26-BG26,0)+IF(BH27-BG27&lt;0,BH27-BG27,0)+IF(BH28-BG28&lt;0,BH28-BG28,0)+IF(BH29-BG29&lt;0,BH29-BG29,0)+IF(BH30-BG30&lt;0,BH30-BG30,0)+IF(BH31-BG31&lt;0,BH31-BG31,0)+IF(BH32-BG32&lt;0,BH32-BG32,0)+IF(BH33-BG33&lt;0,BH33-BG33,0)+IF(BH34-BG34&lt;0,BH34-BG34,0)+IF(BH35-BG35&lt;0,BH35-BG35,0)+IF(BH36-BG36&lt;0,BH36-BG36,0)+IF(BH37-BG37&lt;0,BH37-BG37,0)+IF(BH38-BG38&lt;0,BH38-BG38,0)+IF(BH39-BG39&lt;0,BH39-BG39,0)+IF(BH40-BG40&lt;0,BH40-BG40,0)+IF(BH41-BG41&lt;0,BH41-BG41,0)+IF(BH42-BG42&lt;0,BH42-BG42,0)+IF(BH43-BG43&lt;0,BH43-BG43,0)+IF(BH44-BG44&lt;0,BH44-BG44,0)+IF(BH45-BG45&lt;0,BH45-BG45,0)+IF(BH46-BG46&lt;0,BH46-BG46,0)+IF(BH47-BG47&lt;0,BH47-BG47,0)+IF(BH48-BG48&lt;0,BH48-BG48,0)+IF(BH49-BG49&lt;0,BH49-BG49,0)+IF(BH50-BG50&lt;0,BH50-BG50,0)+IF(BH51-BG51&lt;0,BH51-BG51,0)+IF(BH52-BG52&lt;0,BH52-BG52,0)+IF(BH53-BG53&lt;0,BH53-BG53,0)+IF(BH54-BG54&lt;0,BH54-BG54,0)+IF(BH55-BG55&lt;0,BH55-BG55,0)+IF(BH56-BG56&lt;0,BH56-BG56,0)+IF(BH57-BG57&lt;0,BH57-BG57,0)+IF(BH58-BG58&lt;0,BH58-BG58,0)+IF(BH59-BG59&lt;0,BH59-BG59,0)+IF(BH60-BG60&lt;0,BH60-BG60,0)+IF(BH61-BG61&lt;0,BH61-BG61,0)+IF(BH62-BG62&lt;0,BH62-BG62,0)+IF(BH63-BG63&lt;0,BH63-BG63,0)+IF(BH64-BG64&lt;0,BH64-BG64,0)+IF(BH65-BG65&lt;0,BH65-BG65,0)+IF(BH5-BG5&lt;0,BH5-BG5,0)+IF(BH7-BG7&lt;0,BH7-BG7,0)+IF(BH10-BG10&lt;0,BH10-BG10,0)+IF(BH20-BG20&lt;0,BH20-BG20,0)+IF(BH21-BG21&lt;0,BH21-BG21,0)+IF(BH22-BG22&lt;0,BH22-BG22,0)</f>
        <v>0</v>
      </c>
      <c r="BI71" s="108">
        <f>IF(BI4-BD4&lt;0,BI4-BD4,0)+IF(BI6-BD6&lt;0,BI6-BD6,0)+IF(BI8-BD8&lt;0,BI8-BD8,0)+IF(BI9-BD9&lt;0,BI9-BD9,0)+IF(BI11-BD11&lt;0,BI11-BD11,0)+IF(BI12-BD12&lt;0,BI12-BD12,0)+IF(BI13-BD13&lt;0,BI13-BD13,0)+IF(BI14-BD14&lt;0,BI14-BD14,0)+IF(BI15-BD15&lt;0,BI15-BD15,0)+IF(BI16-BD16&lt;0,BI16-BD16,0)+IF(BI17-BD17&lt;0,BI17-BD17,0)+IF(BI18-BD18&lt;0,BI18-BD18,0)+IF(BI19-BD19&lt;0,BI19-BD19,0)+IF(BI23-BD23&lt;0,BI23-BD23,0)+IF(BI24-BD24&lt;0,BI24-BD24,0)+IF(BI25-BD25&lt;0,BI25-BD25,0)+IF(BI26-BD26&lt;0,BI26-BD26,0)+IF(BI27-BD27&lt;0,BI27-BD27,0)+IF(BI28-BD28&lt;0,BI28-BD28,0)+IF(BI29-BD29&lt;0,BI29-BD29,0)+IF(BI30-BD30&lt;0,BI30-BD30,0)+IF(BI31-BD31&lt;0,BI31-BD31,0)+IF(BI32-BD32&lt;0,BI32-BD32,0)+IF(BI33-BD33&lt;0,BI33-BD33,0)+IF(BI34-BD34&lt;0,BI34-BD34,0)+IF(BI35-BD35&lt;0,BI35-BD35,0)+IF(BI36-BD36&lt;0,BI36-BD36,0)+IF(BI37-BD37&lt;0,BI37-BD37,0)+IF(BI38-BD38&lt;0,BI38-BD38,0)+IF(BI39-BD39&lt;0,BI39-BD39,0)+IF(BI40-BD40&lt;0,BI40-BD40,0)+IF(BI41-BD41&lt;0,BI41-BD41,0)+IF(BI42-BD42&lt;0,BI42-BD42,0)+IF(BI43-BD43&lt;0,BI43-BD43,0)+IF(BI44-BD44&lt;0,BI44-BD44,0)+IF(BI45-BD45&lt;0,BI45-BD45,0)+IF(BI46-BD46&lt;0,BI46-BD46,0)+IF(BI47-BD47&lt;0,BI47-BD47,0)+IF(BI48-BD48&lt;0,BI48-BD48,0)+IF(BI49-BD49&lt;0,BI49-BD49,0)+IF(BI50-BD50&lt;0,BI50-BD50,0)+IF(BI51-BD51&lt;0,BI51-BD51,0)+IF(BI52-BD52&lt;0,BI52-BD52,0)+IF(BI53-BD53&lt;0,BI53-BD53,0)+IF(BI54-BD54&lt;0,BI54-BD54,0)+IF(BI55-BD55&lt;0,BI55-BD55,0)+IF(BI56-BD56&lt;0,BI56-BD56,0)+IF(BI57-BD57&lt;0,BI57-BD57,0)+IF(BI58-BD58&lt;0,BI58-BD58,0)+IF(BI59-BD59&lt;0,BI59-BD59,0)+IF(BI60-BD60&lt;0,BI60-BD60,0)+IF(BI61-BD61&lt;0,BI61-BD61,0)+IF(BI62-BD62&lt;0,BI62-BD62,0)+IF(BI63-BD63&lt;0,BI63-BD63,0)+IF(BI64-BD64&lt;0,BI64-BD64,0)+IF(BI5-BD5&lt;0,BI5-BD5,0)+IF(BI7-BD7&lt;0,BI7-BD7,0)+IF(BI10-BD10&lt;0,BI10-BD10,0)+IF(BI65-BD65&lt;0,BI65-BD65,0)+IF(BI20-BD20&lt;0,BI20-BD20,0)+IF(BI21-BD21&lt;0,BI21-BD21,0)+IF(BI22-BD22&lt;0,BI22-BD22,0)</f>
        <v>-4450</v>
      </c>
    </row>
    <row r="72" spans="1:62" s="26" customFormat="1">
      <c r="A72" s="12" t="s">
        <v>201</v>
      </c>
      <c r="E72" s="97"/>
      <c r="F72" s="108"/>
      <c r="J72" s="97"/>
      <c r="K72" s="108"/>
      <c r="O72" s="97"/>
      <c r="P72" s="108"/>
      <c r="Q72" s="95">
        <f t="shared" ref="Q72:AN72" si="84">Q71+Q70</f>
        <v>1335</v>
      </c>
      <c r="R72" s="95">
        <f t="shared" si="84"/>
        <v>-334</v>
      </c>
      <c r="S72" s="95">
        <f t="shared" si="84"/>
        <v>-242</v>
      </c>
      <c r="T72" s="95">
        <f t="shared" si="84"/>
        <v>1971</v>
      </c>
      <c r="U72" s="96">
        <f t="shared" si="84"/>
        <v>3066</v>
      </c>
      <c r="V72" s="95">
        <f t="shared" si="84"/>
        <v>897</v>
      </c>
      <c r="W72" s="95">
        <f t="shared" si="84"/>
        <v>4472.0000000000018</v>
      </c>
      <c r="X72" s="95">
        <f t="shared" si="84"/>
        <v>5435.9999999999964</v>
      </c>
      <c r="Y72" s="95">
        <f t="shared" si="84"/>
        <v>2649.9999999999959</v>
      </c>
      <c r="Z72" s="96">
        <f t="shared" si="84"/>
        <v>14092.716999999999</v>
      </c>
      <c r="AA72" s="95">
        <f t="shared" si="84"/>
        <v>11625.000000000005</v>
      </c>
      <c r="AB72" s="95">
        <f t="shared" si="84"/>
        <v>22452</v>
      </c>
      <c r="AC72" s="95">
        <f t="shared" si="84"/>
        <v>-420</v>
      </c>
      <c r="AD72" s="95">
        <f>AD71+AD70</f>
        <v>2624</v>
      </c>
      <c r="AE72" s="96">
        <f t="shared" si="84"/>
        <v>36281</v>
      </c>
      <c r="AF72" s="95">
        <f t="shared" si="84"/>
        <v>-8</v>
      </c>
      <c r="AG72" s="95">
        <f>AG71+AG70</f>
        <v>-16</v>
      </c>
      <c r="AH72" s="95">
        <f>AH71+AH70</f>
        <v>-1140</v>
      </c>
      <c r="AI72" s="95">
        <f>AI71+AI70</f>
        <v>-4317</v>
      </c>
      <c r="AJ72" s="96">
        <f t="shared" si="84"/>
        <v>7625</v>
      </c>
      <c r="AK72" s="95">
        <f t="shared" si="84"/>
        <v>-361</v>
      </c>
      <c r="AL72" s="95">
        <f t="shared" si="84"/>
        <v>-541</v>
      </c>
      <c r="AM72" s="95">
        <f t="shared" si="84"/>
        <v>19</v>
      </c>
      <c r="AN72" s="95">
        <f t="shared" si="84"/>
        <v>-218</v>
      </c>
      <c r="AO72" s="96">
        <f>AO71+AO70</f>
        <v>-1101</v>
      </c>
      <c r="AP72" s="95">
        <f t="shared" ref="AP72:AS72" si="85">AP71+AP70</f>
        <v>-1610</v>
      </c>
      <c r="AQ72" s="95">
        <f t="shared" si="85"/>
        <v>-3123</v>
      </c>
      <c r="AR72" s="95">
        <f t="shared" si="85"/>
        <v>4</v>
      </c>
      <c r="AS72" s="95">
        <f t="shared" si="85"/>
        <v>35</v>
      </c>
      <c r="AT72" s="96">
        <f>AT71+AT70</f>
        <v>-3369</v>
      </c>
      <c r="AU72" s="95">
        <f t="shared" ref="AU72:AW72" si="86">AU71+AU70</f>
        <v>-4367</v>
      </c>
      <c r="AV72" s="95">
        <f t="shared" si="86"/>
        <v>9987</v>
      </c>
      <c r="AW72" s="95">
        <f t="shared" si="86"/>
        <v>-277</v>
      </c>
      <c r="AX72" s="95">
        <f t="shared" ref="AX72" si="87">AX71+AX70</f>
        <v>-3786</v>
      </c>
      <c r="AY72" s="96">
        <f>AY71+AY70</f>
        <v>1557</v>
      </c>
      <c r="AZ72" s="95">
        <f>AZ71+AZ70</f>
        <v>-246</v>
      </c>
      <c r="BA72" s="95">
        <f t="shared" ref="BA72:BC72" si="88">BA71+BA70</f>
        <v>-295</v>
      </c>
      <c r="BB72" s="95">
        <f t="shared" si="88"/>
        <v>30</v>
      </c>
      <c r="BC72" s="95">
        <f t="shared" si="88"/>
        <v>745</v>
      </c>
      <c r="BD72" s="96">
        <f>BD71+BD70</f>
        <v>234</v>
      </c>
      <c r="BE72" s="95">
        <f t="shared" ref="BE72:BG72" si="89">BE71+BE70</f>
        <v>-550</v>
      </c>
      <c r="BF72" s="95">
        <f t="shared" si="89"/>
        <v>-2600</v>
      </c>
      <c r="BG72" s="95">
        <f t="shared" si="89"/>
        <v>-1300</v>
      </c>
      <c r="BH72" s="95">
        <f t="shared" ref="BH72" si="90">BH71+BH70</f>
        <v>0</v>
      </c>
      <c r="BI72" s="96">
        <f>BI71+BI70</f>
        <v>-4450</v>
      </c>
    </row>
    <row r="73" spans="1:62" s="26" customFormat="1">
      <c r="A73" s="12"/>
      <c r="E73" s="97"/>
      <c r="F73" s="108"/>
      <c r="J73" s="97"/>
      <c r="K73" s="108"/>
      <c r="O73" s="97"/>
      <c r="P73" s="108"/>
      <c r="T73" s="97"/>
      <c r="U73" s="108"/>
      <c r="Y73" s="97"/>
      <c r="Z73" s="108"/>
      <c r="AE73" s="27"/>
      <c r="AJ73" s="27"/>
      <c r="AO73" s="27"/>
      <c r="AT73" s="27"/>
      <c r="AY73" s="27"/>
      <c r="BD73" s="27"/>
      <c r="BI73" s="27"/>
    </row>
    <row r="74" spans="1:62" s="26" customFormat="1">
      <c r="A74" s="9" t="s">
        <v>202</v>
      </c>
      <c r="B74" s="120"/>
      <c r="C74" s="120"/>
      <c r="D74" s="120"/>
      <c r="E74" s="120"/>
      <c r="F74" s="121"/>
      <c r="G74" s="120"/>
      <c r="H74" s="120"/>
      <c r="I74" s="120"/>
      <c r="J74" s="120"/>
      <c r="K74" s="121"/>
      <c r="L74" s="120"/>
      <c r="M74" s="120"/>
      <c r="N74" s="120"/>
      <c r="O74" s="120"/>
      <c r="P74" s="121"/>
      <c r="Q74" s="120"/>
      <c r="R74" s="120"/>
      <c r="S74" s="120"/>
      <c r="T74" s="120"/>
      <c r="U74" s="121"/>
      <c r="V74" s="120"/>
      <c r="W74" s="120"/>
      <c r="X74" s="120"/>
      <c r="Y74" s="120"/>
      <c r="Z74" s="121"/>
      <c r="AA74" s="120"/>
      <c r="AB74" s="120"/>
      <c r="AC74" s="120"/>
      <c r="AD74" s="120"/>
      <c r="AE74" s="121"/>
      <c r="AF74" s="120"/>
      <c r="AG74" s="120"/>
      <c r="AH74" s="120"/>
      <c r="AI74" s="120"/>
      <c r="AJ74" s="121"/>
      <c r="AK74" s="120"/>
      <c r="AL74" s="120"/>
      <c r="AM74" s="120"/>
      <c r="AN74" s="120"/>
      <c r="AO74" s="121"/>
      <c r="AP74" s="120"/>
      <c r="AQ74" s="120"/>
      <c r="AR74" s="120"/>
      <c r="AS74" s="120"/>
      <c r="AT74" s="121"/>
      <c r="AU74" s="120"/>
      <c r="AV74" s="120"/>
      <c r="AW74" s="120"/>
      <c r="AX74" s="120"/>
      <c r="AY74" s="121"/>
      <c r="AZ74" s="120"/>
      <c r="BA74" s="120"/>
      <c r="BB74" s="120"/>
      <c r="BC74" s="120"/>
      <c r="BD74" s="121"/>
      <c r="BE74" s="120"/>
      <c r="BF74" s="120"/>
      <c r="BG74" s="120"/>
      <c r="BH74" s="120"/>
      <c r="BI74" s="121"/>
    </row>
    <row r="75" spans="1:62" s="26" customFormat="1">
      <c r="A75" s="3" t="s">
        <v>354</v>
      </c>
      <c r="B75" s="211"/>
      <c r="C75" s="211"/>
      <c r="D75" s="211"/>
      <c r="E75" s="32"/>
      <c r="F75" s="212"/>
      <c r="G75" s="211"/>
      <c r="H75" s="211"/>
      <c r="I75" s="211"/>
      <c r="J75" s="32"/>
      <c r="K75" s="212"/>
      <c r="L75" s="211"/>
      <c r="M75" s="211"/>
      <c r="N75" s="211"/>
      <c r="O75" s="32"/>
      <c r="P75" s="212">
        <v>9.4999999999999998E-3</v>
      </c>
      <c r="Q75" s="32">
        <f t="shared" ref="Q75:T96" si="91">R75</f>
        <v>9.4999999999999998E-3</v>
      </c>
      <c r="R75" s="32">
        <f t="shared" si="91"/>
        <v>9.4999999999999998E-3</v>
      </c>
      <c r="S75" s="32">
        <f t="shared" si="91"/>
        <v>9.4999999999999998E-3</v>
      </c>
      <c r="T75" s="32">
        <f>U75</f>
        <v>9.4999999999999998E-3</v>
      </c>
      <c r="U75" s="212">
        <v>9.4999999999999998E-3</v>
      </c>
      <c r="V75" s="32">
        <f t="shared" ref="V75:Y96" si="92">W75</f>
        <v>9.4999999999999998E-3</v>
      </c>
      <c r="W75" s="32">
        <f t="shared" si="92"/>
        <v>9.4999999999999998E-3</v>
      </c>
      <c r="X75" s="32">
        <f t="shared" si="92"/>
        <v>9.4999999999999998E-3</v>
      </c>
      <c r="Y75" s="32">
        <f t="shared" si="92"/>
        <v>9.4999999999999998E-3</v>
      </c>
      <c r="Z75" s="212">
        <v>9.4999999999999998E-3</v>
      </c>
      <c r="AA75" s="32">
        <f>AB75</f>
        <v>9.4999999999999998E-3</v>
      </c>
      <c r="AB75" s="32">
        <f>AC75</f>
        <v>9.4999999999999998E-3</v>
      </c>
      <c r="AC75" s="32">
        <f>AD75</f>
        <v>9.4999999999999998E-3</v>
      </c>
      <c r="AD75" s="32">
        <f>AE75</f>
        <v>9.4999999999999998E-3</v>
      </c>
      <c r="AE75" s="212">
        <v>9.4999999999999998E-3</v>
      </c>
      <c r="AF75" s="32">
        <f>AG75</f>
        <v>9.4999999999999998E-3</v>
      </c>
      <c r="AG75" s="32">
        <f>AH75</f>
        <v>9.4999999999999998E-3</v>
      </c>
      <c r="AH75" s="32">
        <f>AI75</f>
        <v>9.4999999999999998E-3</v>
      </c>
      <c r="AI75" s="32">
        <f>AJ75</f>
        <v>9.4999999999999998E-3</v>
      </c>
      <c r="AJ75" s="212">
        <v>9.4999999999999998E-3</v>
      </c>
      <c r="AK75" s="32">
        <f>AL75</f>
        <v>9.4999999999999998E-3</v>
      </c>
      <c r="AL75" s="32">
        <f>AM75</f>
        <v>9.4999999999999998E-3</v>
      </c>
      <c r="AM75" s="32">
        <f>AN75</f>
        <v>9.4999999999999998E-3</v>
      </c>
      <c r="AN75" s="32">
        <f>AO75</f>
        <v>9.4999999999999998E-3</v>
      </c>
      <c r="AO75" s="212">
        <v>9.4999999999999998E-3</v>
      </c>
      <c r="AP75" s="32">
        <f>AQ75</f>
        <v>9.4999999999999998E-3</v>
      </c>
      <c r="AQ75" s="32">
        <f>AR75</f>
        <v>9.4999999999999998E-3</v>
      </c>
      <c r="AR75" s="32">
        <f>AS75</f>
        <v>9.4999999999999998E-3</v>
      </c>
      <c r="AS75" s="32">
        <f>AT75</f>
        <v>9.4999999999999998E-3</v>
      </c>
      <c r="AT75" s="212">
        <v>9.4999999999999998E-3</v>
      </c>
      <c r="AU75" s="211">
        <f>AT75</f>
        <v>9.4999999999999998E-3</v>
      </c>
      <c r="AV75" s="211">
        <f t="shared" ref="AV75:AY75" si="93">AU75</f>
        <v>9.4999999999999998E-3</v>
      </c>
      <c r="AW75" s="211">
        <f t="shared" si="93"/>
        <v>9.4999999999999998E-3</v>
      </c>
      <c r="AX75" s="211">
        <f t="shared" si="93"/>
        <v>9.4999999999999998E-3</v>
      </c>
      <c r="AY75" s="212">
        <f t="shared" si="93"/>
        <v>9.4999999999999998E-3</v>
      </c>
      <c r="AZ75" s="211">
        <f>AY75</f>
        <v>9.4999999999999998E-3</v>
      </c>
      <c r="BA75" s="211">
        <f t="shared" ref="BA75:BA135" si="94">AZ75</f>
        <v>9.4999999999999998E-3</v>
      </c>
      <c r="BB75" s="211">
        <f t="shared" ref="BB75:BB135" si="95">BA75</f>
        <v>9.4999999999999998E-3</v>
      </c>
      <c r="BC75" s="211">
        <f t="shared" ref="BC75:BC135" si="96">BB75</f>
        <v>9.4999999999999998E-3</v>
      </c>
      <c r="BD75" s="212">
        <f t="shared" ref="BD75:BD135" si="97">BC75</f>
        <v>9.4999999999999998E-3</v>
      </c>
      <c r="BE75" s="211">
        <f t="shared" ref="BE75:BE135" si="98">BD75</f>
        <v>9.4999999999999998E-3</v>
      </c>
      <c r="BF75" s="211">
        <f t="shared" ref="BF75:BF135" si="99">BE75</f>
        <v>9.4999999999999998E-3</v>
      </c>
      <c r="BG75" s="211">
        <f t="shared" ref="BG75:BG135" si="100">BF75</f>
        <v>9.4999999999999998E-3</v>
      </c>
      <c r="BH75" s="211">
        <f t="shared" ref="BH75:BH135" si="101">BG75</f>
        <v>9.4999999999999998E-3</v>
      </c>
      <c r="BI75" s="212">
        <f t="shared" ref="BI75:BI135" si="102">BH75</f>
        <v>9.4999999999999998E-3</v>
      </c>
    </row>
    <row r="76" spans="1:62" s="26" customFormat="1">
      <c r="A76" s="3" t="s">
        <v>585</v>
      </c>
      <c r="B76" s="211"/>
      <c r="C76" s="211"/>
      <c r="D76" s="211"/>
      <c r="E76" s="32"/>
      <c r="F76" s="212"/>
      <c r="G76" s="211"/>
      <c r="H76" s="211"/>
      <c r="I76" s="211"/>
      <c r="J76" s="32"/>
      <c r="K76" s="212"/>
      <c r="L76" s="211"/>
      <c r="M76" s="211"/>
      <c r="N76" s="211"/>
      <c r="O76" s="32"/>
      <c r="P76" s="212"/>
      <c r="Q76" s="32"/>
      <c r="R76" s="32"/>
      <c r="S76" s="32"/>
      <c r="T76" s="32"/>
      <c r="U76" s="212"/>
      <c r="V76" s="32"/>
      <c r="W76" s="32"/>
      <c r="X76" s="32"/>
      <c r="Y76" s="32"/>
      <c r="Z76" s="212"/>
      <c r="AA76" s="32"/>
      <c r="AB76" s="32"/>
      <c r="AC76" s="32"/>
      <c r="AD76" s="32"/>
      <c r="AE76" s="212"/>
      <c r="AF76" s="211">
        <v>1.4330000000000001E-2</v>
      </c>
      <c r="AG76" s="32">
        <f>AF76</f>
        <v>1.4330000000000001E-2</v>
      </c>
      <c r="AH76" s="32">
        <f>AG76</f>
        <v>1.4330000000000001E-2</v>
      </c>
      <c r="AI76" s="32">
        <f>AH76</f>
        <v>1.4330000000000001E-2</v>
      </c>
      <c r="AJ76" s="212">
        <f>AI76</f>
        <v>1.4330000000000001E-2</v>
      </c>
      <c r="AK76" s="32">
        <f t="shared" ref="AK76:AO77" si="103">AJ76</f>
        <v>1.4330000000000001E-2</v>
      </c>
      <c r="AL76" s="32">
        <f t="shared" si="103"/>
        <v>1.4330000000000001E-2</v>
      </c>
      <c r="AM76" s="32">
        <f t="shared" si="103"/>
        <v>1.4330000000000001E-2</v>
      </c>
      <c r="AN76" s="32">
        <f t="shared" si="103"/>
        <v>1.4330000000000001E-2</v>
      </c>
      <c r="AO76" s="212">
        <f>AN76</f>
        <v>1.4330000000000001E-2</v>
      </c>
      <c r="AP76" s="32">
        <f t="shared" ref="AP76:AP129" si="104">AO76</f>
        <v>1.4330000000000001E-2</v>
      </c>
      <c r="AQ76" s="32">
        <f t="shared" ref="AQ76:AQ129" si="105">AP76</f>
        <v>1.4330000000000001E-2</v>
      </c>
      <c r="AR76" s="32">
        <f t="shared" ref="AR76:AR129" si="106">AQ76</f>
        <v>1.4330000000000001E-2</v>
      </c>
      <c r="AS76" s="32">
        <f t="shared" ref="AS76:AS129" si="107">AR76</f>
        <v>1.4330000000000001E-2</v>
      </c>
      <c r="AT76" s="212">
        <f>AS76</f>
        <v>1.4330000000000001E-2</v>
      </c>
      <c r="AU76" s="211">
        <f>AT76</f>
        <v>1.4330000000000001E-2</v>
      </c>
      <c r="AV76" s="211">
        <f t="shared" ref="AV76:AY76" si="108">AU76</f>
        <v>1.4330000000000001E-2</v>
      </c>
      <c r="AW76" s="211">
        <f t="shared" si="108"/>
        <v>1.4330000000000001E-2</v>
      </c>
      <c r="AX76" s="211">
        <f t="shared" si="108"/>
        <v>1.4330000000000001E-2</v>
      </c>
      <c r="AY76" s="212">
        <f t="shared" si="108"/>
        <v>1.4330000000000001E-2</v>
      </c>
      <c r="AZ76" s="211">
        <f>AY76</f>
        <v>1.4330000000000001E-2</v>
      </c>
      <c r="BA76" s="211">
        <f t="shared" si="94"/>
        <v>1.4330000000000001E-2</v>
      </c>
      <c r="BB76" s="211">
        <f t="shared" si="95"/>
        <v>1.4330000000000001E-2</v>
      </c>
      <c r="BC76" s="211">
        <f t="shared" si="96"/>
        <v>1.4330000000000001E-2</v>
      </c>
      <c r="BD76" s="212">
        <f t="shared" si="97"/>
        <v>1.4330000000000001E-2</v>
      </c>
      <c r="BE76" s="211">
        <f t="shared" si="98"/>
        <v>1.4330000000000001E-2</v>
      </c>
      <c r="BF76" s="211">
        <f t="shared" si="99"/>
        <v>1.4330000000000001E-2</v>
      </c>
      <c r="BG76" s="211">
        <f t="shared" si="100"/>
        <v>1.4330000000000001E-2</v>
      </c>
      <c r="BH76" s="211">
        <f t="shared" si="101"/>
        <v>1.4330000000000001E-2</v>
      </c>
      <c r="BI76" s="212">
        <f t="shared" si="102"/>
        <v>1.4330000000000001E-2</v>
      </c>
    </row>
    <row r="77" spans="1:62" s="26" customFormat="1">
      <c r="A77" s="3" t="s">
        <v>355</v>
      </c>
      <c r="B77" s="211"/>
      <c r="C77" s="211"/>
      <c r="D77" s="211"/>
      <c r="E77" s="32"/>
      <c r="F77" s="212"/>
      <c r="G77" s="211"/>
      <c r="H77" s="211"/>
      <c r="I77" s="211"/>
      <c r="J77" s="32"/>
      <c r="K77" s="212"/>
      <c r="L77" s="211"/>
      <c r="M77" s="211"/>
      <c r="N77" s="211"/>
      <c r="O77" s="32"/>
      <c r="P77" s="212">
        <v>1.6500000000000001E-2</v>
      </c>
      <c r="Q77" s="32">
        <f t="shared" si="91"/>
        <v>1.6500000000000001E-2</v>
      </c>
      <c r="R77" s="32">
        <f t="shared" si="91"/>
        <v>1.6500000000000001E-2</v>
      </c>
      <c r="S77" s="32">
        <f t="shared" si="91"/>
        <v>1.6500000000000001E-2</v>
      </c>
      <c r="T77" s="32">
        <f>U77</f>
        <v>1.6500000000000001E-2</v>
      </c>
      <c r="U77" s="212">
        <v>1.6500000000000001E-2</v>
      </c>
      <c r="V77" s="32">
        <f t="shared" si="92"/>
        <v>1.6500000000000001E-2</v>
      </c>
      <c r="W77" s="32">
        <f t="shared" si="92"/>
        <v>1.6500000000000001E-2</v>
      </c>
      <c r="X77" s="32">
        <f t="shared" si="92"/>
        <v>1.6500000000000001E-2</v>
      </c>
      <c r="Y77" s="32">
        <f>Z77</f>
        <v>1.6500000000000001E-2</v>
      </c>
      <c r="Z77" s="212">
        <v>1.6500000000000001E-2</v>
      </c>
      <c r="AA77" s="32">
        <f>Z77</f>
        <v>1.6500000000000001E-2</v>
      </c>
      <c r="AB77" s="211">
        <f t="shared" ref="AB77:AJ77" si="109">AA77</f>
        <v>1.6500000000000001E-2</v>
      </c>
      <c r="AC77" s="211">
        <f t="shared" si="109"/>
        <v>1.6500000000000001E-2</v>
      </c>
      <c r="AD77" s="211">
        <f t="shared" si="109"/>
        <v>1.6500000000000001E-2</v>
      </c>
      <c r="AE77" s="212">
        <f t="shared" si="109"/>
        <v>1.6500000000000001E-2</v>
      </c>
      <c r="AF77" s="211">
        <f t="shared" si="109"/>
        <v>1.6500000000000001E-2</v>
      </c>
      <c r="AG77" s="211">
        <f t="shared" si="109"/>
        <v>1.6500000000000001E-2</v>
      </c>
      <c r="AH77" s="211">
        <f t="shared" si="109"/>
        <v>1.6500000000000001E-2</v>
      </c>
      <c r="AI77" s="211">
        <f t="shared" si="109"/>
        <v>1.6500000000000001E-2</v>
      </c>
      <c r="AJ77" s="212">
        <f t="shared" si="109"/>
        <v>1.6500000000000001E-2</v>
      </c>
      <c r="AK77" s="211">
        <f t="shared" si="103"/>
        <v>1.6500000000000001E-2</v>
      </c>
      <c r="AL77" s="211">
        <f t="shared" si="103"/>
        <v>1.6500000000000001E-2</v>
      </c>
      <c r="AM77" s="211">
        <f t="shared" si="103"/>
        <v>1.6500000000000001E-2</v>
      </c>
      <c r="AN77" s="211">
        <f t="shared" si="103"/>
        <v>1.6500000000000001E-2</v>
      </c>
      <c r="AO77" s="212">
        <f t="shared" si="103"/>
        <v>1.6500000000000001E-2</v>
      </c>
      <c r="AP77" s="211">
        <f t="shared" si="104"/>
        <v>1.6500000000000001E-2</v>
      </c>
      <c r="AQ77" s="211">
        <f t="shared" si="105"/>
        <v>1.6500000000000001E-2</v>
      </c>
      <c r="AR77" s="211">
        <f t="shared" si="106"/>
        <v>1.6500000000000001E-2</v>
      </c>
      <c r="AS77" s="211">
        <f t="shared" si="107"/>
        <v>1.6500000000000001E-2</v>
      </c>
      <c r="AT77" s="212">
        <f t="shared" ref="AT77:AU77" si="110">AS77</f>
        <v>1.6500000000000001E-2</v>
      </c>
      <c r="AU77" s="211">
        <f t="shared" si="110"/>
        <v>1.6500000000000001E-2</v>
      </c>
      <c r="AV77" s="211">
        <f t="shared" ref="AV77" si="111">AU77</f>
        <v>1.6500000000000001E-2</v>
      </c>
      <c r="AW77" s="211">
        <f t="shared" ref="AW77" si="112">AV77</f>
        <v>1.6500000000000001E-2</v>
      </c>
      <c r="AX77" s="211">
        <f t="shared" ref="AX77" si="113">AW77</f>
        <v>1.6500000000000001E-2</v>
      </c>
      <c r="AY77" s="212">
        <f t="shared" ref="AY77" si="114">AX77</f>
        <v>1.6500000000000001E-2</v>
      </c>
      <c r="AZ77" s="211">
        <f t="shared" ref="AZ77:AZ134" si="115">AY77</f>
        <v>1.6500000000000001E-2</v>
      </c>
      <c r="BA77" s="211">
        <f t="shared" si="94"/>
        <v>1.6500000000000001E-2</v>
      </c>
      <c r="BB77" s="211">
        <f t="shared" si="95"/>
        <v>1.6500000000000001E-2</v>
      </c>
      <c r="BC77" s="211">
        <f t="shared" si="96"/>
        <v>1.6500000000000001E-2</v>
      </c>
      <c r="BD77" s="212">
        <f t="shared" si="97"/>
        <v>1.6500000000000001E-2</v>
      </c>
      <c r="BE77" s="211">
        <f t="shared" si="98"/>
        <v>1.6500000000000001E-2</v>
      </c>
      <c r="BF77" s="211">
        <f t="shared" si="99"/>
        <v>1.6500000000000001E-2</v>
      </c>
      <c r="BG77" s="211">
        <f t="shared" si="100"/>
        <v>1.6500000000000001E-2</v>
      </c>
      <c r="BH77" s="211">
        <f t="shared" si="101"/>
        <v>1.6500000000000001E-2</v>
      </c>
      <c r="BI77" s="212">
        <f t="shared" si="102"/>
        <v>1.6500000000000001E-2</v>
      </c>
    </row>
    <row r="78" spans="1:62" s="26" customFormat="1">
      <c r="A78" s="428" t="s">
        <v>586</v>
      </c>
      <c r="B78" s="211"/>
      <c r="C78" s="211"/>
      <c r="D78" s="211"/>
      <c r="E78" s="32"/>
      <c r="F78" s="212"/>
      <c r="G78" s="211"/>
      <c r="H78" s="211"/>
      <c r="I78" s="211"/>
      <c r="J78" s="32"/>
      <c r="K78" s="212"/>
      <c r="L78" s="211"/>
      <c r="M78" s="211"/>
      <c r="N78" s="211"/>
      <c r="O78" s="32"/>
      <c r="P78" s="212"/>
      <c r="Q78" s="32"/>
      <c r="R78" s="32"/>
      <c r="S78" s="32"/>
      <c r="T78" s="32"/>
      <c r="U78" s="212"/>
      <c r="V78" s="32"/>
      <c r="W78" s="32"/>
      <c r="X78" s="32"/>
      <c r="Y78" s="32"/>
      <c r="Z78" s="212"/>
      <c r="AA78" s="32"/>
      <c r="AB78" s="211"/>
      <c r="AC78" s="211"/>
      <c r="AD78" s="211"/>
      <c r="AE78" s="212"/>
      <c r="AF78" s="211">
        <v>1.167E-2</v>
      </c>
      <c r="AG78" s="211">
        <f>AF78</f>
        <v>1.167E-2</v>
      </c>
      <c r="AH78" s="211">
        <f>AG78</f>
        <v>1.167E-2</v>
      </c>
      <c r="AI78" s="211">
        <f>AH78</f>
        <v>1.167E-2</v>
      </c>
      <c r="AJ78" s="212">
        <f>AI78</f>
        <v>1.167E-2</v>
      </c>
      <c r="AK78" s="211">
        <f t="shared" ref="AK78:AO93" si="116">AJ78</f>
        <v>1.167E-2</v>
      </c>
      <c r="AL78" s="211">
        <f t="shared" si="116"/>
        <v>1.167E-2</v>
      </c>
      <c r="AM78" s="211">
        <f t="shared" si="116"/>
        <v>1.167E-2</v>
      </c>
      <c r="AN78" s="211">
        <f t="shared" si="116"/>
        <v>1.167E-2</v>
      </c>
      <c r="AO78" s="212">
        <f>AN78</f>
        <v>1.167E-2</v>
      </c>
      <c r="AP78" s="211">
        <f t="shared" si="104"/>
        <v>1.167E-2</v>
      </c>
      <c r="AQ78" s="211">
        <f t="shared" si="105"/>
        <v>1.167E-2</v>
      </c>
      <c r="AR78" s="211">
        <f t="shared" si="106"/>
        <v>1.167E-2</v>
      </c>
      <c r="AS78" s="211">
        <f t="shared" si="107"/>
        <v>1.167E-2</v>
      </c>
      <c r="AT78" s="212">
        <f>AS78</f>
        <v>1.167E-2</v>
      </c>
      <c r="AU78" s="211">
        <f t="shared" ref="AU78:AU135" si="117">AT78</f>
        <v>1.167E-2</v>
      </c>
      <c r="AV78" s="211">
        <f t="shared" ref="AV78:AV134" si="118">AU78</f>
        <v>1.167E-2</v>
      </c>
      <c r="AW78" s="211">
        <f t="shared" ref="AW78:AW135" si="119">AV78</f>
        <v>1.167E-2</v>
      </c>
      <c r="AX78" s="211">
        <f t="shared" ref="AX78:AX135" si="120">AW78</f>
        <v>1.167E-2</v>
      </c>
      <c r="AY78" s="212">
        <f t="shared" ref="AY78:AY135" si="121">AX78</f>
        <v>1.167E-2</v>
      </c>
      <c r="AZ78" s="211">
        <f t="shared" si="115"/>
        <v>1.167E-2</v>
      </c>
      <c r="BA78" s="211">
        <f t="shared" si="94"/>
        <v>1.167E-2</v>
      </c>
      <c r="BB78" s="211">
        <f t="shared" si="95"/>
        <v>1.167E-2</v>
      </c>
      <c r="BC78" s="211">
        <f t="shared" si="96"/>
        <v>1.167E-2</v>
      </c>
      <c r="BD78" s="212">
        <f t="shared" si="97"/>
        <v>1.167E-2</v>
      </c>
      <c r="BE78" s="211">
        <f t="shared" si="98"/>
        <v>1.167E-2</v>
      </c>
      <c r="BF78" s="211">
        <f t="shared" si="99"/>
        <v>1.167E-2</v>
      </c>
      <c r="BG78" s="211">
        <f t="shared" si="100"/>
        <v>1.167E-2</v>
      </c>
      <c r="BH78" s="211">
        <f t="shared" si="101"/>
        <v>1.167E-2</v>
      </c>
      <c r="BI78" s="212">
        <f t="shared" si="102"/>
        <v>1.167E-2</v>
      </c>
    </row>
    <row r="79" spans="1:62" s="26" customFormat="1">
      <c r="A79" s="3" t="s">
        <v>356</v>
      </c>
      <c r="B79" s="211"/>
      <c r="C79" s="211"/>
      <c r="D79" s="211"/>
      <c r="E79" s="32"/>
      <c r="F79" s="212"/>
      <c r="G79" s="211"/>
      <c r="H79" s="211"/>
      <c r="I79" s="211"/>
      <c r="J79" s="32"/>
      <c r="K79" s="212"/>
      <c r="L79" s="211"/>
      <c r="M79" s="211"/>
      <c r="N79" s="211"/>
      <c r="O79" s="32"/>
      <c r="P79" s="212">
        <v>1.8749999999999999E-2</v>
      </c>
      <c r="Q79" s="32">
        <f t="shared" si="91"/>
        <v>1.8749999999999999E-2</v>
      </c>
      <c r="R79" s="32">
        <f t="shared" si="91"/>
        <v>1.8749999999999999E-2</v>
      </c>
      <c r="S79" s="32">
        <f t="shared" si="91"/>
        <v>1.8749999999999999E-2</v>
      </c>
      <c r="T79" s="32">
        <f t="shared" si="91"/>
        <v>1.8749999999999999E-2</v>
      </c>
      <c r="U79" s="212">
        <v>1.8749999999999999E-2</v>
      </c>
      <c r="V79" s="32">
        <f t="shared" si="92"/>
        <v>1.8749999999999999E-2</v>
      </c>
      <c r="W79" s="32">
        <f t="shared" si="92"/>
        <v>1.8749999999999999E-2</v>
      </c>
      <c r="X79" s="32">
        <f t="shared" si="92"/>
        <v>1.8749999999999999E-2</v>
      </c>
      <c r="Y79" s="32">
        <f t="shared" si="92"/>
        <v>1.8749999999999999E-2</v>
      </c>
      <c r="Z79" s="212">
        <v>1.8749999999999999E-2</v>
      </c>
      <c r="AA79" s="32">
        <f t="shared" ref="AA79:AJ108" si="122">Z79</f>
        <v>1.8749999999999999E-2</v>
      </c>
      <c r="AB79" s="211">
        <f t="shared" si="122"/>
        <v>1.8749999999999999E-2</v>
      </c>
      <c r="AC79" s="211">
        <f t="shared" si="122"/>
        <v>1.8749999999999999E-2</v>
      </c>
      <c r="AD79" s="211">
        <f t="shared" si="122"/>
        <v>1.8749999999999999E-2</v>
      </c>
      <c r="AE79" s="212">
        <f t="shared" si="122"/>
        <v>1.8749999999999999E-2</v>
      </c>
      <c r="AF79" s="211">
        <f t="shared" si="122"/>
        <v>1.8749999999999999E-2</v>
      </c>
      <c r="AG79" s="211">
        <f t="shared" si="122"/>
        <v>1.8749999999999999E-2</v>
      </c>
      <c r="AH79" s="211">
        <f t="shared" si="122"/>
        <v>1.8749999999999999E-2</v>
      </c>
      <c r="AI79" s="211">
        <f t="shared" si="122"/>
        <v>1.8749999999999999E-2</v>
      </c>
      <c r="AJ79" s="212">
        <f t="shared" si="122"/>
        <v>1.8749999999999999E-2</v>
      </c>
      <c r="AK79" s="211">
        <f t="shared" si="116"/>
        <v>1.8749999999999999E-2</v>
      </c>
      <c r="AL79" s="211">
        <f t="shared" si="116"/>
        <v>1.8749999999999999E-2</v>
      </c>
      <c r="AM79" s="211">
        <f t="shared" si="116"/>
        <v>1.8749999999999999E-2</v>
      </c>
      <c r="AN79" s="211">
        <f t="shared" si="116"/>
        <v>1.8749999999999999E-2</v>
      </c>
      <c r="AO79" s="212">
        <f t="shared" si="116"/>
        <v>1.8749999999999999E-2</v>
      </c>
      <c r="AP79" s="211">
        <f t="shared" si="104"/>
        <v>1.8749999999999999E-2</v>
      </c>
      <c r="AQ79" s="211">
        <f t="shared" si="105"/>
        <v>1.8749999999999999E-2</v>
      </c>
      <c r="AR79" s="211">
        <f t="shared" si="106"/>
        <v>1.8749999999999999E-2</v>
      </c>
      <c r="AS79" s="211">
        <f t="shared" si="107"/>
        <v>1.8749999999999999E-2</v>
      </c>
      <c r="AT79" s="212">
        <f t="shared" ref="AT79:AT129" si="123">AS79</f>
        <v>1.8749999999999999E-2</v>
      </c>
      <c r="AU79" s="211">
        <f t="shared" si="117"/>
        <v>1.8749999999999999E-2</v>
      </c>
      <c r="AV79" s="211">
        <f t="shared" si="118"/>
        <v>1.8749999999999999E-2</v>
      </c>
      <c r="AW79" s="211">
        <f t="shared" si="119"/>
        <v>1.8749999999999999E-2</v>
      </c>
      <c r="AX79" s="211">
        <f t="shared" si="120"/>
        <v>1.8749999999999999E-2</v>
      </c>
      <c r="AY79" s="212">
        <f t="shared" si="121"/>
        <v>1.8749999999999999E-2</v>
      </c>
      <c r="AZ79" s="211">
        <f t="shared" si="115"/>
        <v>1.8749999999999999E-2</v>
      </c>
      <c r="BA79" s="211">
        <f t="shared" si="94"/>
        <v>1.8749999999999999E-2</v>
      </c>
      <c r="BB79" s="211">
        <f t="shared" si="95"/>
        <v>1.8749999999999999E-2</v>
      </c>
      <c r="BC79" s="211">
        <f t="shared" si="96"/>
        <v>1.8749999999999999E-2</v>
      </c>
      <c r="BD79" s="212">
        <f t="shared" si="97"/>
        <v>1.8749999999999999E-2</v>
      </c>
      <c r="BE79" s="211">
        <f t="shared" si="98"/>
        <v>1.8749999999999999E-2</v>
      </c>
      <c r="BF79" s="211">
        <f t="shared" si="99"/>
        <v>1.8749999999999999E-2</v>
      </c>
      <c r="BG79" s="211">
        <f t="shared" si="100"/>
        <v>1.8749999999999999E-2</v>
      </c>
      <c r="BH79" s="211">
        <f t="shared" si="101"/>
        <v>1.8749999999999999E-2</v>
      </c>
      <c r="BI79" s="212">
        <f t="shared" si="102"/>
        <v>1.8749999999999999E-2</v>
      </c>
    </row>
    <row r="80" spans="1:62" s="26" customFormat="1">
      <c r="A80" s="3" t="s">
        <v>357</v>
      </c>
      <c r="B80" s="211"/>
      <c r="C80" s="211"/>
      <c r="D80" s="211"/>
      <c r="E80" s="32"/>
      <c r="F80" s="212"/>
      <c r="G80" s="211"/>
      <c r="H80" s="211"/>
      <c r="I80" s="211"/>
      <c r="J80" s="32"/>
      <c r="K80" s="212"/>
      <c r="L80" s="211"/>
      <c r="M80" s="211"/>
      <c r="N80" s="211"/>
      <c r="O80" s="32"/>
      <c r="P80" s="212">
        <v>2.1250000000000002E-2</v>
      </c>
      <c r="Q80" s="32">
        <f t="shared" si="91"/>
        <v>2.1250000000000002E-2</v>
      </c>
      <c r="R80" s="32">
        <f t="shared" si="91"/>
        <v>2.1250000000000002E-2</v>
      </c>
      <c r="S80" s="32">
        <f t="shared" si="91"/>
        <v>2.1250000000000002E-2</v>
      </c>
      <c r="T80" s="32">
        <f t="shared" si="91"/>
        <v>2.1250000000000002E-2</v>
      </c>
      <c r="U80" s="212">
        <v>2.1250000000000002E-2</v>
      </c>
      <c r="V80" s="32">
        <f t="shared" si="92"/>
        <v>2.1250000000000002E-2</v>
      </c>
      <c r="W80" s="32">
        <f t="shared" si="92"/>
        <v>2.1250000000000002E-2</v>
      </c>
      <c r="X80" s="32">
        <f t="shared" si="92"/>
        <v>2.1250000000000002E-2</v>
      </c>
      <c r="Y80" s="32">
        <f t="shared" si="92"/>
        <v>2.1250000000000002E-2</v>
      </c>
      <c r="Z80" s="212">
        <v>2.1250000000000002E-2</v>
      </c>
      <c r="AA80" s="32">
        <f t="shared" si="122"/>
        <v>2.1250000000000002E-2</v>
      </c>
      <c r="AB80" s="211">
        <f t="shared" si="122"/>
        <v>2.1250000000000002E-2</v>
      </c>
      <c r="AC80" s="211">
        <f t="shared" si="122"/>
        <v>2.1250000000000002E-2</v>
      </c>
      <c r="AD80" s="211">
        <f t="shared" si="122"/>
        <v>2.1250000000000002E-2</v>
      </c>
      <c r="AE80" s="212">
        <f t="shared" si="122"/>
        <v>2.1250000000000002E-2</v>
      </c>
      <c r="AF80" s="211">
        <f t="shared" si="122"/>
        <v>2.1250000000000002E-2</v>
      </c>
      <c r="AG80" s="211">
        <f t="shared" si="122"/>
        <v>2.1250000000000002E-2</v>
      </c>
      <c r="AH80" s="211">
        <f t="shared" si="122"/>
        <v>2.1250000000000002E-2</v>
      </c>
      <c r="AI80" s="211">
        <f t="shared" si="122"/>
        <v>2.1250000000000002E-2</v>
      </c>
      <c r="AJ80" s="212">
        <f t="shared" si="122"/>
        <v>2.1250000000000002E-2</v>
      </c>
      <c r="AK80" s="211">
        <f t="shared" si="116"/>
        <v>2.1250000000000002E-2</v>
      </c>
      <c r="AL80" s="211">
        <f t="shared" si="116"/>
        <v>2.1250000000000002E-2</v>
      </c>
      <c r="AM80" s="211">
        <f t="shared" si="116"/>
        <v>2.1250000000000002E-2</v>
      </c>
      <c r="AN80" s="211">
        <f t="shared" si="116"/>
        <v>2.1250000000000002E-2</v>
      </c>
      <c r="AO80" s="212">
        <f t="shared" si="116"/>
        <v>2.1250000000000002E-2</v>
      </c>
      <c r="AP80" s="211">
        <f t="shared" si="104"/>
        <v>2.1250000000000002E-2</v>
      </c>
      <c r="AQ80" s="211">
        <f t="shared" si="105"/>
        <v>2.1250000000000002E-2</v>
      </c>
      <c r="AR80" s="211">
        <f t="shared" si="106"/>
        <v>2.1250000000000002E-2</v>
      </c>
      <c r="AS80" s="211">
        <f t="shared" si="107"/>
        <v>2.1250000000000002E-2</v>
      </c>
      <c r="AT80" s="212">
        <f t="shared" si="123"/>
        <v>2.1250000000000002E-2</v>
      </c>
      <c r="AU80" s="211">
        <f t="shared" si="117"/>
        <v>2.1250000000000002E-2</v>
      </c>
      <c r="AV80" s="211">
        <f t="shared" si="118"/>
        <v>2.1250000000000002E-2</v>
      </c>
      <c r="AW80" s="211">
        <f t="shared" si="119"/>
        <v>2.1250000000000002E-2</v>
      </c>
      <c r="AX80" s="211">
        <f t="shared" si="120"/>
        <v>2.1250000000000002E-2</v>
      </c>
      <c r="AY80" s="212">
        <f t="shared" si="121"/>
        <v>2.1250000000000002E-2</v>
      </c>
      <c r="AZ80" s="211">
        <f t="shared" si="115"/>
        <v>2.1250000000000002E-2</v>
      </c>
      <c r="BA80" s="211">
        <f t="shared" si="94"/>
        <v>2.1250000000000002E-2</v>
      </c>
      <c r="BB80" s="211">
        <f t="shared" si="95"/>
        <v>2.1250000000000002E-2</v>
      </c>
      <c r="BC80" s="211">
        <f t="shared" si="96"/>
        <v>2.1250000000000002E-2</v>
      </c>
      <c r="BD80" s="212">
        <f t="shared" si="97"/>
        <v>2.1250000000000002E-2</v>
      </c>
      <c r="BE80" s="211">
        <f t="shared" si="98"/>
        <v>2.1250000000000002E-2</v>
      </c>
      <c r="BF80" s="211">
        <f t="shared" si="99"/>
        <v>2.1250000000000002E-2</v>
      </c>
      <c r="BG80" s="211">
        <f t="shared" si="100"/>
        <v>2.1250000000000002E-2</v>
      </c>
      <c r="BH80" s="211">
        <f t="shared" si="101"/>
        <v>2.1250000000000002E-2</v>
      </c>
      <c r="BI80" s="212">
        <f t="shared" si="102"/>
        <v>2.1250000000000002E-2</v>
      </c>
    </row>
    <row r="81" spans="1:61" s="26" customFormat="1">
      <c r="A81" s="3" t="s">
        <v>587</v>
      </c>
      <c r="B81" s="211"/>
      <c r="C81" s="211"/>
      <c r="D81" s="211"/>
      <c r="E81" s="32"/>
      <c r="F81" s="212"/>
      <c r="G81" s="211"/>
      <c r="H81" s="211"/>
      <c r="I81" s="211"/>
      <c r="J81" s="32"/>
      <c r="K81" s="212"/>
      <c r="L81" s="211"/>
      <c r="M81" s="211"/>
      <c r="N81" s="211"/>
      <c r="O81" s="32"/>
      <c r="P81" s="212"/>
      <c r="Q81" s="32"/>
      <c r="R81" s="32"/>
      <c r="S81" s="32"/>
      <c r="T81" s="32"/>
      <c r="U81" s="212"/>
      <c r="V81" s="32"/>
      <c r="W81" s="32"/>
      <c r="X81" s="32"/>
      <c r="Y81" s="32"/>
      <c r="Z81" s="212"/>
      <c r="AA81" s="32"/>
      <c r="AB81" s="211"/>
      <c r="AC81" s="211"/>
      <c r="AD81" s="211"/>
      <c r="AE81" s="212"/>
      <c r="AF81" s="211">
        <v>2.196E-2</v>
      </c>
      <c r="AG81" s="211">
        <f>AF81</f>
        <v>2.196E-2</v>
      </c>
      <c r="AH81" s="211">
        <f>AG81</f>
        <v>2.196E-2</v>
      </c>
      <c r="AI81" s="211">
        <f>AH81</f>
        <v>2.196E-2</v>
      </c>
      <c r="AJ81" s="212">
        <f>AI81</f>
        <v>2.196E-2</v>
      </c>
      <c r="AK81" s="211">
        <f t="shared" si="116"/>
        <v>2.196E-2</v>
      </c>
      <c r="AL81" s="211">
        <f t="shared" si="116"/>
        <v>2.196E-2</v>
      </c>
      <c r="AM81" s="211">
        <f t="shared" si="116"/>
        <v>2.196E-2</v>
      </c>
      <c r="AN81" s="211">
        <f t="shared" si="116"/>
        <v>2.196E-2</v>
      </c>
      <c r="AO81" s="212">
        <f t="shared" si="116"/>
        <v>2.196E-2</v>
      </c>
      <c r="AP81" s="211">
        <f t="shared" si="104"/>
        <v>2.196E-2</v>
      </c>
      <c r="AQ81" s="211">
        <f t="shared" si="105"/>
        <v>2.196E-2</v>
      </c>
      <c r="AR81" s="211">
        <f t="shared" si="106"/>
        <v>2.196E-2</v>
      </c>
      <c r="AS81" s="211">
        <f t="shared" si="107"/>
        <v>2.196E-2</v>
      </c>
      <c r="AT81" s="212">
        <f t="shared" si="123"/>
        <v>2.196E-2</v>
      </c>
      <c r="AU81" s="211">
        <f t="shared" si="117"/>
        <v>2.196E-2</v>
      </c>
      <c r="AV81" s="211">
        <f t="shared" si="118"/>
        <v>2.196E-2</v>
      </c>
      <c r="AW81" s="211">
        <f t="shared" si="119"/>
        <v>2.196E-2</v>
      </c>
      <c r="AX81" s="211">
        <f t="shared" si="120"/>
        <v>2.196E-2</v>
      </c>
      <c r="AY81" s="212">
        <f t="shared" si="121"/>
        <v>2.196E-2</v>
      </c>
      <c r="AZ81" s="211">
        <f t="shared" si="115"/>
        <v>2.196E-2</v>
      </c>
      <c r="BA81" s="211">
        <f t="shared" si="94"/>
        <v>2.196E-2</v>
      </c>
      <c r="BB81" s="211">
        <f t="shared" si="95"/>
        <v>2.196E-2</v>
      </c>
      <c r="BC81" s="211">
        <f t="shared" si="96"/>
        <v>2.196E-2</v>
      </c>
      <c r="BD81" s="212">
        <f t="shared" si="97"/>
        <v>2.196E-2</v>
      </c>
      <c r="BE81" s="211">
        <f t="shared" si="98"/>
        <v>2.196E-2</v>
      </c>
      <c r="BF81" s="211">
        <f t="shared" si="99"/>
        <v>2.196E-2</v>
      </c>
      <c r="BG81" s="211">
        <f t="shared" si="100"/>
        <v>2.196E-2</v>
      </c>
      <c r="BH81" s="211">
        <f t="shared" si="101"/>
        <v>2.196E-2</v>
      </c>
      <c r="BI81" s="212">
        <f t="shared" si="102"/>
        <v>2.196E-2</v>
      </c>
    </row>
    <row r="82" spans="1:61" s="26" customFormat="1">
      <c r="A82" s="3" t="s">
        <v>358</v>
      </c>
      <c r="B82" s="211"/>
      <c r="C82" s="211"/>
      <c r="D82" s="211"/>
      <c r="E82" s="32"/>
      <c r="F82" s="212"/>
      <c r="G82" s="211"/>
      <c r="H82" s="211"/>
      <c r="I82" s="211"/>
      <c r="J82" s="32"/>
      <c r="K82" s="212"/>
      <c r="L82" s="211"/>
      <c r="M82" s="211"/>
      <c r="N82" s="211"/>
      <c r="O82" s="32"/>
      <c r="P82" s="212">
        <v>2.1999999999999999E-2</v>
      </c>
      <c r="Q82" s="32">
        <f t="shared" si="91"/>
        <v>2.1999999999999999E-2</v>
      </c>
      <c r="R82" s="32">
        <f t="shared" si="91"/>
        <v>2.1999999999999999E-2</v>
      </c>
      <c r="S82" s="32">
        <f t="shared" si="91"/>
        <v>2.1999999999999999E-2</v>
      </c>
      <c r="T82" s="32">
        <f t="shared" si="91"/>
        <v>2.1999999999999999E-2</v>
      </c>
      <c r="U82" s="212">
        <v>2.1999999999999999E-2</v>
      </c>
      <c r="V82" s="32">
        <f t="shared" si="92"/>
        <v>2.1999999999999999E-2</v>
      </c>
      <c r="W82" s="32">
        <f t="shared" si="92"/>
        <v>2.1999999999999999E-2</v>
      </c>
      <c r="X82" s="32">
        <f t="shared" si="92"/>
        <v>2.1999999999999999E-2</v>
      </c>
      <c r="Y82" s="32">
        <f t="shared" si="92"/>
        <v>2.1999999999999999E-2</v>
      </c>
      <c r="Z82" s="212">
        <v>2.1999999999999999E-2</v>
      </c>
      <c r="AA82" s="32">
        <f t="shared" si="122"/>
        <v>2.1999999999999999E-2</v>
      </c>
      <c r="AB82" s="211">
        <f t="shared" si="122"/>
        <v>2.1999999999999999E-2</v>
      </c>
      <c r="AC82" s="211">
        <f t="shared" si="122"/>
        <v>2.1999999999999999E-2</v>
      </c>
      <c r="AD82" s="211">
        <f t="shared" si="122"/>
        <v>2.1999999999999999E-2</v>
      </c>
      <c r="AE82" s="212">
        <f t="shared" si="122"/>
        <v>2.1999999999999999E-2</v>
      </c>
      <c r="AF82" s="211">
        <f t="shared" si="122"/>
        <v>2.1999999999999999E-2</v>
      </c>
      <c r="AG82" s="211">
        <f t="shared" si="122"/>
        <v>2.1999999999999999E-2</v>
      </c>
      <c r="AH82" s="211">
        <f t="shared" si="122"/>
        <v>2.1999999999999999E-2</v>
      </c>
      <c r="AI82" s="211">
        <f t="shared" si="122"/>
        <v>2.1999999999999999E-2</v>
      </c>
      <c r="AJ82" s="212">
        <f t="shared" si="122"/>
        <v>2.1999999999999999E-2</v>
      </c>
      <c r="AK82" s="211">
        <f t="shared" si="116"/>
        <v>2.1999999999999999E-2</v>
      </c>
      <c r="AL82" s="211">
        <f t="shared" si="116"/>
        <v>2.1999999999999999E-2</v>
      </c>
      <c r="AM82" s="211">
        <f t="shared" si="116"/>
        <v>2.1999999999999999E-2</v>
      </c>
      <c r="AN82" s="211">
        <f t="shared" si="116"/>
        <v>2.1999999999999999E-2</v>
      </c>
      <c r="AO82" s="212">
        <f t="shared" si="116"/>
        <v>2.1999999999999999E-2</v>
      </c>
      <c r="AP82" s="211">
        <f t="shared" si="104"/>
        <v>2.1999999999999999E-2</v>
      </c>
      <c r="AQ82" s="211">
        <f t="shared" si="105"/>
        <v>2.1999999999999999E-2</v>
      </c>
      <c r="AR82" s="211">
        <f t="shared" si="106"/>
        <v>2.1999999999999999E-2</v>
      </c>
      <c r="AS82" s="211">
        <f t="shared" si="107"/>
        <v>2.1999999999999999E-2</v>
      </c>
      <c r="AT82" s="212">
        <f t="shared" si="123"/>
        <v>2.1999999999999999E-2</v>
      </c>
      <c r="AU82" s="211">
        <f t="shared" si="117"/>
        <v>2.1999999999999999E-2</v>
      </c>
      <c r="AV82" s="211">
        <f t="shared" si="118"/>
        <v>2.1999999999999999E-2</v>
      </c>
      <c r="AW82" s="211">
        <f t="shared" si="119"/>
        <v>2.1999999999999999E-2</v>
      </c>
      <c r="AX82" s="211">
        <f t="shared" si="120"/>
        <v>2.1999999999999999E-2</v>
      </c>
      <c r="AY82" s="212">
        <f t="shared" si="121"/>
        <v>2.1999999999999999E-2</v>
      </c>
      <c r="AZ82" s="211">
        <f t="shared" si="115"/>
        <v>2.1999999999999999E-2</v>
      </c>
      <c r="BA82" s="211">
        <f t="shared" si="94"/>
        <v>2.1999999999999999E-2</v>
      </c>
      <c r="BB82" s="211">
        <f t="shared" si="95"/>
        <v>2.1999999999999999E-2</v>
      </c>
      <c r="BC82" s="211">
        <f t="shared" si="96"/>
        <v>2.1999999999999999E-2</v>
      </c>
      <c r="BD82" s="212">
        <f t="shared" si="97"/>
        <v>2.1999999999999999E-2</v>
      </c>
      <c r="BE82" s="211">
        <f t="shared" si="98"/>
        <v>2.1999999999999999E-2</v>
      </c>
      <c r="BF82" s="211">
        <f t="shared" si="99"/>
        <v>2.1999999999999999E-2</v>
      </c>
      <c r="BG82" s="211">
        <f t="shared" si="100"/>
        <v>2.1999999999999999E-2</v>
      </c>
      <c r="BH82" s="211">
        <f t="shared" si="101"/>
        <v>2.1999999999999999E-2</v>
      </c>
      <c r="BI82" s="212">
        <f t="shared" si="102"/>
        <v>2.1999999999999999E-2</v>
      </c>
    </row>
    <row r="83" spans="1:61" s="26" customFormat="1">
      <c r="A83" s="3" t="s">
        <v>359</v>
      </c>
      <c r="B83" s="211"/>
      <c r="C83" s="211"/>
      <c r="D83" s="211"/>
      <c r="E83" s="32"/>
      <c r="F83" s="212"/>
      <c r="G83" s="211"/>
      <c r="H83" s="211"/>
      <c r="I83" s="211"/>
      <c r="J83" s="32"/>
      <c r="K83" s="212"/>
      <c r="L83" s="211"/>
      <c r="M83" s="211"/>
      <c r="N83" s="211"/>
      <c r="O83" s="32"/>
      <c r="P83" s="212">
        <v>2.2499999999999999E-2</v>
      </c>
      <c r="Q83" s="32">
        <f t="shared" si="91"/>
        <v>2.2499999999999999E-2</v>
      </c>
      <c r="R83" s="32">
        <f t="shared" si="91"/>
        <v>2.2499999999999999E-2</v>
      </c>
      <c r="S83" s="32">
        <f t="shared" si="91"/>
        <v>2.2499999999999999E-2</v>
      </c>
      <c r="T83" s="32">
        <f t="shared" si="91"/>
        <v>2.2499999999999999E-2</v>
      </c>
      <c r="U83" s="212">
        <v>2.2499999999999999E-2</v>
      </c>
      <c r="V83" s="32">
        <f t="shared" si="92"/>
        <v>2.2499999999999999E-2</v>
      </c>
      <c r="W83" s="32">
        <f t="shared" si="92"/>
        <v>2.2499999999999999E-2</v>
      </c>
      <c r="X83" s="32">
        <f t="shared" si="92"/>
        <v>2.2499999999999999E-2</v>
      </c>
      <c r="Y83" s="32">
        <f t="shared" si="92"/>
        <v>2.2499999999999999E-2</v>
      </c>
      <c r="Z83" s="212">
        <v>2.2499999999999999E-2</v>
      </c>
      <c r="AA83" s="32">
        <f t="shared" si="122"/>
        <v>2.2499999999999999E-2</v>
      </c>
      <c r="AB83" s="211">
        <f t="shared" si="122"/>
        <v>2.2499999999999999E-2</v>
      </c>
      <c r="AC83" s="211">
        <f t="shared" si="122"/>
        <v>2.2499999999999999E-2</v>
      </c>
      <c r="AD83" s="211">
        <f t="shared" si="122"/>
        <v>2.2499999999999999E-2</v>
      </c>
      <c r="AE83" s="212">
        <f t="shared" si="122"/>
        <v>2.2499999999999999E-2</v>
      </c>
      <c r="AF83" s="211">
        <f t="shared" si="122"/>
        <v>2.2499999999999999E-2</v>
      </c>
      <c r="AG83" s="211">
        <f t="shared" si="122"/>
        <v>2.2499999999999999E-2</v>
      </c>
      <c r="AH83" s="211">
        <f t="shared" si="122"/>
        <v>2.2499999999999999E-2</v>
      </c>
      <c r="AI83" s="211">
        <f t="shared" si="122"/>
        <v>2.2499999999999999E-2</v>
      </c>
      <c r="AJ83" s="212">
        <f t="shared" si="122"/>
        <v>2.2499999999999999E-2</v>
      </c>
      <c r="AK83" s="211">
        <f t="shared" si="116"/>
        <v>2.2499999999999999E-2</v>
      </c>
      <c r="AL83" s="211">
        <f t="shared" si="116"/>
        <v>2.2499999999999999E-2</v>
      </c>
      <c r="AM83" s="211">
        <f t="shared" si="116"/>
        <v>2.2499999999999999E-2</v>
      </c>
      <c r="AN83" s="211">
        <f t="shared" si="116"/>
        <v>2.2499999999999999E-2</v>
      </c>
      <c r="AO83" s="212">
        <f t="shared" si="116"/>
        <v>2.2499999999999999E-2</v>
      </c>
      <c r="AP83" s="211">
        <f t="shared" si="104"/>
        <v>2.2499999999999999E-2</v>
      </c>
      <c r="AQ83" s="211">
        <f t="shared" si="105"/>
        <v>2.2499999999999999E-2</v>
      </c>
      <c r="AR83" s="211">
        <f t="shared" si="106"/>
        <v>2.2499999999999999E-2</v>
      </c>
      <c r="AS83" s="211">
        <f t="shared" si="107"/>
        <v>2.2499999999999999E-2</v>
      </c>
      <c r="AT83" s="212">
        <f t="shared" si="123"/>
        <v>2.2499999999999999E-2</v>
      </c>
      <c r="AU83" s="211">
        <f t="shared" si="117"/>
        <v>2.2499999999999999E-2</v>
      </c>
      <c r="AV83" s="211">
        <f t="shared" si="118"/>
        <v>2.2499999999999999E-2</v>
      </c>
      <c r="AW83" s="211">
        <f t="shared" si="119"/>
        <v>2.2499999999999999E-2</v>
      </c>
      <c r="AX83" s="211">
        <f t="shared" si="120"/>
        <v>2.2499999999999999E-2</v>
      </c>
      <c r="AY83" s="212">
        <f t="shared" si="121"/>
        <v>2.2499999999999999E-2</v>
      </c>
      <c r="AZ83" s="211">
        <f t="shared" si="115"/>
        <v>2.2499999999999999E-2</v>
      </c>
      <c r="BA83" s="211">
        <f t="shared" si="94"/>
        <v>2.2499999999999999E-2</v>
      </c>
      <c r="BB83" s="211">
        <f t="shared" si="95"/>
        <v>2.2499999999999999E-2</v>
      </c>
      <c r="BC83" s="211">
        <f t="shared" si="96"/>
        <v>2.2499999999999999E-2</v>
      </c>
      <c r="BD83" s="212">
        <f t="shared" si="97"/>
        <v>2.2499999999999999E-2</v>
      </c>
      <c r="BE83" s="211">
        <f t="shared" si="98"/>
        <v>2.2499999999999999E-2</v>
      </c>
      <c r="BF83" s="211">
        <f t="shared" si="99"/>
        <v>2.2499999999999999E-2</v>
      </c>
      <c r="BG83" s="211">
        <f t="shared" si="100"/>
        <v>2.2499999999999999E-2</v>
      </c>
      <c r="BH83" s="211">
        <f t="shared" si="101"/>
        <v>2.2499999999999999E-2</v>
      </c>
      <c r="BI83" s="212">
        <f t="shared" si="102"/>
        <v>2.2499999999999999E-2</v>
      </c>
    </row>
    <row r="84" spans="1:61" s="26" customFormat="1">
      <c r="A84" s="3" t="s">
        <v>360</v>
      </c>
      <c r="B84" s="211"/>
      <c r="C84" s="211"/>
      <c r="D84" s="211"/>
      <c r="E84" s="32"/>
      <c r="F84" s="212"/>
      <c r="G84" s="211"/>
      <c r="H84" s="211"/>
      <c r="I84" s="211"/>
      <c r="J84" s="32"/>
      <c r="K84" s="212"/>
      <c r="L84" s="211"/>
      <c r="M84" s="211"/>
      <c r="N84" s="211"/>
      <c r="O84" s="32"/>
      <c r="P84" s="212">
        <v>2.3E-2</v>
      </c>
      <c r="Q84" s="32">
        <f t="shared" si="91"/>
        <v>2.3E-2</v>
      </c>
      <c r="R84" s="32">
        <f t="shared" si="91"/>
        <v>2.3E-2</v>
      </c>
      <c r="S84" s="32">
        <f t="shared" si="91"/>
        <v>2.3E-2</v>
      </c>
      <c r="T84" s="32">
        <f t="shared" si="91"/>
        <v>2.3E-2</v>
      </c>
      <c r="U84" s="212">
        <v>2.3E-2</v>
      </c>
      <c r="V84" s="32">
        <f t="shared" si="92"/>
        <v>2.3E-2</v>
      </c>
      <c r="W84" s="32">
        <f t="shared" si="92"/>
        <v>2.3E-2</v>
      </c>
      <c r="X84" s="32">
        <f t="shared" si="92"/>
        <v>2.3E-2</v>
      </c>
      <c r="Y84" s="32">
        <f t="shared" si="92"/>
        <v>2.3E-2</v>
      </c>
      <c r="Z84" s="212">
        <v>2.3E-2</v>
      </c>
      <c r="AA84" s="32">
        <f t="shared" si="122"/>
        <v>2.3E-2</v>
      </c>
      <c r="AB84" s="211">
        <f t="shared" si="122"/>
        <v>2.3E-2</v>
      </c>
      <c r="AC84" s="211">
        <f t="shared" si="122"/>
        <v>2.3E-2</v>
      </c>
      <c r="AD84" s="211">
        <f t="shared" si="122"/>
        <v>2.3E-2</v>
      </c>
      <c r="AE84" s="212">
        <f t="shared" si="122"/>
        <v>2.3E-2</v>
      </c>
      <c r="AF84" s="211">
        <f t="shared" si="122"/>
        <v>2.3E-2</v>
      </c>
      <c r="AG84" s="211">
        <f t="shared" si="122"/>
        <v>2.3E-2</v>
      </c>
      <c r="AH84" s="211">
        <f t="shared" si="122"/>
        <v>2.3E-2</v>
      </c>
      <c r="AI84" s="211">
        <f t="shared" si="122"/>
        <v>2.3E-2</v>
      </c>
      <c r="AJ84" s="212">
        <f t="shared" si="122"/>
        <v>2.3E-2</v>
      </c>
      <c r="AK84" s="211">
        <f t="shared" si="116"/>
        <v>2.3E-2</v>
      </c>
      <c r="AL84" s="211">
        <f t="shared" si="116"/>
        <v>2.3E-2</v>
      </c>
      <c r="AM84" s="211">
        <f t="shared" si="116"/>
        <v>2.3E-2</v>
      </c>
      <c r="AN84" s="211">
        <f t="shared" si="116"/>
        <v>2.3E-2</v>
      </c>
      <c r="AO84" s="212">
        <f t="shared" si="116"/>
        <v>2.3E-2</v>
      </c>
      <c r="AP84" s="211">
        <f t="shared" si="104"/>
        <v>2.3E-2</v>
      </c>
      <c r="AQ84" s="211">
        <f t="shared" si="105"/>
        <v>2.3E-2</v>
      </c>
      <c r="AR84" s="211">
        <f t="shared" si="106"/>
        <v>2.3E-2</v>
      </c>
      <c r="AS84" s="211">
        <f t="shared" si="107"/>
        <v>2.3E-2</v>
      </c>
      <c r="AT84" s="212">
        <f t="shared" si="123"/>
        <v>2.3E-2</v>
      </c>
      <c r="AU84" s="211">
        <f t="shared" si="117"/>
        <v>2.3E-2</v>
      </c>
      <c r="AV84" s="211">
        <f t="shared" si="118"/>
        <v>2.3E-2</v>
      </c>
      <c r="AW84" s="211">
        <f t="shared" si="119"/>
        <v>2.3E-2</v>
      </c>
      <c r="AX84" s="211">
        <f t="shared" si="120"/>
        <v>2.3E-2</v>
      </c>
      <c r="AY84" s="212">
        <f t="shared" si="121"/>
        <v>2.3E-2</v>
      </c>
      <c r="AZ84" s="211">
        <f t="shared" si="115"/>
        <v>2.3E-2</v>
      </c>
      <c r="BA84" s="211">
        <f t="shared" si="94"/>
        <v>2.3E-2</v>
      </c>
      <c r="BB84" s="211">
        <f t="shared" si="95"/>
        <v>2.3E-2</v>
      </c>
      <c r="BC84" s="211">
        <f t="shared" si="96"/>
        <v>2.3E-2</v>
      </c>
      <c r="BD84" s="212">
        <f t="shared" si="97"/>
        <v>2.3E-2</v>
      </c>
      <c r="BE84" s="211">
        <f t="shared" si="98"/>
        <v>2.3E-2</v>
      </c>
      <c r="BF84" s="211">
        <f t="shared" si="99"/>
        <v>2.3E-2</v>
      </c>
      <c r="BG84" s="211">
        <f t="shared" si="100"/>
        <v>2.3E-2</v>
      </c>
      <c r="BH84" s="211">
        <f t="shared" si="101"/>
        <v>2.3E-2</v>
      </c>
      <c r="BI84" s="212">
        <f t="shared" si="102"/>
        <v>2.3E-2</v>
      </c>
    </row>
    <row r="85" spans="1:61" s="26" customFormat="1">
      <c r="A85" s="3" t="s">
        <v>361</v>
      </c>
      <c r="B85" s="211"/>
      <c r="C85" s="211"/>
      <c r="D85" s="211"/>
      <c r="E85" s="32"/>
      <c r="F85" s="212"/>
      <c r="G85" s="211"/>
      <c r="H85" s="211"/>
      <c r="I85" s="211"/>
      <c r="J85" s="32"/>
      <c r="K85" s="212"/>
      <c r="L85" s="211"/>
      <c r="M85" s="211"/>
      <c r="N85" s="211"/>
      <c r="O85" s="32"/>
      <c r="P85" s="212">
        <v>2.35E-2</v>
      </c>
      <c r="Q85" s="32">
        <f t="shared" si="91"/>
        <v>2.35E-2</v>
      </c>
      <c r="R85" s="32">
        <f t="shared" si="91"/>
        <v>2.35E-2</v>
      </c>
      <c r="S85" s="32">
        <f t="shared" si="91"/>
        <v>2.35E-2</v>
      </c>
      <c r="T85" s="32">
        <f t="shared" si="91"/>
        <v>2.35E-2</v>
      </c>
      <c r="U85" s="212">
        <v>2.35E-2</v>
      </c>
      <c r="V85" s="32">
        <f t="shared" si="92"/>
        <v>2.35E-2</v>
      </c>
      <c r="W85" s="32">
        <f t="shared" si="92"/>
        <v>2.35E-2</v>
      </c>
      <c r="X85" s="32">
        <f t="shared" si="92"/>
        <v>2.35E-2</v>
      </c>
      <c r="Y85" s="32">
        <f t="shared" si="92"/>
        <v>2.35E-2</v>
      </c>
      <c r="Z85" s="212">
        <v>2.35E-2</v>
      </c>
      <c r="AA85" s="32">
        <f t="shared" si="122"/>
        <v>2.35E-2</v>
      </c>
      <c r="AB85" s="211">
        <f t="shared" si="122"/>
        <v>2.35E-2</v>
      </c>
      <c r="AC85" s="211">
        <f t="shared" si="122"/>
        <v>2.35E-2</v>
      </c>
      <c r="AD85" s="211">
        <f t="shared" si="122"/>
        <v>2.35E-2</v>
      </c>
      <c r="AE85" s="212">
        <f t="shared" si="122"/>
        <v>2.35E-2</v>
      </c>
      <c r="AF85" s="211">
        <f t="shared" si="122"/>
        <v>2.35E-2</v>
      </c>
      <c r="AG85" s="211">
        <f t="shared" si="122"/>
        <v>2.35E-2</v>
      </c>
      <c r="AH85" s="211">
        <f t="shared" si="122"/>
        <v>2.35E-2</v>
      </c>
      <c r="AI85" s="211">
        <f t="shared" si="122"/>
        <v>2.35E-2</v>
      </c>
      <c r="AJ85" s="212">
        <f t="shared" si="122"/>
        <v>2.35E-2</v>
      </c>
      <c r="AK85" s="211">
        <f t="shared" si="116"/>
        <v>2.35E-2</v>
      </c>
      <c r="AL85" s="211">
        <f t="shared" si="116"/>
        <v>2.35E-2</v>
      </c>
      <c r="AM85" s="211">
        <f t="shared" si="116"/>
        <v>2.35E-2</v>
      </c>
      <c r="AN85" s="211">
        <f t="shared" si="116"/>
        <v>2.35E-2</v>
      </c>
      <c r="AO85" s="212">
        <f t="shared" si="116"/>
        <v>2.35E-2</v>
      </c>
      <c r="AP85" s="211">
        <f t="shared" si="104"/>
        <v>2.35E-2</v>
      </c>
      <c r="AQ85" s="211">
        <f t="shared" si="105"/>
        <v>2.35E-2</v>
      </c>
      <c r="AR85" s="211">
        <f t="shared" si="106"/>
        <v>2.35E-2</v>
      </c>
      <c r="AS85" s="211">
        <f t="shared" si="107"/>
        <v>2.35E-2</v>
      </c>
      <c r="AT85" s="212">
        <f t="shared" si="123"/>
        <v>2.35E-2</v>
      </c>
      <c r="AU85" s="211">
        <f t="shared" si="117"/>
        <v>2.35E-2</v>
      </c>
      <c r="AV85" s="211">
        <f t="shared" si="118"/>
        <v>2.35E-2</v>
      </c>
      <c r="AW85" s="211">
        <f t="shared" si="119"/>
        <v>2.35E-2</v>
      </c>
      <c r="AX85" s="211">
        <f t="shared" si="120"/>
        <v>2.35E-2</v>
      </c>
      <c r="AY85" s="212">
        <f t="shared" si="121"/>
        <v>2.35E-2</v>
      </c>
      <c r="AZ85" s="211">
        <f t="shared" si="115"/>
        <v>2.35E-2</v>
      </c>
      <c r="BA85" s="211">
        <f t="shared" si="94"/>
        <v>2.35E-2</v>
      </c>
      <c r="BB85" s="211">
        <f t="shared" si="95"/>
        <v>2.35E-2</v>
      </c>
      <c r="BC85" s="211">
        <f t="shared" si="96"/>
        <v>2.35E-2</v>
      </c>
      <c r="BD85" s="212">
        <f t="shared" si="97"/>
        <v>2.35E-2</v>
      </c>
      <c r="BE85" s="211">
        <f t="shared" si="98"/>
        <v>2.35E-2</v>
      </c>
      <c r="BF85" s="211">
        <f t="shared" si="99"/>
        <v>2.35E-2</v>
      </c>
      <c r="BG85" s="211">
        <f t="shared" si="100"/>
        <v>2.35E-2</v>
      </c>
      <c r="BH85" s="211">
        <f t="shared" si="101"/>
        <v>2.35E-2</v>
      </c>
      <c r="BI85" s="212">
        <f t="shared" si="102"/>
        <v>2.35E-2</v>
      </c>
    </row>
    <row r="86" spans="1:61" s="26" customFormat="1">
      <c r="A86" s="3" t="s">
        <v>362</v>
      </c>
      <c r="B86" s="211"/>
      <c r="C86" s="211"/>
      <c r="D86" s="211"/>
      <c r="E86" s="32"/>
      <c r="F86" s="212"/>
      <c r="G86" s="211"/>
      <c r="H86" s="211"/>
      <c r="I86" s="211"/>
      <c r="J86" s="32"/>
      <c r="K86" s="212"/>
      <c r="L86" s="211"/>
      <c r="M86" s="211"/>
      <c r="N86" s="211"/>
      <c r="O86" s="32"/>
      <c r="P86" s="212">
        <v>2.5000000000000001E-2</v>
      </c>
      <c r="Q86" s="32">
        <f t="shared" si="91"/>
        <v>2.5000000000000001E-2</v>
      </c>
      <c r="R86" s="32">
        <f t="shared" si="91"/>
        <v>2.5000000000000001E-2</v>
      </c>
      <c r="S86" s="32">
        <f t="shared" si="91"/>
        <v>2.5000000000000001E-2</v>
      </c>
      <c r="T86" s="32">
        <f t="shared" si="91"/>
        <v>2.5000000000000001E-2</v>
      </c>
      <c r="U86" s="212">
        <v>2.5000000000000001E-2</v>
      </c>
      <c r="V86" s="32">
        <f t="shared" si="92"/>
        <v>2.5000000000000001E-2</v>
      </c>
      <c r="W86" s="32">
        <f t="shared" si="92"/>
        <v>2.5000000000000001E-2</v>
      </c>
      <c r="X86" s="32">
        <f t="shared" si="92"/>
        <v>2.5000000000000001E-2</v>
      </c>
      <c r="Y86" s="32">
        <f t="shared" si="92"/>
        <v>2.5000000000000001E-2</v>
      </c>
      <c r="Z86" s="212">
        <v>2.5000000000000001E-2</v>
      </c>
      <c r="AA86" s="32">
        <f t="shared" si="122"/>
        <v>2.5000000000000001E-2</v>
      </c>
      <c r="AB86" s="211">
        <f t="shared" si="122"/>
        <v>2.5000000000000001E-2</v>
      </c>
      <c r="AC86" s="211">
        <f t="shared" si="122"/>
        <v>2.5000000000000001E-2</v>
      </c>
      <c r="AD86" s="211">
        <f t="shared" si="122"/>
        <v>2.5000000000000001E-2</v>
      </c>
      <c r="AE86" s="212">
        <f t="shared" si="122"/>
        <v>2.5000000000000001E-2</v>
      </c>
      <c r="AF86" s="211">
        <f t="shared" si="122"/>
        <v>2.5000000000000001E-2</v>
      </c>
      <c r="AG86" s="211">
        <f t="shared" si="122"/>
        <v>2.5000000000000001E-2</v>
      </c>
      <c r="AH86" s="211">
        <f t="shared" si="122"/>
        <v>2.5000000000000001E-2</v>
      </c>
      <c r="AI86" s="211">
        <f t="shared" si="122"/>
        <v>2.5000000000000001E-2</v>
      </c>
      <c r="AJ86" s="212">
        <f t="shared" si="122"/>
        <v>2.5000000000000001E-2</v>
      </c>
      <c r="AK86" s="211">
        <f t="shared" si="116"/>
        <v>2.5000000000000001E-2</v>
      </c>
      <c r="AL86" s="211">
        <f t="shared" si="116"/>
        <v>2.5000000000000001E-2</v>
      </c>
      <c r="AM86" s="211">
        <f t="shared" si="116"/>
        <v>2.5000000000000001E-2</v>
      </c>
      <c r="AN86" s="211">
        <f t="shared" si="116"/>
        <v>2.5000000000000001E-2</v>
      </c>
      <c r="AO86" s="212">
        <f t="shared" si="116"/>
        <v>2.5000000000000001E-2</v>
      </c>
      <c r="AP86" s="211">
        <f t="shared" si="104"/>
        <v>2.5000000000000001E-2</v>
      </c>
      <c r="AQ86" s="211">
        <f t="shared" si="105"/>
        <v>2.5000000000000001E-2</v>
      </c>
      <c r="AR86" s="211">
        <f t="shared" si="106"/>
        <v>2.5000000000000001E-2</v>
      </c>
      <c r="AS86" s="211">
        <f t="shared" si="107"/>
        <v>2.5000000000000001E-2</v>
      </c>
      <c r="AT86" s="212">
        <f t="shared" si="123"/>
        <v>2.5000000000000001E-2</v>
      </c>
      <c r="AU86" s="211">
        <f t="shared" si="117"/>
        <v>2.5000000000000001E-2</v>
      </c>
      <c r="AV86" s="211">
        <f t="shared" si="118"/>
        <v>2.5000000000000001E-2</v>
      </c>
      <c r="AW86" s="211">
        <f t="shared" si="119"/>
        <v>2.5000000000000001E-2</v>
      </c>
      <c r="AX86" s="211">
        <f t="shared" si="120"/>
        <v>2.5000000000000001E-2</v>
      </c>
      <c r="AY86" s="212">
        <f t="shared" si="121"/>
        <v>2.5000000000000001E-2</v>
      </c>
      <c r="AZ86" s="211">
        <f t="shared" si="115"/>
        <v>2.5000000000000001E-2</v>
      </c>
      <c r="BA86" s="211">
        <f t="shared" si="94"/>
        <v>2.5000000000000001E-2</v>
      </c>
      <c r="BB86" s="211">
        <f t="shared" si="95"/>
        <v>2.5000000000000001E-2</v>
      </c>
      <c r="BC86" s="211">
        <f t="shared" si="96"/>
        <v>2.5000000000000001E-2</v>
      </c>
      <c r="BD86" s="212">
        <f t="shared" si="97"/>
        <v>2.5000000000000001E-2</v>
      </c>
      <c r="BE86" s="211">
        <f t="shared" si="98"/>
        <v>2.5000000000000001E-2</v>
      </c>
      <c r="BF86" s="211">
        <f t="shared" si="99"/>
        <v>2.5000000000000001E-2</v>
      </c>
      <c r="BG86" s="211">
        <f t="shared" si="100"/>
        <v>2.5000000000000001E-2</v>
      </c>
      <c r="BH86" s="211">
        <f t="shared" si="101"/>
        <v>2.5000000000000001E-2</v>
      </c>
      <c r="BI86" s="212">
        <f t="shared" si="102"/>
        <v>2.5000000000000001E-2</v>
      </c>
    </row>
    <row r="87" spans="1:61" s="26" customFormat="1">
      <c r="A87" s="3" t="s">
        <v>363</v>
      </c>
      <c r="B87" s="211"/>
      <c r="C87" s="211"/>
      <c r="D87" s="211"/>
      <c r="E87" s="32"/>
      <c r="F87" s="212"/>
      <c r="G87" s="211"/>
      <c r="H87" s="211"/>
      <c r="I87" s="211"/>
      <c r="J87" s="32"/>
      <c r="K87" s="212"/>
      <c r="L87" s="211"/>
      <c r="M87" s="211"/>
      <c r="N87" s="211"/>
      <c r="O87" s="32"/>
      <c r="P87" s="212">
        <v>2.5999999999999999E-2</v>
      </c>
      <c r="Q87" s="32">
        <f t="shared" si="91"/>
        <v>2.5999999999999999E-2</v>
      </c>
      <c r="R87" s="32">
        <f t="shared" si="91"/>
        <v>2.5999999999999999E-2</v>
      </c>
      <c r="S87" s="32">
        <f t="shared" si="91"/>
        <v>2.5999999999999999E-2</v>
      </c>
      <c r="T87" s="32">
        <f t="shared" si="91"/>
        <v>2.5999999999999999E-2</v>
      </c>
      <c r="U87" s="212">
        <v>2.5999999999999999E-2</v>
      </c>
      <c r="V87" s="32">
        <f t="shared" si="92"/>
        <v>2.5999999999999999E-2</v>
      </c>
      <c r="W87" s="32">
        <f t="shared" si="92"/>
        <v>2.5999999999999999E-2</v>
      </c>
      <c r="X87" s="32">
        <f t="shared" si="92"/>
        <v>2.5999999999999999E-2</v>
      </c>
      <c r="Y87" s="32">
        <f t="shared" si="92"/>
        <v>2.5999999999999999E-2</v>
      </c>
      <c r="Z87" s="212">
        <v>2.5999999999999999E-2</v>
      </c>
      <c r="AA87" s="32">
        <f t="shared" si="122"/>
        <v>2.5999999999999999E-2</v>
      </c>
      <c r="AB87" s="211">
        <f t="shared" si="122"/>
        <v>2.5999999999999999E-2</v>
      </c>
      <c r="AC87" s="211">
        <f t="shared" si="122"/>
        <v>2.5999999999999999E-2</v>
      </c>
      <c r="AD87" s="211">
        <f t="shared" si="122"/>
        <v>2.5999999999999999E-2</v>
      </c>
      <c r="AE87" s="212">
        <f t="shared" si="122"/>
        <v>2.5999999999999999E-2</v>
      </c>
      <c r="AF87" s="211">
        <f t="shared" si="122"/>
        <v>2.5999999999999999E-2</v>
      </c>
      <c r="AG87" s="211">
        <f t="shared" si="122"/>
        <v>2.5999999999999999E-2</v>
      </c>
      <c r="AH87" s="211">
        <f t="shared" si="122"/>
        <v>2.5999999999999999E-2</v>
      </c>
      <c r="AI87" s="211">
        <f t="shared" si="122"/>
        <v>2.5999999999999999E-2</v>
      </c>
      <c r="AJ87" s="212">
        <f t="shared" si="122"/>
        <v>2.5999999999999999E-2</v>
      </c>
      <c r="AK87" s="211">
        <f t="shared" si="116"/>
        <v>2.5999999999999999E-2</v>
      </c>
      <c r="AL87" s="211">
        <f t="shared" si="116"/>
        <v>2.5999999999999999E-2</v>
      </c>
      <c r="AM87" s="211">
        <f t="shared" si="116"/>
        <v>2.5999999999999999E-2</v>
      </c>
      <c r="AN87" s="211">
        <f t="shared" si="116"/>
        <v>2.5999999999999999E-2</v>
      </c>
      <c r="AO87" s="212">
        <f t="shared" si="116"/>
        <v>2.5999999999999999E-2</v>
      </c>
      <c r="AP87" s="211">
        <f t="shared" si="104"/>
        <v>2.5999999999999999E-2</v>
      </c>
      <c r="AQ87" s="211">
        <f t="shared" si="105"/>
        <v>2.5999999999999999E-2</v>
      </c>
      <c r="AR87" s="211">
        <f t="shared" si="106"/>
        <v>2.5999999999999999E-2</v>
      </c>
      <c r="AS87" s="211">
        <f t="shared" si="107"/>
        <v>2.5999999999999999E-2</v>
      </c>
      <c r="AT87" s="212">
        <f t="shared" si="123"/>
        <v>2.5999999999999999E-2</v>
      </c>
      <c r="AU87" s="211">
        <f t="shared" si="117"/>
        <v>2.5999999999999999E-2</v>
      </c>
      <c r="AV87" s="211">
        <f t="shared" si="118"/>
        <v>2.5999999999999999E-2</v>
      </c>
      <c r="AW87" s="211">
        <f t="shared" si="119"/>
        <v>2.5999999999999999E-2</v>
      </c>
      <c r="AX87" s="211">
        <f t="shared" si="120"/>
        <v>2.5999999999999999E-2</v>
      </c>
      <c r="AY87" s="212">
        <f t="shared" si="121"/>
        <v>2.5999999999999999E-2</v>
      </c>
      <c r="AZ87" s="211">
        <f t="shared" si="115"/>
        <v>2.5999999999999999E-2</v>
      </c>
      <c r="BA87" s="211">
        <f t="shared" si="94"/>
        <v>2.5999999999999999E-2</v>
      </c>
      <c r="BB87" s="211">
        <f t="shared" si="95"/>
        <v>2.5999999999999999E-2</v>
      </c>
      <c r="BC87" s="211">
        <f t="shared" si="96"/>
        <v>2.5999999999999999E-2</v>
      </c>
      <c r="BD87" s="212">
        <f t="shared" si="97"/>
        <v>2.5999999999999999E-2</v>
      </c>
      <c r="BE87" s="211">
        <f t="shared" si="98"/>
        <v>2.5999999999999999E-2</v>
      </c>
      <c r="BF87" s="211">
        <f t="shared" si="99"/>
        <v>2.5999999999999999E-2</v>
      </c>
      <c r="BG87" s="211">
        <f t="shared" si="100"/>
        <v>2.5999999999999999E-2</v>
      </c>
      <c r="BH87" s="211">
        <f t="shared" si="101"/>
        <v>2.5999999999999999E-2</v>
      </c>
      <c r="BI87" s="212">
        <f t="shared" si="102"/>
        <v>2.5999999999999999E-2</v>
      </c>
    </row>
    <row r="88" spans="1:61" s="26" customFormat="1">
      <c r="A88" s="3" t="s">
        <v>364</v>
      </c>
      <c r="B88" s="211"/>
      <c r="C88" s="211"/>
      <c r="D88" s="211"/>
      <c r="E88" s="32"/>
      <c r="F88" s="212"/>
      <c r="G88" s="211"/>
      <c r="H88" s="211"/>
      <c r="I88" s="211"/>
      <c r="J88" s="32"/>
      <c r="K88" s="212"/>
      <c r="L88" s="211"/>
      <c r="M88" s="211"/>
      <c r="N88" s="211"/>
      <c r="O88" s="32"/>
      <c r="P88" s="212">
        <v>2.7E-2</v>
      </c>
      <c r="Q88" s="32">
        <f t="shared" si="91"/>
        <v>2.7E-2</v>
      </c>
      <c r="R88" s="32">
        <f t="shared" si="91"/>
        <v>2.7E-2</v>
      </c>
      <c r="S88" s="32">
        <f t="shared" si="91"/>
        <v>2.7E-2</v>
      </c>
      <c r="T88" s="32">
        <f t="shared" si="91"/>
        <v>2.7E-2</v>
      </c>
      <c r="U88" s="212">
        <v>2.7E-2</v>
      </c>
      <c r="V88" s="32">
        <f t="shared" si="92"/>
        <v>2.7E-2</v>
      </c>
      <c r="W88" s="32">
        <f t="shared" si="92"/>
        <v>2.7E-2</v>
      </c>
      <c r="X88" s="32">
        <f t="shared" si="92"/>
        <v>2.7E-2</v>
      </c>
      <c r="Y88" s="32">
        <f t="shared" si="92"/>
        <v>2.7E-2</v>
      </c>
      <c r="Z88" s="212">
        <v>2.7E-2</v>
      </c>
      <c r="AA88" s="32">
        <f t="shared" si="122"/>
        <v>2.7E-2</v>
      </c>
      <c r="AB88" s="211">
        <f t="shared" si="122"/>
        <v>2.7E-2</v>
      </c>
      <c r="AC88" s="211">
        <f t="shared" si="122"/>
        <v>2.7E-2</v>
      </c>
      <c r="AD88" s="211">
        <f t="shared" si="122"/>
        <v>2.7E-2</v>
      </c>
      <c r="AE88" s="212">
        <f t="shared" si="122"/>
        <v>2.7E-2</v>
      </c>
      <c r="AF88" s="211">
        <f t="shared" si="122"/>
        <v>2.7E-2</v>
      </c>
      <c r="AG88" s="211">
        <f t="shared" si="122"/>
        <v>2.7E-2</v>
      </c>
      <c r="AH88" s="211">
        <f t="shared" si="122"/>
        <v>2.7E-2</v>
      </c>
      <c r="AI88" s="211">
        <f t="shared" si="122"/>
        <v>2.7E-2</v>
      </c>
      <c r="AJ88" s="212">
        <f t="shared" si="122"/>
        <v>2.7E-2</v>
      </c>
      <c r="AK88" s="211">
        <f t="shared" si="116"/>
        <v>2.7E-2</v>
      </c>
      <c r="AL88" s="211">
        <f t="shared" si="116"/>
        <v>2.7E-2</v>
      </c>
      <c r="AM88" s="211">
        <f t="shared" si="116"/>
        <v>2.7E-2</v>
      </c>
      <c r="AN88" s="211">
        <f t="shared" si="116"/>
        <v>2.7E-2</v>
      </c>
      <c r="AO88" s="212">
        <f t="shared" si="116"/>
        <v>2.7E-2</v>
      </c>
      <c r="AP88" s="211">
        <f t="shared" si="104"/>
        <v>2.7E-2</v>
      </c>
      <c r="AQ88" s="211">
        <f t="shared" si="105"/>
        <v>2.7E-2</v>
      </c>
      <c r="AR88" s="211">
        <f t="shared" si="106"/>
        <v>2.7E-2</v>
      </c>
      <c r="AS88" s="211">
        <f t="shared" si="107"/>
        <v>2.7E-2</v>
      </c>
      <c r="AT88" s="212">
        <f t="shared" si="123"/>
        <v>2.7E-2</v>
      </c>
      <c r="AU88" s="211">
        <f t="shared" si="117"/>
        <v>2.7E-2</v>
      </c>
      <c r="AV88" s="211">
        <f t="shared" si="118"/>
        <v>2.7E-2</v>
      </c>
      <c r="AW88" s="211">
        <f t="shared" si="119"/>
        <v>2.7E-2</v>
      </c>
      <c r="AX88" s="211">
        <f t="shared" si="120"/>
        <v>2.7E-2</v>
      </c>
      <c r="AY88" s="212">
        <f t="shared" si="121"/>
        <v>2.7E-2</v>
      </c>
      <c r="AZ88" s="211">
        <f t="shared" si="115"/>
        <v>2.7E-2</v>
      </c>
      <c r="BA88" s="211">
        <f t="shared" si="94"/>
        <v>2.7E-2</v>
      </c>
      <c r="BB88" s="211">
        <f t="shared" si="95"/>
        <v>2.7E-2</v>
      </c>
      <c r="BC88" s="211">
        <f t="shared" si="96"/>
        <v>2.7E-2</v>
      </c>
      <c r="BD88" s="212">
        <f t="shared" si="97"/>
        <v>2.7E-2</v>
      </c>
      <c r="BE88" s="211">
        <f t="shared" si="98"/>
        <v>2.7E-2</v>
      </c>
      <c r="BF88" s="211">
        <f t="shared" si="99"/>
        <v>2.7E-2</v>
      </c>
      <c r="BG88" s="211">
        <f t="shared" si="100"/>
        <v>2.7E-2</v>
      </c>
      <c r="BH88" s="211">
        <f t="shared" si="101"/>
        <v>2.7E-2</v>
      </c>
      <c r="BI88" s="212">
        <f t="shared" si="102"/>
        <v>2.7E-2</v>
      </c>
    </row>
    <row r="89" spans="1:61" s="26" customFormat="1">
      <c r="A89" s="3" t="s">
        <v>365</v>
      </c>
      <c r="B89" s="211"/>
      <c r="C89" s="211"/>
      <c r="D89" s="211"/>
      <c r="E89" s="32"/>
      <c r="F89" s="212"/>
      <c r="G89" s="211"/>
      <c r="H89" s="211"/>
      <c r="I89" s="211"/>
      <c r="J89" s="32"/>
      <c r="K89" s="212"/>
      <c r="L89" s="211"/>
      <c r="M89" s="211"/>
      <c r="N89" s="211"/>
      <c r="O89" s="32"/>
      <c r="P89" s="212">
        <v>2.7E-2</v>
      </c>
      <c r="Q89" s="32">
        <f t="shared" si="91"/>
        <v>2.7E-2</v>
      </c>
      <c r="R89" s="32">
        <f t="shared" si="91"/>
        <v>2.7E-2</v>
      </c>
      <c r="S89" s="32">
        <f t="shared" si="91"/>
        <v>2.7E-2</v>
      </c>
      <c r="T89" s="32">
        <f t="shared" si="91"/>
        <v>2.7E-2</v>
      </c>
      <c r="U89" s="212">
        <v>2.7E-2</v>
      </c>
      <c r="V89" s="32">
        <f t="shared" si="92"/>
        <v>2.7E-2</v>
      </c>
      <c r="W89" s="32">
        <f t="shared" si="92"/>
        <v>2.7E-2</v>
      </c>
      <c r="X89" s="32">
        <f t="shared" si="92"/>
        <v>2.7E-2</v>
      </c>
      <c r="Y89" s="32">
        <f t="shared" si="92"/>
        <v>2.7E-2</v>
      </c>
      <c r="Z89" s="212">
        <v>2.7E-2</v>
      </c>
      <c r="AA89" s="32">
        <f t="shared" si="122"/>
        <v>2.7E-2</v>
      </c>
      <c r="AB89" s="211">
        <f t="shared" si="122"/>
        <v>2.7E-2</v>
      </c>
      <c r="AC89" s="211">
        <f t="shared" si="122"/>
        <v>2.7E-2</v>
      </c>
      <c r="AD89" s="211">
        <f t="shared" si="122"/>
        <v>2.7E-2</v>
      </c>
      <c r="AE89" s="212">
        <f t="shared" si="122"/>
        <v>2.7E-2</v>
      </c>
      <c r="AF89" s="211">
        <f t="shared" si="122"/>
        <v>2.7E-2</v>
      </c>
      <c r="AG89" s="211">
        <f t="shared" si="122"/>
        <v>2.7E-2</v>
      </c>
      <c r="AH89" s="211">
        <f t="shared" si="122"/>
        <v>2.7E-2</v>
      </c>
      <c r="AI89" s="211">
        <f t="shared" si="122"/>
        <v>2.7E-2</v>
      </c>
      <c r="AJ89" s="212">
        <f t="shared" si="122"/>
        <v>2.7E-2</v>
      </c>
      <c r="AK89" s="211">
        <f t="shared" si="116"/>
        <v>2.7E-2</v>
      </c>
      <c r="AL89" s="211">
        <f t="shared" si="116"/>
        <v>2.7E-2</v>
      </c>
      <c r="AM89" s="211">
        <f t="shared" si="116"/>
        <v>2.7E-2</v>
      </c>
      <c r="AN89" s="211">
        <f t="shared" si="116"/>
        <v>2.7E-2</v>
      </c>
      <c r="AO89" s="212">
        <f t="shared" si="116"/>
        <v>2.7E-2</v>
      </c>
      <c r="AP89" s="211">
        <f t="shared" si="104"/>
        <v>2.7E-2</v>
      </c>
      <c r="AQ89" s="211">
        <f t="shared" si="105"/>
        <v>2.7E-2</v>
      </c>
      <c r="AR89" s="211">
        <f t="shared" si="106"/>
        <v>2.7E-2</v>
      </c>
      <c r="AS89" s="211">
        <f t="shared" si="107"/>
        <v>2.7E-2</v>
      </c>
      <c r="AT89" s="212">
        <f t="shared" si="123"/>
        <v>2.7E-2</v>
      </c>
      <c r="AU89" s="211">
        <f t="shared" si="117"/>
        <v>2.7E-2</v>
      </c>
      <c r="AV89" s="211">
        <f t="shared" si="118"/>
        <v>2.7E-2</v>
      </c>
      <c r="AW89" s="211">
        <f t="shared" si="119"/>
        <v>2.7E-2</v>
      </c>
      <c r="AX89" s="211">
        <f t="shared" si="120"/>
        <v>2.7E-2</v>
      </c>
      <c r="AY89" s="212">
        <f t="shared" si="121"/>
        <v>2.7E-2</v>
      </c>
      <c r="AZ89" s="211">
        <f t="shared" si="115"/>
        <v>2.7E-2</v>
      </c>
      <c r="BA89" s="211">
        <f t="shared" si="94"/>
        <v>2.7E-2</v>
      </c>
      <c r="BB89" s="211">
        <f t="shared" si="95"/>
        <v>2.7E-2</v>
      </c>
      <c r="BC89" s="211">
        <f t="shared" si="96"/>
        <v>2.7E-2</v>
      </c>
      <c r="BD89" s="212">
        <f t="shared" si="97"/>
        <v>2.7E-2</v>
      </c>
      <c r="BE89" s="211">
        <f t="shared" si="98"/>
        <v>2.7E-2</v>
      </c>
      <c r="BF89" s="211">
        <f t="shared" si="99"/>
        <v>2.7E-2</v>
      </c>
      <c r="BG89" s="211">
        <f t="shared" si="100"/>
        <v>2.7E-2</v>
      </c>
      <c r="BH89" s="211">
        <f t="shared" si="101"/>
        <v>2.7E-2</v>
      </c>
      <c r="BI89" s="212">
        <f t="shared" si="102"/>
        <v>2.7E-2</v>
      </c>
    </row>
    <row r="90" spans="1:61" s="26" customFormat="1">
      <c r="A90" s="3" t="s">
        <v>366</v>
      </c>
      <c r="B90" s="211"/>
      <c r="C90" s="211"/>
      <c r="D90" s="211"/>
      <c r="E90" s="32"/>
      <c r="F90" s="212"/>
      <c r="G90" s="211"/>
      <c r="H90" s="211"/>
      <c r="I90" s="211"/>
      <c r="J90" s="32"/>
      <c r="K90" s="212"/>
      <c r="L90" s="211"/>
      <c r="M90" s="211"/>
      <c r="N90" s="211"/>
      <c r="O90" s="32"/>
      <c r="P90" s="212">
        <v>2.8000000000000001E-2</v>
      </c>
      <c r="Q90" s="32">
        <f t="shared" si="91"/>
        <v>2.8000000000000001E-2</v>
      </c>
      <c r="R90" s="32">
        <f t="shared" si="91"/>
        <v>2.8000000000000001E-2</v>
      </c>
      <c r="S90" s="32">
        <f t="shared" si="91"/>
        <v>2.8000000000000001E-2</v>
      </c>
      <c r="T90" s="32">
        <f t="shared" si="91"/>
        <v>2.8000000000000001E-2</v>
      </c>
      <c r="U90" s="212">
        <v>2.8000000000000001E-2</v>
      </c>
      <c r="V90" s="32">
        <f t="shared" si="92"/>
        <v>2.8000000000000001E-2</v>
      </c>
      <c r="W90" s="32">
        <f t="shared" si="92"/>
        <v>2.8000000000000001E-2</v>
      </c>
      <c r="X90" s="32">
        <f t="shared" si="92"/>
        <v>2.8000000000000001E-2</v>
      </c>
      <c r="Y90" s="32">
        <f t="shared" si="92"/>
        <v>2.8000000000000001E-2</v>
      </c>
      <c r="Z90" s="212">
        <v>2.8000000000000001E-2</v>
      </c>
      <c r="AA90" s="32">
        <f t="shared" si="122"/>
        <v>2.8000000000000001E-2</v>
      </c>
      <c r="AB90" s="211">
        <f t="shared" si="122"/>
        <v>2.8000000000000001E-2</v>
      </c>
      <c r="AC90" s="211">
        <f t="shared" si="122"/>
        <v>2.8000000000000001E-2</v>
      </c>
      <c r="AD90" s="211">
        <f t="shared" si="122"/>
        <v>2.8000000000000001E-2</v>
      </c>
      <c r="AE90" s="212">
        <f t="shared" si="122"/>
        <v>2.8000000000000001E-2</v>
      </c>
      <c r="AF90" s="211">
        <f t="shared" si="122"/>
        <v>2.8000000000000001E-2</v>
      </c>
      <c r="AG90" s="211">
        <f t="shared" si="122"/>
        <v>2.8000000000000001E-2</v>
      </c>
      <c r="AH90" s="211">
        <f t="shared" si="122"/>
        <v>2.8000000000000001E-2</v>
      </c>
      <c r="AI90" s="211">
        <f t="shared" si="122"/>
        <v>2.8000000000000001E-2</v>
      </c>
      <c r="AJ90" s="212">
        <f t="shared" si="122"/>
        <v>2.8000000000000001E-2</v>
      </c>
      <c r="AK90" s="211">
        <f t="shared" si="116"/>
        <v>2.8000000000000001E-2</v>
      </c>
      <c r="AL90" s="211">
        <f t="shared" si="116"/>
        <v>2.8000000000000001E-2</v>
      </c>
      <c r="AM90" s="211">
        <f t="shared" si="116"/>
        <v>2.8000000000000001E-2</v>
      </c>
      <c r="AN90" s="211">
        <f t="shared" si="116"/>
        <v>2.8000000000000001E-2</v>
      </c>
      <c r="AO90" s="212">
        <f t="shared" si="116"/>
        <v>2.8000000000000001E-2</v>
      </c>
      <c r="AP90" s="211">
        <f t="shared" si="104"/>
        <v>2.8000000000000001E-2</v>
      </c>
      <c r="AQ90" s="211">
        <f t="shared" si="105"/>
        <v>2.8000000000000001E-2</v>
      </c>
      <c r="AR90" s="211">
        <f t="shared" si="106"/>
        <v>2.8000000000000001E-2</v>
      </c>
      <c r="AS90" s="211">
        <f t="shared" si="107"/>
        <v>2.8000000000000001E-2</v>
      </c>
      <c r="AT90" s="212">
        <f t="shared" si="123"/>
        <v>2.8000000000000001E-2</v>
      </c>
      <c r="AU90" s="211">
        <f t="shared" si="117"/>
        <v>2.8000000000000001E-2</v>
      </c>
      <c r="AV90" s="211">
        <f t="shared" si="118"/>
        <v>2.8000000000000001E-2</v>
      </c>
      <c r="AW90" s="211">
        <f t="shared" si="119"/>
        <v>2.8000000000000001E-2</v>
      </c>
      <c r="AX90" s="211">
        <f t="shared" si="120"/>
        <v>2.8000000000000001E-2</v>
      </c>
      <c r="AY90" s="212">
        <f t="shared" si="121"/>
        <v>2.8000000000000001E-2</v>
      </c>
      <c r="AZ90" s="211">
        <f t="shared" si="115"/>
        <v>2.8000000000000001E-2</v>
      </c>
      <c r="BA90" s="211">
        <f t="shared" si="94"/>
        <v>2.8000000000000001E-2</v>
      </c>
      <c r="BB90" s="211">
        <f t="shared" si="95"/>
        <v>2.8000000000000001E-2</v>
      </c>
      <c r="BC90" s="211">
        <f t="shared" si="96"/>
        <v>2.8000000000000001E-2</v>
      </c>
      <c r="BD90" s="212">
        <f t="shared" si="97"/>
        <v>2.8000000000000001E-2</v>
      </c>
      <c r="BE90" s="211">
        <f t="shared" si="98"/>
        <v>2.8000000000000001E-2</v>
      </c>
      <c r="BF90" s="211">
        <f t="shared" si="99"/>
        <v>2.8000000000000001E-2</v>
      </c>
      <c r="BG90" s="211">
        <f t="shared" si="100"/>
        <v>2.8000000000000001E-2</v>
      </c>
      <c r="BH90" s="211">
        <f t="shared" si="101"/>
        <v>2.8000000000000001E-2</v>
      </c>
      <c r="BI90" s="212">
        <f t="shared" si="102"/>
        <v>2.8000000000000001E-2</v>
      </c>
    </row>
    <row r="91" spans="1:61" s="26" customFormat="1">
      <c r="A91" s="3" t="s">
        <v>589</v>
      </c>
      <c r="B91" s="211"/>
      <c r="C91" s="211"/>
      <c r="D91" s="211"/>
      <c r="E91" s="32"/>
      <c r="F91" s="212"/>
      <c r="G91" s="211"/>
      <c r="H91" s="211"/>
      <c r="I91" s="211"/>
      <c r="J91" s="32"/>
      <c r="K91" s="212"/>
      <c r="L91" s="211"/>
      <c r="M91" s="211"/>
      <c r="N91" s="211"/>
      <c r="O91" s="32"/>
      <c r="P91" s="212"/>
      <c r="Q91" s="32"/>
      <c r="R91" s="32"/>
      <c r="S91" s="32"/>
      <c r="T91" s="32"/>
      <c r="U91" s="212"/>
      <c r="V91" s="32"/>
      <c r="W91" s="32"/>
      <c r="X91" s="32"/>
      <c r="Y91" s="32"/>
      <c r="Z91" s="212"/>
      <c r="AA91" s="32"/>
      <c r="AB91" s="211"/>
      <c r="AC91" s="211"/>
      <c r="AD91" s="211"/>
      <c r="AE91" s="212"/>
      <c r="AF91" s="211">
        <v>1.167E-2</v>
      </c>
      <c r="AG91" s="211">
        <f t="shared" ref="AG91:AJ93" si="124">AF91</f>
        <v>1.167E-2</v>
      </c>
      <c r="AH91" s="211">
        <f t="shared" si="124"/>
        <v>1.167E-2</v>
      </c>
      <c r="AI91" s="211">
        <f t="shared" si="124"/>
        <v>1.167E-2</v>
      </c>
      <c r="AJ91" s="212">
        <f t="shared" si="124"/>
        <v>1.167E-2</v>
      </c>
      <c r="AK91" s="211">
        <f t="shared" si="116"/>
        <v>1.167E-2</v>
      </c>
      <c r="AL91" s="211">
        <f t="shared" si="116"/>
        <v>1.167E-2</v>
      </c>
      <c r="AM91" s="211">
        <f t="shared" si="116"/>
        <v>1.167E-2</v>
      </c>
      <c r="AN91" s="211">
        <f t="shared" si="116"/>
        <v>1.167E-2</v>
      </c>
      <c r="AO91" s="212">
        <f t="shared" si="116"/>
        <v>1.167E-2</v>
      </c>
      <c r="AP91" s="211">
        <f t="shared" si="104"/>
        <v>1.167E-2</v>
      </c>
      <c r="AQ91" s="211">
        <f t="shared" si="105"/>
        <v>1.167E-2</v>
      </c>
      <c r="AR91" s="211">
        <f t="shared" si="106"/>
        <v>1.167E-2</v>
      </c>
      <c r="AS91" s="211">
        <f t="shared" si="107"/>
        <v>1.167E-2</v>
      </c>
      <c r="AT91" s="212">
        <f t="shared" si="123"/>
        <v>1.167E-2</v>
      </c>
      <c r="AU91" s="211">
        <f t="shared" si="117"/>
        <v>1.167E-2</v>
      </c>
      <c r="AV91" s="211">
        <f t="shared" si="118"/>
        <v>1.167E-2</v>
      </c>
      <c r="AW91" s="211">
        <f t="shared" si="119"/>
        <v>1.167E-2</v>
      </c>
      <c r="AX91" s="211">
        <f t="shared" si="120"/>
        <v>1.167E-2</v>
      </c>
      <c r="AY91" s="212">
        <f t="shared" si="121"/>
        <v>1.167E-2</v>
      </c>
      <c r="AZ91" s="211">
        <f t="shared" si="115"/>
        <v>1.167E-2</v>
      </c>
      <c r="BA91" s="211">
        <f t="shared" si="94"/>
        <v>1.167E-2</v>
      </c>
      <c r="BB91" s="211">
        <f t="shared" si="95"/>
        <v>1.167E-2</v>
      </c>
      <c r="BC91" s="211">
        <f t="shared" si="96"/>
        <v>1.167E-2</v>
      </c>
      <c r="BD91" s="212">
        <f t="shared" si="97"/>
        <v>1.167E-2</v>
      </c>
      <c r="BE91" s="211">
        <f t="shared" si="98"/>
        <v>1.167E-2</v>
      </c>
      <c r="BF91" s="211">
        <f t="shared" si="99"/>
        <v>1.167E-2</v>
      </c>
      <c r="BG91" s="211">
        <f t="shared" si="100"/>
        <v>1.167E-2</v>
      </c>
      <c r="BH91" s="211">
        <f t="shared" si="101"/>
        <v>1.167E-2</v>
      </c>
      <c r="BI91" s="212">
        <f t="shared" si="102"/>
        <v>1.167E-2</v>
      </c>
    </row>
    <row r="92" spans="1:61" s="26" customFormat="1">
      <c r="A92" s="3" t="s">
        <v>592</v>
      </c>
      <c r="B92" s="211"/>
      <c r="C92" s="211"/>
      <c r="D92" s="211"/>
      <c r="E92" s="32"/>
      <c r="F92" s="212"/>
      <c r="G92" s="211"/>
      <c r="H92" s="211"/>
      <c r="I92" s="211"/>
      <c r="J92" s="32"/>
      <c r="K92" s="212"/>
      <c r="L92" s="211"/>
      <c r="M92" s="211"/>
      <c r="N92" s="211"/>
      <c r="O92" s="32"/>
      <c r="P92" s="212"/>
      <c r="Q92" s="32"/>
      <c r="R92" s="32"/>
      <c r="S92" s="32"/>
      <c r="T92" s="32"/>
      <c r="U92" s="212"/>
      <c r="V92" s="32"/>
      <c r="W92" s="32"/>
      <c r="X92" s="32"/>
      <c r="Y92" s="32"/>
      <c r="Z92" s="212"/>
      <c r="AA92" s="32"/>
      <c r="AB92" s="211"/>
      <c r="AC92" s="211"/>
      <c r="AD92" s="211"/>
      <c r="AE92" s="212"/>
      <c r="AF92" s="211">
        <v>1.4330000000000001E-2</v>
      </c>
      <c r="AG92" s="211">
        <f t="shared" si="124"/>
        <v>1.4330000000000001E-2</v>
      </c>
      <c r="AH92" s="211">
        <f t="shared" si="124"/>
        <v>1.4330000000000001E-2</v>
      </c>
      <c r="AI92" s="211">
        <f t="shared" si="124"/>
        <v>1.4330000000000001E-2</v>
      </c>
      <c r="AJ92" s="212">
        <f t="shared" si="124"/>
        <v>1.4330000000000001E-2</v>
      </c>
      <c r="AK92" s="211">
        <f t="shared" si="116"/>
        <v>1.4330000000000001E-2</v>
      </c>
      <c r="AL92" s="211">
        <f t="shared" si="116"/>
        <v>1.4330000000000001E-2</v>
      </c>
      <c r="AM92" s="211">
        <f t="shared" si="116"/>
        <v>1.4330000000000001E-2</v>
      </c>
      <c r="AN92" s="211">
        <f t="shared" si="116"/>
        <v>1.4330000000000001E-2</v>
      </c>
      <c r="AO92" s="212">
        <f t="shared" si="116"/>
        <v>1.4330000000000001E-2</v>
      </c>
      <c r="AP92" s="211">
        <f t="shared" si="104"/>
        <v>1.4330000000000001E-2</v>
      </c>
      <c r="AQ92" s="211">
        <f t="shared" si="105"/>
        <v>1.4330000000000001E-2</v>
      </c>
      <c r="AR92" s="211">
        <f t="shared" si="106"/>
        <v>1.4330000000000001E-2</v>
      </c>
      <c r="AS92" s="211">
        <f t="shared" si="107"/>
        <v>1.4330000000000001E-2</v>
      </c>
      <c r="AT92" s="212">
        <f t="shared" si="123"/>
        <v>1.4330000000000001E-2</v>
      </c>
      <c r="AU92" s="211">
        <f t="shared" si="117"/>
        <v>1.4330000000000001E-2</v>
      </c>
      <c r="AV92" s="211">
        <f t="shared" si="118"/>
        <v>1.4330000000000001E-2</v>
      </c>
      <c r="AW92" s="211">
        <f t="shared" si="119"/>
        <v>1.4330000000000001E-2</v>
      </c>
      <c r="AX92" s="211">
        <f t="shared" si="120"/>
        <v>1.4330000000000001E-2</v>
      </c>
      <c r="AY92" s="212">
        <f t="shared" si="121"/>
        <v>1.4330000000000001E-2</v>
      </c>
      <c r="AZ92" s="211">
        <f t="shared" si="115"/>
        <v>1.4330000000000001E-2</v>
      </c>
      <c r="BA92" s="211">
        <f t="shared" si="94"/>
        <v>1.4330000000000001E-2</v>
      </c>
      <c r="BB92" s="211">
        <f t="shared" si="95"/>
        <v>1.4330000000000001E-2</v>
      </c>
      <c r="BC92" s="211">
        <f t="shared" si="96"/>
        <v>1.4330000000000001E-2</v>
      </c>
      <c r="BD92" s="212">
        <f t="shared" si="97"/>
        <v>1.4330000000000001E-2</v>
      </c>
      <c r="BE92" s="211">
        <f t="shared" si="98"/>
        <v>1.4330000000000001E-2</v>
      </c>
      <c r="BF92" s="211">
        <f t="shared" si="99"/>
        <v>1.4330000000000001E-2</v>
      </c>
      <c r="BG92" s="211">
        <f t="shared" si="100"/>
        <v>1.4330000000000001E-2</v>
      </c>
      <c r="BH92" s="211">
        <f t="shared" si="101"/>
        <v>1.4330000000000001E-2</v>
      </c>
      <c r="BI92" s="212">
        <f t="shared" si="102"/>
        <v>1.4330000000000001E-2</v>
      </c>
    </row>
    <row r="93" spans="1:61" s="26" customFormat="1">
      <c r="A93" s="3" t="s">
        <v>591</v>
      </c>
      <c r="B93" s="211"/>
      <c r="C93" s="211"/>
      <c r="D93" s="211"/>
      <c r="E93" s="32"/>
      <c r="F93" s="212"/>
      <c r="G93" s="211"/>
      <c r="H93" s="211"/>
      <c r="I93" s="211"/>
      <c r="J93" s="32"/>
      <c r="K93" s="212"/>
      <c r="L93" s="211"/>
      <c r="M93" s="211"/>
      <c r="N93" s="211"/>
      <c r="O93" s="32"/>
      <c r="P93" s="212"/>
      <c r="Q93" s="32"/>
      <c r="R93" s="32"/>
      <c r="S93" s="32"/>
      <c r="T93" s="32"/>
      <c r="U93" s="212"/>
      <c r="V93" s="32"/>
      <c r="W93" s="32"/>
      <c r="X93" s="32"/>
      <c r="Y93" s="32"/>
      <c r="Z93" s="212"/>
      <c r="AA93" s="32"/>
      <c r="AB93" s="211"/>
      <c r="AC93" s="211"/>
      <c r="AD93" s="211"/>
      <c r="AE93" s="212"/>
      <c r="AF93" s="211">
        <v>2.196E-2</v>
      </c>
      <c r="AG93" s="211">
        <f t="shared" si="124"/>
        <v>2.196E-2</v>
      </c>
      <c r="AH93" s="211">
        <f t="shared" si="124"/>
        <v>2.196E-2</v>
      </c>
      <c r="AI93" s="211">
        <f t="shared" si="124"/>
        <v>2.196E-2</v>
      </c>
      <c r="AJ93" s="212">
        <f t="shared" si="124"/>
        <v>2.196E-2</v>
      </c>
      <c r="AK93" s="211">
        <f t="shared" si="116"/>
        <v>2.196E-2</v>
      </c>
      <c r="AL93" s="211">
        <f t="shared" si="116"/>
        <v>2.196E-2</v>
      </c>
      <c r="AM93" s="211">
        <f t="shared" si="116"/>
        <v>2.196E-2</v>
      </c>
      <c r="AN93" s="211">
        <f t="shared" si="116"/>
        <v>2.196E-2</v>
      </c>
      <c r="AO93" s="212">
        <f t="shared" si="116"/>
        <v>2.196E-2</v>
      </c>
      <c r="AP93" s="211">
        <f t="shared" si="104"/>
        <v>2.196E-2</v>
      </c>
      <c r="AQ93" s="211">
        <f t="shared" si="105"/>
        <v>2.196E-2</v>
      </c>
      <c r="AR93" s="211">
        <f t="shared" si="106"/>
        <v>2.196E-2</v>
      </c>
      <c r="AS93" s="211">
        <f t="shared" si="107"/>
        <v>2.196E-2</v>
      </c>
      <c r="AT93" s="212">
        <f t="shared" si="123"/>
        <v>2.196E-2</v>
      </c>
      <c r="AU93" s="211">
        <f t="shared" si="117"/>
        <v>2.196E-2</v>
      </c>
      <c r="AV93" s="211">
        <f t="shared" si="118"/>
        <v>2.196E-2</v>
      </c>
      <c r="AW93" s="211">
        <f t="shared" si="119"/>
        <v>2.196E-2</v>
      </c>
      <c r="AX93" s="211">
        <f t="shared" si="120"/>
        <v>2.196E-2</v>
      </c>
      <c r="AY93" s="212">
        <f t="shared" si="121"/>
        <v>2.196E-2</v>
      </c>
      <c r="AZ93" s="211">
        <f t="shared" si="115"/>
        <v>2.196E-2</v>
      </c>
      <c r="BA93" s="211">
        <f t="shared" si="94"/>
        <v>2.196E-2</v>
      </c>
      <c r="BB93" s="211">
        <f t="shared" si="95"/>
        <v>2.196E-2</v>
      </c>
      <c r="BC93" s="211">
        <f t="shared" si="96"/>
        <v>2.196E-2</v>
      </c>
      <c r="BD93" s="212">
        <f t="shared" si="97"/>
        <v>2.196E-2</v>
      </c>
      <c r="BE93" s="211">
        <f t="shared" si="98"/>
        <v>2.196E-2</v>
      </c>
      <c r="BF93" s="211">
        <f t="shared" si="99"/>
        <v>2.196E-2</v>
      </c>
      <c r="BG93" s="211">
        <f t="shared" si="100"/>
        <v>2.196E-2</v>
      </c>
      <c r="BH93" s="211">
        <f t="shared" si="101"/>
        <v>2.196E-2</v>
      </c>
      <c r="BI93" s="212">
        <f t="shared" si="102"/>
        <v>2.196E-2</v>
      </c>
    </row>
    <row r="94" spans="1:61" s="26" customFormat="1">
      <c r="A94" s="3" t="s">
        <v>367</v>
      </c>
      <c r="B94" s="211"/>
      <c r="C94" s="211"/>
      <c r="D94" s="211"/>
      <c r="E94" s="32"/>
      <c r="F94" s="212"/>
      <c r="G94" s="211"/>
      <c r="H94" s="211"/>
      <c r="I94" s="211"/>
      <c r="J94" s="32"/>
      <c r="K94" s="212"/>
      <c r="L94" s="211"/>
      <c r="M94" s="211"/>
      <c r="N94" s="211"/>
      <c r="O94" s="32"/>
      <c r="P94" s="212">
        <v>2.8000000000000001E-2</v>
      </c>
      <c r="Q94" s="32">
        <f t="shared" si="91"/>
        <v>2.8000000000000001E-2</v>
      </c>
      <c r="R94" s="32">
        <f t="shared" si="91"/>
        <v>2.8000000000000001E-2</v>
      </c>
      <c r="S94" s="32">
        <f t="shared" si="91"/>
        <v>2.8000000000000001E-2</v>
      </c>
      <c r="T94" s="32">
        <f t="shared" si="91"/>
        <v>2.8000000000000001E-2</v>
      </c>
      <c r="U94" s="212">
        <v>2.8000000000000001E-2</v>
      </c>
      <c r="V94" s="32">
        <f t="shared" si="92"/>
        <v>2.8000000000000001E-2</v>
      </c>
      <c r="W94" s="32">
        <f t="shared" si="92"/>
        <v>2.8000000000000001E-2</v>
      </c>
      <c r="X94" s="32">
        <f t="shared" si="92"/>
        <v>2.8000000000000001E-2</v>
      </c>
      <c r="Y94" s="32">
        <f t="shared" si="92"/>
        <v>2.8000000000000001E-2</v>
      </c>
      <c r="Z94" s="212">
        <v>2.8000000000000001E-2</v>
      </c>
      <c r="AA94" s="32">
        <f t="shared" si="122"/>
        <v>2.8000000000000001E-2</v>
      </c>
      <c r="AB94" s="211">
        <f t="shared" si="122"/>
        <v>2.8000000000000001E-2</v>
      </c>
      <c r="AC94" s="211">
        <f t="shared" si="122"/>
        <v>2.8000000000000001E-2</v>
      </c>
      <c r="AD94" s="211">
        <f t="shared" si="122"/>
        <v>2.8000000000000001E-2</v>
      </c>
      <c r="AE94" s="212">
        <f t="shared" si="122"/>
        <v>2.8000000000000001E-2</v>
      </c>
      <c r="AF94" s="211">
        <f t="shared" si="122"/>
        <v>2.8000000000000001E-2</v>
      </c>
      <c r="AG94" s="211">
        <f t="shared" si="122"/>
        <v>2.8000000000000001E-2</v>
      </c>
      <c r="AH94" s="211">
        <f t="shared" si="122"/>
        <v>2.8000000000000001E-2</v>
      </c>
      <c r="AI94" s="211">
        <f t="shared" si="122"/>
        <v>2.8000000000000001E-2</v>
      </c>
      <c r="AJ94" s="212">
        <f t="shared" si="122"/>
        <v>2.8000000000000001E-2</v>
      </c>
      <c r="AK94" s="211">
        <f t="shared" ref="AK94:AO123" si="125">AJ94</f>
        <v>2.8000000000000001E-2</v>
      </c>
      <c r="AL94" s="211">
        <f t="shared" si="125"/>
        <v>2.8000000000000001E-2</v>
      </c>
      <c r="AM94" s="211">
        <f t="shared" si="125"/>
        <v>2.8000000000000001E-2</v>
      </c>
      <c r="AN94" s="211">
        <f t="shared" si="125"/>
        <v>2.8000000000000001E-2</v>
      </c>
      <c r="AO94" s="212">
        <f t="shared" si="125"/>
        <v>2.8000000000000001E-2</v>
      </c>
      <c r="AP94" s="211">
        <f t="shared" si="104"/>
        <v>2.8000000000000001E-2</v>
      </c>
      <c r="AQ94" s="211">
        <f t="shared" si="105"/>
        <v>2.8000000000000001E-2</v>
      </c>
      <c r="AR94" s="211">
        <f t="shared" si="106"/>
        <v>2.8000000000000001E-2</v>
      </c>
      <c r="AS94" s="211">
        <f t="shared" si="107"/>
        <v>2.8000000000000001E-2</v>
      </c>
      <c r="AT94" s="212">
        <f t="shared" si="123"/>
        <v>2.8000000000000001E-2</v>
      </c>
      <c r="AU94" s="211">
        <f t="shared" si="117"/>
        <v>2.8000000000000001E-2</v>
      </c>
      <c r="AV94" s="211">
        <f t="shared" si="118"/>
        <v>2.8000000000000001E-2</v>
      </c>
      <c r="AW94" s="211">
        <f t="shared" si="119"/>
        <v>2.8000000000000001E-2</v>
      </c>
      <c r="AX94" s="211">
        <f t="shared" si="120"/>
        <v>2.8000000000000001E-2</v>
      </c>
      <c r="AY94" s="212">
        <f t="shared" si="121"/>
        <v>2.8000000000000001E-2</v>
      </c>
      <c r="AZ94" s="211">
        <f t="shared" si="115"/>
        <v>2.8000000000000001E-2</v>
      </c>
      <c r="BA94" s="211">
        <f t="shared" si="94"/>
        <v>2.8000000000000001E-2</v>
      </c>
      <c r="BB94" s="211">
        <f t="shared" si="95"/>
        <v>2.8000000000000001E-2</v>
      </c>
      <c r="BC94" s="211">
        <f t="shared" si="96"/>
        <v>2.8000000000000001E-2</v>
      </c>
      <c r="BD94" s="212">
        <f t="shared" si="97"/>
        <v>2.8000000000000001E-2</v>
      </c>
      <c r="BE94" s="211">
        <f t="shared" si="98"/>
        <v>2.8000000000000001E-2</v>
      </c>
      <c r="BF94" s="211">
        <f t="shared" si="99"/>
        <v>2.8000000000000001E-2</v>
      </c>
      <c r="BG94" s="211">
        <f t="shared" si="100"/>
        <v>2.8000000000000001E-2</v>
      </c>
      <c r="BH94" s="211">
        <f t="shared" si="101"/>
        <v>2.8000000000000001E-2</v>
      </c>
      <c r="BI94" s="212">
        <f t="shared" si="102"/>
        <v>2.8000000000000001E-2</v>
      </c>
    </row>
    <row r="95" spans="1:61" s="26" customFormat="1">
      <c r="A95" s="3" t="s">
        <v>368</v>
      </c>
      <c r="B95" s="211"/>
      <c r="C95" s="211"/>
      <c r="D95" s="211"/>
      <c r="E95" s="32"/>
      <c r="F95" s="212"/>
      <c r="G95" s="211"/>
      <c r="H95" s="211"/>
      <c r="I95" s="211"/>
      <c r="J95" s="32"/>
      <c r="K95" s="212"/>
      <c r="L95" s="211"/>
      <c r="M95" s="211"/>
      <c r="N95" s="211"/>
      <c r="O95" s="32"/>
      <c r="P95" s="212">
        <v>2.8000000000000001E-2</v>
      </c>
      <c r="Q95" s="32">
        <f t="shared" si="91"/>
        <v>2.8000000000000001E-2</v>
      </c>
      <c r="R95" s="32">
        <f t="shared" si="91"/>
        <v>2.8000000000000001E-2</v>
      </c>
      <c r="S95" s="32">
        <f t="shared" si="91"/>
        <v>2.8000000000000001E-2</v>
      </c>
      <c r="T95" s="32">
        <f t="shared" si="91"/>
        <v>2.8000000000000001E-2</v>
      </c>
      <c r="U95" s="212">
        <v>2.8000000000000001E-2</v>
      </c>
      <c r="V95" s="32">
        <f t="shared" si="92"/>
        <v>2.8000000000000001E-2</v>
      </c>
      <c r="W95" s="32">
        <f t="shared" si="92"/>
        <v>2.8000000000000001E-2</v>
      </c>
      <c r="X95" s="32">
        <f t="shared" si="92"/>
        <v>2.8000000000000001E-2</v>
      </c>
      <c r="Y95" s="32">
        <f t="shared" si="92"/>
        <v>2.8000000000000001E-2</v>
      </c>
      <c r="Z95" s="212">
        <v>2.8000000000000001E-2</v>
      </c>
      <c r="AA95" s="32">
        <f t="shared" si="122"/>
        <v>2.8000000000000001E-2</v>
      </c>
      <c r="AB95" s="211">
        <f t="shared" si="122"/>
        <v>2.8000000000000001E-2</v>
      </c>
      <c r="AC95" s="211">
        <f t="shared" si="122"/>
        <v>2.8000000000000001E-2</v>
      </c>
      <c r="AD95" s="211">
        <f t="shared" si="122"/>
        <v>2.8000000000000001E-2</v>
      </c>
      <c r="AE95" s="212">
        <f t="shared" si="122"/>
        <v>2.8000000000000001E-2</v>
      </c>
      <c r="AF95" s="211">
        <f t="shared" si="122"/>
        <v>2.8000000000000001E-2</v>
      </c>
      <c r="AG95" s="211">
        <f t="shared" si="122"/>
        <v>2.8000000000000001E-2</v>
      </c>
      <c r="AH95" s="211">
        <f t="shared" si="122"/>
        <v>2.8000000000000001E-2</v>
      </c>
      <c r="AI95" s="211">
        <f t="shared" si="122"/>
        <v>2.8000000000000001E-2</v>
      </c>
      <c r="AJ95" s="212">
        <f t="shared" si="122"/>
        <v>2.8000000000000001E-2</v>
      </c>
      <c r="AK95" s="211">
        <f t="shared" si="125"/>
        <v>2.8000000000000001E-2</v>
      </c>
      <c r="AL95" s="211">
        <f t="shared" si="125"/>
        <v>2.8000000000000001E-2</v>
      </c>
      <c r="AM95" s="211">
        <f t="shared" si="125"/>
        <v>2.8000000000000001E-2</v>
      </c>
      <c r="AN95" s="211">
        <f t="shared" si="125"/>
        <v>2.8000000000000001E-2</v>
      </c>
      <c r="AO95" s="212">
        <f t="shared" si="125"/>
        <v>2.8000000000000001E-2</v>
      </c>
      <c r="AP95" s="211">
        <f t="shared" si="104"/>
        <v>2.8000000000000001E-2</v>
      </c>
      <c r="AQ95" s="211">
        <f t="shared" si="105"/>
        <v>2.8000000000000001E-2</v>
      </c>
      <c r="AR95" s="211">
        <f t="shared" si="106"/>
        <v>2.8000000000000001E-2</v>
      </c>
      <c r="AS95" s="211">
        <f t="shared" si="107"/>
        <v>2.8000000000000001E-2</v>
      </c>
      <c r="AT95" s="212">
        <f t="shared" si="123"/>
        <v>2.8000000000000001E-2</v>
      </c>
      <c r="AU95" s="211">
        <f t="shared" si="117"/>
        <v>2.8000000000000001E-2</v>
      </c>
      <c r="AV95" s="211">
        <f t="shared" si="118"/>
        <v>2.8000000000000001E-2</v>
      </c>
      <c r="AW95" s="211">
        <f t="shared" si="119"/>
        <v>2.8000000000000001E-2</v>
      </c>
      <c r="AX95" s="211">
        <f t="shared" si="120"/>
        <v>2.8000000000000001E-2</v>
      </c>
      <c r="AY95" s="212">
        <f t="shared" si="121"/>
        <v>2.8000000000000001E-2</v>
      </c>
      <c r="AZ95" s="211">
        <f t="shared" si="115"/>
        <v>2.8000000000000001E-2</v>
      </c>
      <c r="BA95" s="211">
        <f t="shared" si="94"/>
        <v>2.8000000000000001E-2</v>
      </c>
      <c r="BB95" s="211">
        <f t="shared" si="95"/>
        <v>2.8000000000000001E-2</v>
      </c>
      <c r="BC95" s="211">
        <f t="shared" si="96"/>
        <v>2.8000000000000001E-2</v>
      </c>
      <c r="BD95" s="212">
        <f t="shared" si="97"/>
        <v>2.8000000000000001E-2</v>
      </c>
      <c r="BE95" s="211">
        <f t="shared" si="98"/>
        <v>2.8000000000000001E-2</v>
      </c>
      <c r="BF95" s="211">
        <f t="shared" si="99"/>
        <v>2.8000000000000001E-2</v>
      </c>
      <c r="BG95" s="211">
        <f t="shared" si="100"/>
        <v>2.8000000000000001E-2</v>
      </c>
      <c r="BH95" s="211">
        <f t="shared" si="101"/>
        <v>2.8000000000000001E-2</v>
      </c>
      <c r="BI95" s="212">
        <f t="shared" si="102"/>
        <v>2.8000000000000001E-2</v>
      </c>
    </row>
    <row r="96" spans="1:61" s="26" customFormat="1">
      <c r="A96" s="3" t="s">
        <v>369</v>
      </c>
      <c r="B96" s="211"/>
      <c r="C96" s="211"/>
      <c r="D96" s="211"/>
      <c r="E96" s="32"/>
      <c r="F96" s="212"/>
      <c r="G96" s="211"/>
      <c r="H96" s="211"/>
      <c r="I96" s="211"/>
      <c r="J96" s="32"/>
      <c r="K96" s="212"/>
      <c r="L96" s="211"/>
      <c r="M96" s="211"/>
      <c r="N96" s="211"/>
      <c r="O96" s="32"/>
      <c r="P96" s="212">
        <v>2.8500000000000001E-2</v>
      </c>
      <c r="Q96" s="32">
        <f t="shared" si="91"/>
        <v>2.8500000000000001E-2</v>
      </c>
      <c r="R96" s="32">
        <f t="shared" si="91"/>
        <v>2.8500000000000001E-2</v>
      </c>
      <c r="S96" s="32">
        <f t="shared" si="91"/>
        <v>2.8500000000000001E-2</v>
      </c>
      <c r="T96" s="32">
        <f t="shared" si="91"/>
        <v>2.8500000000000001E-2</v>
      </c>
      <c r="U96" s="212">
        <v>2.8500000000000001E-2</v>
      </c>
      <c r="V96" s="32">
        <f t="shared" si="92"/>
        <v>2.8500000000000001E-2</v>
      </c>
      <c r="W96" s="32">
        <f t="shared" si="92"/>
        <v>2.8500000000000001E-2</v>
      </c>
      <c r="X96" s="32">
        <f t="shared" si="92"/>
        <v>2.8500000000000001E-2</v>
      </c>
      <c r="Y96" s="32">
        <f t="shared" si="92"/>
        <v>2.8500000000000001E-2</v>
      </c>
      <c r="Z96" s="212">
        <v>2.8500000000000001E-2</v>
      </c>
      <c r="AA96" s="32">
        <f t="shared" si="122"/>
        <v>2.8500000000000001E-2</v>
      </c>
      <c r="AB96" s="211">
        <f t="shared" si="122"/>
        <v>2.8500000000000001E-2</v>
      </c>
      <c r="AC96" s="211">
        <f t="shared" si="122"/>
        <v>2.8500000000000001E-2</v>
      </c>
      <c r="AD96" s="211">
        <f t="shared" si="122"/>
        <v>2.8500000000000001E-2</v>
      </c>
      <c r="AE96" s="212">
        <f t="shared" si="122"/>
        <v>2.8500000000000001E-2</v>
      </c>
      <c r="AF96" s="211">
        <f t="shared" si="122"/>
        <v>2.8500000000000001E-2</v>
      </c>
      <c r="AG96" s="211">
        <f t="shared" si="122"/>
        <v>2.8500000000000001E-2</v>
      </c>
      <c r="AH96" s="211">
        <f t="shared" si="122"/>
        <v>2.8500000000000001E-2</v>
      </c>
      <c r="AI96" s="211">
        <f t="shared" si="122"/>
        <v>2.8500000000000001E-2</v>
      </c>
      <c r="AJ96" s="212">
        <f t="shared" si="122"/>
        <v>2.8500000000000001E-2</v>
      </c>
      <c r="AK96" s="211">
        <f t="shared" si="125"/>
        <v>2.8500000000000001E-2</v>
      </c>
      <c r="AL96" s="211">
        <f t="shared" si="125"/>
        <v>2.8500000000000001E-2</v>
      </c>
      <c r="AM96" s="211">
        <f t="shared" si="125"/>
        <v>2.8500000000000001E-2</v>
      </c>
      <c r="AN96" s="211">
        <f t="shared" si="125"/>
        <v>2.8500000000000001E-2</v>
      </c>
      <c r="AO96" s="212">
        <f t="shared" si="125"/>
        <v>2.8500000000000001E-2</v>
      </c>
      <c r="AP96" s="211">
        <f t="shared" si="104"/>
        <v>2.8500000000000001E-2</v>
      </c>
      <c r="AQ96" s="211">
        <f t="shared" si="105"/>
        <v>2.8500000000000001E-2</v>
      </c>
      <c r="AR96" s="211">
        <f t="shared" si="106"/>
        <v>2.8500000000000001E-2</v>
      </c>
      <c r="AS96" s="211">
        <f t="shared" si="107"/>
        <v>2.8500000000000001E-2</v>
      </c>
      <c r="AT96" s="212">
        <f t="shared" si="123"/>
        <v>2.8500000000000001E-2</v>
      </c>
      <c r="AU96" s="211">
        <f t="shared" si="117"/>
        <v>2.8500000000000001E-2</v>
      </c>
      <c r="AV96" s="211">
        <f t="shared" si="118"/>
        <v>2.8500000000000001E-2</v>
      </c>
      <c r="AW96" s="211">
        <f t="shared" si="119"/>
        <v>2.8500000000000001E-2</v>
      </c>
      <c r="AX96" s="211">
        <f t="shared" si="120"/>
        <v>2.8500000000000001E-2</v>
      </c>
      <c r="AY96" s="212">
        <f t="shared" si="121"/>
        <v>2.8500000000000001E-2</v>
      </c>
      <c r="AZ96" s="211">
        <f t="shared" si="115"/>
        <v>2.8500000000000001E-2</v>
      </c>
      <c r="BA96" s="211">
        <f t="shared" si="94"/>
        <v>2.8500000000000001E-2</v>
      </c>
      <c r="BB96" s="211">
        <f t="shared" si="95"/>
        <v>2.8500000000000001E-2</v>
      </c>
      <c r="BC96" s="211">
        <f t="shared" si="96"/>
        <v>2.8500000000000001E-2</v>
      </c>
      <c r="BD96" s="212">
        <f t="shared" si="97"/>
        <v>2.8500000000000001E-2</v>
      </c>
      <c r="BE96" s="211">
        <f t="shared" si="98"/>
        <v>2.8500000000000001E-2</v>
      </c>
      <c r="BF96" s="211">
        <f t="shared" si="99"/>
        <v>2.8500000000000001E-2</v>
      </c>
      <c r="BG96" s="211">
        <f t="shared" si="100"/>
        <v>2.8500000000000001E-2</v>
      </c>
      <c r="BH96" s="211">
        <f t="shared" si="101"/>
        <v>2.8500000000000001E-2</v>
      </c>
      <c r="BI96" s="212">
        <f t="shared" si="102"/>
        <v>2.8500000000000001E-2</v>
      </c>
    </row>
    <row r="97" spans="1:61" s="26" customFormat="1">
      <c r="A97" s="3" t="s">
        <v>370</v>
      </c>
      <c r="B97" s="211"/>
      <c r="C97" s="211"/>
      <c r="D97" s="211"/>
      <c r="E97" s="32"/>
      <c r="F97" s="212"/>
      <c r="G97" s="211"/>
      <c r="H97" s="211"/>
      <c r="I97" s="211"/>
      <c r="J97" s="32"/>
      <c r="K97" s="212"/>
      <c r="L97" s="211"/>
      <c r="M97" s="211"/>
      <c r="N97" s="211"/>
      <c r="O97" s="32"/>
      <c r="P97" s="212">
        <v>2.9499999999999998E-2</v>
      </c>
      <c r="Q97" s="32">
        <f t="shared" ref="Q97:T135" si="126">R97</f>
        <v>2.9499999999999998E-2</v>
      </c>
      <c r="R97" s="32">
        <f t="shared" si="126"/>
        <v>2.9499999999999998E-2</v>
      </c>
      <c r="S97" s="32">
        <f t="shared" si="126"/>
        <v>2.9499999999999998E-2</v>
      </c>
      <c r="T97" s="32">
        <f t="shared" si="126"/>
        <v>2.9499999999999998E-2</v>
      </c>
      <c r="U97" s="212">
        <v>2.9499999999999998E-2</v>
      </c>
      <c r="V97" s="32">
        <f t="shared" ref="V97:Y135" si="127">W97</f>
        <v>2.9499999999999998E-2</v>
      </c>
      <c r="W97" s="32">
        <f t="shared" si="127"/>
        <v>2.9499999999999998E-2</v>
      </c>
      <c r="X97" s="32">
        <f t="shared" si="127"/>
        <v>2.9499999999999998E-2</v>
      </c>
      <c r="Y97" s="32">
        <f t="shared" si="127"/>
        <v>2.9499999999999998E-2</v>
      </c>
      <c r="Z97" s="212">
        <v>2.9499999999999998E-2</v>
      </c>
      <c r="AA97" s="32">
        <f t="shared" si="122"/>
        <v>2.9499999999999998E-2</v>
      </c>
      <c r="AB97" s="211">
        <f t="shared" si="122"/>
        <v>2.9499999999999998E-2</v>
      </c>
      <c r="AC97" s="211">
        <f t="shared" si="122"/>
        <v>2.9499999999999998E-2</v>
      </c>
      <c r="AD97" s="211">
        <f t="shared" si="122"/>
        <v>2.9499999999999998E-2</v>
      </c>
      <c r="AE97" s="212">
        <f t="shared" si="122"/>
        <v>2.9499999999999998E-2</v>
      </c>
      <c r="AF97" s="211">
        <f t="shared" si="122"/>
        <v>2.9499999999999998E-2</v>
      </c>
      <c r="AG97" s="211">
        <f t="shared" si="122"/>
        <v>2.9499999999999998E-2</v>
      </c>
      <c r="AH97" s="211">
        <f t="shared" si="122"/>
        <v>2.9499999999999998E-2</v>
      </c>
      <c r="AI97" s="211">
        <f t="shared" si="122"/>
        <v>2.9499999999999998E-2</v>
      </c>
      <c r="AJ97" s="212">
        <f t="shared" si="122"/>
        <v>2.9499999999999998E-2</v>
      </c>
      <c r="AK97" s="211">
        <f t="shared" si="125"/>
        <v>2.9499999999999998E-2</v>
      </c>
      <c r="AL97" s="211">
        <f t="shared" si="125"/>
        <v>2.9499999999999998E-2</v>
      </c>
      <c r="AM97" s="211">
        <f t="shared" si="125"/>
        <v>2.9499999999999998E-2</v>
      </c>
      <c r="AN97" s="211">
        <f t="shared" si="125"/>
        <v>2.9499999999999998E-2</v>
      </c>
      <c r="AO97" s="212">
        <f t="shared" si="125"/>
        <v>2.9499999999999998E-2</v>
      </c>
      <c r="AP97" s="211">
        <f t="shared" si="104"/>
        <v>2.9499999999999998E-2</v>
      </c>
      <c r="AQ97" s="211">
        <f t="shared" si="105"/>
        <v>2.9499999999999998E-2</v>
      </c>
      <c r="AR97" s="211">
        <f t="shared" si="106"/>
        <v>2.9499999999999998E-2</v>
      </c>
      <c r="AS97" s="211">
        <f t="shared" si="107"/>
        <v>2.9499999999999998E-2</v>
      </c>
      <c r="AT97" s="212">
        <f t="shared" si="123"/>
        <v>2.9499999999999998E-2</v>
      </c>
      <c r="AU97" s="211">
        <f t="shared" si="117"/>
        <v>2.9499999999999998E-2</v>
      </c>
      <c r="AV97" s="211">
        <f t="shared" si="118"/>
        <v>2.9499999999999998E-2</v>
      </c>
      <c r="AW97" s="211">
        <f t="shared" si="119"/>
        <v>2.9499999999999998E-2</v>
      </c>
      <c r="AX97" s="211">
        <f t="shared" si="120"/>
        <v>2.9499999999999998E-2</v>
      </c>
      <c r="AY97" s="212">
        <f t="shared" si="121"/>
        <v>2.9499999999999998E-2</v>
      </c>
      <c r="AZ97" s="211">
        <f t="shared" si="115"/>
        <v>2.9499999999999998E-2</v>
      </c>
      <c r="BA97" s="211">
        <f t="shared" si="94"/>
        <v>2.9499999999999998E-2</v>
      </c>
      <c r="BB97" s="211">
        <f t="shared" si="95"/>
        <v>2.9499999999999998E-2</v>
      </c>
      <c r="BC97" s="211">
        <f t="shared" si="96"/>
        <v>2.9499999999999998E-2</v>
      </c>
      <c r="BD97" s="212">
        <f t="shared" si="97"/>
        <v>2.9499999999999998E-2</v>
      </c>
      <c r="BE97" s="211">
        <f t="shared" si="98"/>
        <v>2.9499999999999998E-2</v>
      </c>
      <c r="BF97" s="211">
        <f t="shared" si="99"/>
        <v>2.9499999999999998E-2</v>
      </c>
      <c r="BG97" s="211">
        <f t="shared" si="100"/>
        <v>2.9499999999999998E-2</v>
      </c>
      <c r="BH97" s="211">
        <f t="shared" si="101"/>
        <v>2.9499999999999998E-2</v>
      </c>
      <c r="BI97" s="212">
        <f t="shared" si="102"/>
        <v>2.9499999999999998E-2</v>
      </c>
    </row>
    <row r="98" spans="1:61" s="26" customFormat="1">
      <c r="A98" s="3" t="s">
        <v>371</v>
      </c>
      <c r="B98" s="211"/>
      <c r="C98" s="211"/>
      <c r="D98" s="211"/>
      <c r="E98" s="32"/>
      <c r="F98" s="212"/>
      <c r="G98" s="211"/>
      <c r="H98" s="211"/>
      <c r="I98" s="211"/>
      <c r="J98" s="32"/>
      <c r="K98" s="212"/>
      <c r="L98" s="211"/>
      <c r="M98" s="211"/>
      <c r="N98" s="211"/>
      <c r="O98" s="32"/>
      <c r="P98" s="212">
        <v>3.1E-2</v>
      </c>
      <c r="Q98" s="32">
        <f t="shared" si="126"/>
        <v>3.1E-2</v>
      </c>
      <c r="R98" s="32">
        <f t="shared" si="126"/>
        <v>3.1E-2</v>
      </c>
      <c r="S98" s="32">
        <f t="shared" si="126"/>
        <v>3.1E-2</v>
      </c>
      <c r="T98" s="32">
        <f t="shared" si="126"/>
        <v>3.1E-2</v>
      </c>
      <c r="U98" s="212">
        <v>3.1E-2</v>
      </c>
      <c r="V98" s="32">
        <f t="shared" si="127"/>
        <v>3.1E-2</v>
      </c>
      <c r="W98" s="32">
        <f t="shared" si="127"/>
        <v>3.1E-2</v>
      </c>
      <c r="X98" s="32">
        <f t="shared" si="127"/>
        <v>3.1E-2</v>
      </c>
      <c r="Y98" s="32">
        <f t="shared" si="127"/>
        <v>3.1E-2</v>
      </c>
      <c r="Z98" s="212">
        <v>3.1E-2</v>
      </c>
      <c r="AA98" s="32">
        <f t="shared" si="122"/>
        <v>3.1E-2</v>
      </c>
      <c r="AB98" s="211">
        <f t="shared" si="122"/>
        <v>3.1E-2</v>
      </c>
      <c r="AC98" s="211">
        <f t="shared" si="122"/>
        <v>3.1E-2</v>
      </c>
      <c r="AD98" s="211">
        <f t="shared" si="122"/>
        <v>3.1E-2</v>
      </c>
      <c r="AE98" s="212">
        <f t="shared" si="122"/>
        <v>3.1E-2</v>
      </c>
      <c r="AF98" s="211">
        <f t="shared" si="122"/>
        <v>3.1E-2</v>
      </c>
      <c r="AG98" s="211">
        <f t="shared" si="122"/>
        <v>3.1E-2</v>
      </c>
      <c r="AH98" s="211">
        <f t="shared" si="122"/>
        <v>3.1E-2</v>
      </c>
      <c r="AI98" s="211">
        <f t="shared" si="122"/>
        <v>3.1E-2</v>
      </c>
      <c r="AJ98" s="212">
        <f t="shared" si="122"/>
        <v>3.1E-2</v>
      </c>
      <c r="AK98" s="211">
        <f t="shared" si="125"/>
        <v>3.1E-2</v>
      </c>
      <c r="AL98" s="211">
        <f t="shared" si="125"/>
        <v>3.1E-2</v>
      </c>
      <c r="AM98" s="211">
        <f t="shared" si="125"/>
        <v>3.1E-2</v>
      </c>
      <c r="AN98" s="211">
        <f t="shared" si="125"/>
        <v>3.1E-2</v>
      </c>
      <c r="AO98" s="212">
        <f t="shared" si="125"/>
        <v>3.1E-2</v>
      </c>
      <c r="AP98" s="211">
        <f t="shared" si="104"/>
        <v>3.1E-2</v>
      </c>
      <c r="AQ98" s="211">
        <f t="shared" si="105"/>
        <v>3.1E-2</v>
      </c>
      <c r="AR98" s="211">
        <f t="shared" si="106"/>
        <v>3.1E-2</v>
      </c>
      <c r="AS98" s="211">
        <f t="shared" si="107"/>
        <v>3.1E-2</v>
      </c>
      <c r="AT98" s="212">
        <f t="shared" si="123"/>
        <v>3.1E-2</v>
      </c>
      <c r="AU98" s="211">
        <f t="shared" si="117"/>
        <v>3.1E-2</v>
      </c>
      <c r="AV98" s="211">
        <f t="shared" si="118"/>
        <v>3.1E-2</v>
      </c>
      <c r="AW98" s="211">
        <f t="shared" si="119"/>
        <v>3.1E-2</v>
      </c>
      <c r="AX98" s="211">
        <f t="shared" si="120"/>
        <v>3.1E-2</v>
      </c>
      <c r="AY98" s="212">
        <f t="shared" si="121"/>
        <v>3.1E-2</v>
      </c>
      <c r="AZ98" s="211">
        <f t="shared" si="115"/>
        <v>3.1E-2</v>
      </c>
      <c r="BA98" s="211">
        <f t="shared" si="94"/>
        <v>3.1E-2</v>
      </c>
      <c r="BB98" s="211">
        <f t="shared" si="95"/>
        <v>3.1E-2</v>
      </c>
      <c r="BC98" s="211">
        <f t="shared" si="96"/>
        <v>3.1E-2</v>
      </c>
      <c r="BD98" s="212">
        <f t="shared" si="97"/>
        <v>3.1E-2</v>
      </c>
      <c r="BE98" s="211">
        <f t="shared" si="98"/>
        <v>3.1E-2</v>
      </c>
      <c r="BF98" s="211">
        <f t="shared" si="99"/>
        <v>3.1E-2</v>
      </c>
      <c r="BG98" s="211">
        <f t="shared" si="100"/>
        <v>3.1E-2</v>
      </c>
      <c r="BH98" s="211">
        <f t="shared" si="101"/>
        <v>3.1E-2</v>
      </c>
      <c r="BI98" s="212">
        <f t="shared" si="102"/>
        <v>3.1E-2</v>
      </c>
    </row>
    <row r="99" spans="1:61" s="26" customFormat="1">
      <c r="A99" s="3" t="s">
        <v>372</v>
      </c>
      <c r="B99" s="211"/>
      <c r="C99" s="211"/>
      <c r="D99" s="211"/>
      <c r="E99" s="32"/>
      <c r="F99" s="212"/>
      <c r="G99" s="211"/>
      <c r="H99" s="211"/>
      <c r="I99" s="211"/>
      <c r="J99" s="32"/>
      <c r="K99" s="212"/>
      <c r="L99" s="211"/>
      <c r="M99" s="211"/>
      <c r="N99" s="211"/>
      <c r="O99" s="32"/>
      <c r="P99" s="212">
        <v>3.2000000000000001E-2</v>
      </c>
      <c r="Q99" s="32">
        <f t="shared" si="126"/>
        <v>3.2000000000000001E-2</v>
      </c>
      <c r="R99" s="32">
        <f t="shared" si="126"/>
        <v>3.2000000000000001E-2</v>
      </c>
      <c r="S99" s="32">
        <f t="shared" si="126"/>
        <v>3.2000000000000001E-2</v>
      </c>
      <c r="T99" s="32">
        <f t="shared" si="126"/>
        <v>3.2000000000000001E-2</v>
      </c>
      <c r="U99" s="212">
        <v>3.2000000000000001E-2</v>
      </c>
      <c r="V99" s="32">
        <f t="shared" si="127"/>
        <v>3.2000000000000001E-2</v>
      </c>
      <c r="W99" s="32">
        <f t="shared" si="127"/>
        <v>3.2000000000000001E-2</v>
      </c>
      <c r="X99" s="32">
        <f t="shared" si="127"/>
        <v>3.2000000000000001E-2</v>
      </c>
      <c r="Y99" s="32">
        <f t="shared" si="127"/>
        <v>3.2000000000000001E-2</v>
      </c>
      <c r="Z99" s="212">
        <v>3.2000000000000001E-2</v>
      </c>
      <c r="AA99" s="32">
        <f t="shared" si="122"/>
        <v>3.2000000000000001E-2</v>
      </c>
      <c r="AB99" s="211">
        <f t="shared" si="122"/>
        <v>3.2000000000000001E-2</v>
      </c>
      <c r="AC99" s="211">
        <f t="shared" si="122"/>
        <v>3.2000000000000001E-2</v>
      </c>
      <c r="AD99" s="211">
        <f t="shared" si="122"/>
        <v>3.2000000000000001E-2</v>
      </c>
      <c r="AE99" s="212">
        <f t="shared" si="122"/>
        <v>3.2000000000000001E-2</v>
      </c>
      <c r="AF99" s="211">
        <f t="shared" si="122"/>
        <v>3.2000000000000001E-2</v>
      </c>
      <c r="AG99" s="211">
        <f t="shared" si="122"/>
        <v>3.2000000000000001E-2</v>
      </c>
      <c r="AH99" s="211">
        <f t="shared" si="122"/>
        <v>3.2000000000000001E-2</v>
      </c>
      <c r="AI99" s="211">
        <f t="shared" si="122"/>
        <v>3.2000000000000001E-2</v>
      </c>
      <c r="AJ99" s="212">
        <f t="shared" si="122"/>
        <v>3.2000000000000001E-2</v>
      </c>
      <c r="AK99" s="211">
        <f t="shared" si="125"/>
        <v>3.2000000000000001E-2</v>
      </c>
      <c r="AL99" s="211">
        <f t="shared" si="125"/>
        <v>3.2000000000000001E-2</v>
      </c>
      <c r="AM99" s="211">
        <f t="shared" si="125"/>
        <v>3.2000000000000001E-2</v>
      </c>
      <c r="AN99" s="211">
        <f t="shared" si="125"/>
        <v>3.2000000000000001E-2</v>
      </c>
      <c r="AO99" s="212">
        <f t="shared" si="125"/>
        <v>3.2000000000000001E-2</v>
      </c>
      <c r="AP99" s="211">
        <f t="shared" si="104"/>
        <v>3.2000000000000001E-2</v>
      </c>
      <c r="AQ99" s="211">
        <f t="shared" si="105"/>
        <v>3.2000000000000001E-2</v>
      </c>
      <c r="AR99" s="211">
        <f t="shared" si="106"/>
        <v>3.2000000000000001E-2</v>
      </c>
      <c r="AS99" s="211">
        <f t="shared" si="107"/>
        <v>3.2000000000000001E-2</v>
      </c>
      <c r="AT99" s="212">
        <f t="shared" si="123"/>
        <v>3.2000000000000001E-2</v>
      </c>
      <c r="AU99" s="211">
        <f t="shared" si="117"/>
        <v>3.2000000000000001E-2</v>
      </c>
      <c r="AV99" s="211">
        <f t="shared" si="118"/>
        <v>3.2000000000000001E-2</v>
      </c>
      <c r="AW99" s="211">
        <f t="shared" si="119"/>
        <v>3.2000000000000001E-2</v>
      </c>
      <c r="AX99" s="211">
        <f t="shared" si="120"/>
        <v>3.2000000000000001E-2</v>
      </c>
      <c r="AY99" s="212">
        <f t="shared" si="121"/>
        <v>3.2000000000000001E-2</v>
      </c>
      <c r="AZ99" s="211">
        <f t="shared" si="115"/>
        <v>3.2000000000000001E-2</v>
      </c>
      <c r="BA99" s="211">
        <f t="shared" si="94"/>
        <v>3.2000000000000001E-2</v>
      </c>
      <c r="BB99" s="211">
        <f t="shared" si="95"/>
        <v>3.2000000000000001E-2</v>
      </c>
      <c r="BC99" s="211">
        <f t="shared" si="96"/>
        <v>3.2000000000000001E-2</v>
      </c>
      <c r="BD99" s="212">
        <f t="shared" si="97"/>
        <v>3.2000000000000001E-2</v>
      </c>
      <c r="BE99" s="211">
        <f t="shared" si="98"/>
        <v>3.2000000000000001E-2</v>
      </c>
      <c r="BF99" s="211">
        <f t="shared" si="99"/>
        <v>3.2000000000000001E-2</v>
      </c>
      <c r="BG99" s="211">
        <f t="shared" si="100"/>
        <v>3.2000000000000001E-2</v>
      </c>
      <c r="BH99" s="211">
        <f t="shared" si="101"/>
        <v>3.2000000000000001E-2</v>
      </c>
      <c r="BI99" s="212">
        <f t="shared" si="102"/>
        <v>3.2000000000000001E-2</v>
      </c>
    </row>
    <row r="100" spans="1:61" s="26" customFormat="1">
      <c r="A100" s="3" t="s">
        <v>373</v>
      </c>
      <c r="B100" s="211"/>
      <c r="C100" s="211"/>
      <c r="D100" s="211"/>
      <c r="E100" s="32"/>
      <c r="F100" s="212"/>
      <c r="G100" s="211"/>
      <c r="H100" s="211"/>
      <c r="I100" s="211"/>
      <c r="J100" s="32"/>
      <c r="K100" s="212"/>
      <c r="L100" s="211"/>
      <c r="M100" s="211"/>
      <c r="N100" s="211"/>
      <c r="O100" s="32"/>
      <c r="P100" s="212">
        <v>3.2500000000000001E-2</v>
      </c>
      <c r="Q100" s="32">
        <f t="shared" si="126"/>
        <v>3.2500000000000001E-2</v>
      </c>
      <c r="R100" s="32">
        <f t="shared" si="126"/>
        <v>3.2500000000000001E-2</v>
      </c>
      <c r="S100" s="32">
        <f t="shared" si="126"/>
        <v>3.2500000000000001E-2</v>
      </c>
      <c r="T100" s="32">
        <f t="shared" si="126"/>
        <v>3.2500000000000001E-2</v>
      </c>
      <c r="U100" s="212">
        <v>3.2500000000000001E-2</v>
      </c>
      <c r="V100" s="32">
        <f t="shared" si="127"/>
        <v>3.2500000000000001E-2</v>
      </c>
      <c r="W100" s="32">
        <f t="shared" si="127"/>
        <v>3.2500000000000001E-2</v>
      </c>
      <c r="X100" s="32">
        <f t="shared" si="127"/>
        <v>3.2500000000000001E-2</v>
      </c>
      <c r="Y100" s="32">
        <f t="shared" si="127"/>
        <v>3.2500000000000001E-2</v>
      </c>
      <c r="Z100" s="212">
        <v>3.2500000000000001E-2</v>
      </c>
      <c r="AA100" s="32">
        <f t="shared" si="122"/>
        <v>3.2500000000000001E-2</v>
      </c>
      <c r="AB100" s="211">
        <f t="shared" si="122"/>
        <v>3.2500000000000001E-2</v>
      </c>
      <c r="AC100" s="211">
        <f t="shared" si="122"/>
        <v>3.2500000000000001E-2</v>
      </c>
      <c r="AD100" s="211">
        <f t="shared" si="122"/>
        <v>3.2500000000000001E-2</v>
      </c>
      <c r="AE100" s="212">
        <f t="shared" si="122"/>
        <v>3.2500000000000001E-2</v>
      </c>
      <c r="AF100" s="211">
        <f t="shared" si="122"/>
        <v>3.2500000000000001E-2</v>
      </c>
      <c r="AG100" s="211">
        <f t="shared" si="122"/>
        <v>3.2500000000000001E-2</v>
      </c>
      <c r="AH100" s="211">
        <f t="shared" si="122"/>
        <v>3.2500000000000001E-2</v>
      </c>
      <c r="AI100" s="211">
        <f t="shared" si="122"/>
        <v>3.2500000000000001E-2</v>
      </c>
      <c r="AJ100" s="212">
        <f t="shared" si="122"/>
        <v>3.2500000000000001E-2</v>
      </c>
      <c r="AK100" s="211">
        <f t="shared" si="125"/>
        <v>3.2500000000000001E-2</v>
      </c>
      <c r="AL100" s="211">
        <f t="shared" si="125"/>
        <v>3.2500000000000001E-2</v>
      </c>
      <c r="AM100" s="211">
        <f t="shared" si="125"/>
        <v>3.2500000000000001E-2</v>
      </c>
      <c r="AN100" s="211">
        <f t="shared" si="125"/>
        <v>3.2500000000000001E-2</v>
      </c>
      <c r="AO100" s="212">
        <f t="shared" si="125"/>
        <v>3.2500000000000001E-2</v>
      </c>
      <c r="AP100" s="211">
        <f t="shared" si="104"/>
        <v>3.2500000000000001E-2</v>
      </c>
      <c r="AQ100" s="211">
        <f t="shared" si="105"/>
        <v>3.2500000000000001E-2</v>
      </c>
      <c r="AR100" s="211">
        <f t="shared" si="106"/>
        <v>3.2500000000000001E-2</v>
      </c>
      <c r="AS100" s="211">
        <f t="shared" si="107"/>
        <v>3.2500000000000001E-2</v>
      </c>
      <c r="AT100" s="212">
        <f t="shared" si="123"/>
        <v>3.2500000000000001E-2</v>
      </c>
      <c r="AU100" s="211">
        <f t="shared" si="117"/>
        <v>3.2500000000000001E-2</v>
      </c>
      <c r="AV100" s="211">
        <f t="shared" si="118"/>
        <v>3.2500000000000001E-2</v>
      </c>
      <c r="AW100" s="211">
        <f t="shared" si="119"/>
        <v>3.2500000000000001E-2</v>
      </c>
      <c r="AX100" s="211">
        <f t="shared" si="120"/>
        <v>3.2500000000000001E-2</v>
      </c>
      <c r="AY100" s="212">
        <f t="shared" si="121"/>
        <v>3.2500000000000001E-2</v>
      </c>
      <c r="AZ100" s="211">
        <f t="shared" si="115"/>
        <v>3.2500000000000001E-2</v>
      </c>
      <c r="BA100" s="211">
        <f t="shared" si="94"/>
        <v>3.2500000000000001E-2</v>
      </c>
      <c r="BB100" s="211">
        <f t="shared" si="95"/>
        <v>3.2500000000000001E-2</v>
      </c>
      <c r="BC100" s="211">
        <f t="shared" si="96"/>
        <v>3.2500000000000001E-2</v>
      </c>
      <c r="BD100" s="212">
        <f t="shared" si="97"/>
        <v>3.2500000000000001E-2</v>
      </c>
      <c r="BE100" s="211">
        <f t="shared" si="98"/>
        <v>3.2500000000000001E-2</v>
      </c>
      <c r="BF100" s="211">
        <f t="shared" si="99"/>
        <v>3.2500000000000001E-2</v>
      </c>
      <c r="BG100" s="211">
        <f t="shared" si="100"/>
        <v>3.2500000000000001E-2</v>
      </c>
      <c r="BH100" s="211">
        <f t="shared" si="101"/>
        <v>3.2500000000000001E-2</v>
      </c>
      <c r="BI100" s="212">
        <f t="shared" si="102"/>
        <v>3.2500000000000001E-2</v>
      </c>
    </row>
    <row r="101" spans="1:61" s="26" customFormat="1">
      <c r="A101" s="3" t="s">
        <v>374</v>
      </c>
      <c r="B101" s="211"/>
      <c r="C101" s="211"/>
      <c r="D101" s="211"/>
      <c r="E101" s="32"/>
      <c r="F101" s="212"/>
      <c r="G101" s="211"/>
      <c r="H101" s="211"/>
      <c r="I101" s="211"/>
      <c r="J101" s="32"/>
      <c r="K101" s="212"/>
      <c r="L101" s="211"/>
      <c r="M101" s="211"/>
      <c r="N101" s="211"/>
      <c r="O101" s="32"/>
      <c r="P101" s="212">
        <v>3.2500000000000001E-2</v>
      </c>
      <c r="Q101" s="32">
        <f t="shared" si="126"/>
        <v>3.2500000000000001E-2</v>
      </c>
      <c r="R101" s="32">
        <f t="shared" si="126"/>
        <v>3.2500000000000001E-2</v>
      </c>
      <c r="S101" s="32">
        <f t="shared" si="126"/>
        <v>3.2500000000000001E-2</v>
      </c>
      <c r="T101" s="32">
        <f t="shared" si="126"/>
        <v>3.2500000000000001E-2</v>
      </c>
      <c r="U101" s="212">
        <v>3.2500000000000001E-2</v>
      </c>
      <c r="V101" s="32">
        <f t="shared" si="127"/>
        <v>3.2500000000000001E-2</v>
      </c>
      <c r="W101" s="32">
        <f t="shared" si="127"/>
        <v>3.2500000000000001E-2</v>
      </c>
      <c r="X101" s="32">
        <f t="shared" si="127"/>
        <v>3.2500000000000001E-2</v>
      </c>
      <c r="Y101" s="32">
        <f t="shared" si="127"/>
        <v>3.2500000000000001E-2</v>
      </c>
      <c r="Z101" s="212">
        <v>3.2500000000000001E-2</v>
      </c>
      <c r="AA101" s="32">
        <f t="shared" si="122"/>
        <v>3.2500000000000001E-2</v>
      </c>
      <c r="AB101" s="211">
        <f t="shared" si="122"/>
        <v>3.2500000000000001E-2</v>
      </c>
      <c r="AC101" s="211">
        <f t="shared" si="122"/>
        <v>3.2500000000000001E-2</v>
      </c>
      <c r="AD101" s="211">
        <f t="shared" si="122"/>
        <v>3.2500000000000001E-2</v>
      </c>
      <c r="AE101" s="212">
        <f t="shared" si="122"/>
        <v>3.2500000000000001E-2</v>
      </c>
      <c r="AF101" s="211">
        <f t="shared" si="122"/>
        <v>3.2500000000000001E-2</v>
      </c>
      <c r="AG101" s="211">
        <f t="shared" si="122"/>
        <v>3.2500000000000001E-2</v>
      </c>
      <c r="AH101" s="211">
        <f t="shared" si="122"/>
        <v>3.2500000000000001E-2</v>
      </c>
      <c r="AI101" s="211">
        <f t="shared" si="122"/>
        <v>3.2500000000000001E-2</v>
      </c>
      <c r="AJ101" s="212">
        <f t="shared" si="122"/>
        <v>3.2500000000000001E-2</v>
      </c>
      <c r="AK101" s="211">
        <f t="shared" si="125"/>
        <v>3.2500000000000001E-2</v>
      </c>
      <c r="AL101" s="211">
        <f t="shared" si="125"/>
        <v>3.2500000000000001E-2</v>
      </c>
      <c r="AM101" s="211">
        <f t="shared" si="125"/>
        <v>3.2500000000000001E-2</v>
      </c>
      <c r="AN101" s="211">
        <f t="shared" si="125"/>
        <v>3.2500000000000001E-2</v>
      </c>
      <c r="AO101" s="212">
        <f t="shared" si="125"/>
        <v>3.2500000000000001E-2</v>
      </c>
      <c r="AP101" s="211">
        <f t="shared" si="104"/>
        <v>3.2500000000000001E-2</v>
      </c>
      <c r="AQ101" s="211">
        <f t="shared" si="105"/>
        <v>3.2500000000000001E-2</v>
      </c>
      <c r="AR101" s="211">
        <f t="shared" si="106"/>
        <v>3.2500000000000001E-2</v>
      </c>
      <c r="AS101" s="211">
        <f t="shared" si="107"/>
        <v>3.2500000000000001E-2</v>
      </c>
      <c r="AT101" s="212">
        <f t="shared" si="123"/>
        <v>3.2500000000000001E-2</v>
      </c>
      <c r="AU101" s="211">
        <f t="shared" si="117"/>
        <v>3.2500000000000001E-2</v>
      </c>
      <c r="AV101" s="211">
        <f t="shared" si="118"/>
        <v>3.2500000000000001E-2</v>
      </c>
      <c r="AW101" s="211">
        <f t="shared" si="119"/>
        <v>3.2500000000000001E-2</v>
      </c>
      <c r="AX101" s="211">
        <f t="shared" si="120"/>
        <v>3.2500000000000001E-2</v>
      </c>
      <c r="AY101" s="212">
        <f t="shared" si="121"/>
        <v>3.2500000000000001E-2</v>
      </c>
      <c r="AZ101" s="211">
        <f t="shared" si="115"/>
        <v>3.2500000000000001E-2</v>
      </c>
      <c r="BA101" s="211">
        <f t="shared" si="94"/>
        <v>3.2500000000000001E-2</v>
      </c>
      <c r="BB101" s="211">
        <f t="shared" si="95"/>
        <v>3.2500000000000001E-2</v>
      </c>
      <c r="BC101" s="211">
        <f t="shared" si="96"/>
        <v>3.2500000000000001E-2</v>
      </c>
      <c r="BD101" s="212">
        <f t="shared" si="97"/>
        <v>3.2500000000000001E-2</v>
      </c>
      <c r="BE101" s="211">
        <f t="shared" si="98"/>
        <v>3.2500000000000001E-2</v>
      </c>
      <c r="BF101" s="211">
        <f t="shared" si="99"/>
        <v>3.2500000000000001E-2</v>
      </c>
      <c r="BG101" s="211">
        <f t="shared" si="100"/>
        <v>3.2500000000000001E-2</v>
      </c>
      <c r="BH101" s="211">
        <f t="shared" si="101"/>
        <v>3.2500000000000001E-2</v>
      </c>
      <c r="BI101" s="212">
        <f t="shared" si="102"/>
        <v>3.2500000000000001E-2</v>
      </c>
    </row>
    <row r="102" spans="1:61" s="26" customFormat="1">
      <c r="A102" s="3" t="s">
        <v>375</v>
      </c>
      <c r="B102" s="211"/>
      <c r="C102" s="211"/>
      <c r="D102" s="211"/>
      <c r="E102" s="32"/>
      <c r="F102" s="212"/>
      <c r="G102" s="211"/>
      <c r="H102" s="211"/>
      <c r="I102" s="211"/>
      <c r="J102" s="32"/>
      <c r="K102" s="212"/>
      <c r="L102" s="211"/>
      <c r="M102" s="211"/>
      <c r="N102" s="211"/>
      <c r="O102" s="32"/>
      <c r="P102" s="212">
        <v>3.3000000000000002E-2</v>
      </c>
      <c r="Q102" s="32">
        <f t="shared" si="126"/>
        <v>3.3000000000000002E-2</v>
      </c>
      <c r="R102" s="32">
        <f t="shared" si="126"/>
        <v>3.3000000000000002E-2</v>
      </c>
      <c r="S102" s="32">
        <f t="shared" si="126"/>
        <v>3.3000000000000002E-2</v>
      </c>
      <c r="T102" s="32">
        <f t="shared" si="126"/>
        <v>3.3000000000000002E-2</v>
      </c>
      <c r="U102" s="212">
        <v>3.3000000000000002E-2</v>
      </c>
      <c r="V102" s="32">
        <f t="shared" si="127"/>
        <v>3.3000000000000002E-2</v>
      </c>
      <c r="W102" s="32">
        <f t="shared" si="127"/>
        <v>3.3000000000000002E-2</v>
      </c>
      <c r="X102" s="32">
        <f t="shared" si="127"/>
        <v>3.3000000000000002E-2</v>
      </c>
      <c r="Y102" s="32">
        <f t="shared" si="127"/>
        <v>3.3000000000000002E-2</v>
      </c>
      <c r="Z102" s="212">
        <v>3.3000000000000002E-2</v>
      </c>
      <c r="AA102" s="32">
        <f t="shared" si="122"/>
        <v>3.3000000000000002E-2</v>
      </c>
      <c r="AB102" s="211">
        <f t="shared" si="122"/>
        <v>3.3000000000000002E-2</v>
      </c>
      <c r="AC102" s="211">
        <f t="shared" si="122"/>
        <v>3.3000000000000002E-2</v>
      </c>
      <c r="AD102" s="211">
        <f t="shared" si="122"/>
        <v>3.3000000000000002E-2</v>
      </c>
      <c r="AE102" s="212">
        <f t="shared" si="122"/>
        <v>3.3000000000000002E-2</v>
      </c>
      <c r="AF102" s="211">
        <f t="shared" si="122"/>
        <v>3.3000000000000002E-2</v>
      </c>
      <c r="AG102" s="211">
        <f t="shared" si="122"/>
        <v>3.3000000000000002E-2</v>
      </c>
      <c r="AH102" s="211">
        <f t="shared" si="122"/>
        <v>3.3000000000000002E-2</v>
      </c>
      <c r="AI102" s="211">
        <f t="shared" si="122"/>
        <v>3.3000000000000002E-2</v>
      </c>
      <c r="AJ102" s="212">
        <f t="shared" si="122"/>
        <v>3.3000000000000002E-2</v>
      </c>
      <c r="AK102" s="211">
        <f t="shared" si="125"/>
        <v>3.3000000000000002E-2</v>
      </c>
      <c r="AL102" s="211">
        <f t="shared" si="125"/>
        <v>3.3000000000000002E-2</v>
      </c>
      <c r="AM102" s="211">
        <f t="shared" si="125"/>
        <v>3.3000000000000002E-2</v>
      </c>
      <c r="AN102" s="211">
        <f t="shared" si="125"/>
        <v>3.3000000000000002E-2</v>
      </c>
      <c r="AO102" s="212">
        <f t="shared" si="125"/>
        <v>3.3000000000000002E-2</v>
      </c>
      <c r="AP102" s="211">
        <f t="shared" si="104"/>
        <v>3.3000000000000002E-2</v>
      </c>
      <c r="AQ102" s="211">
        <f t="shared" si="105"/>
        <v>3.3000000000000002E-2</v>
      </c>
      <c r="AR102" s="211">
        <f t="shared" si="106"/>
        <v>3.3000000000000002E-2</v>
      </c>
      <c r="AS102" s="211">
        <f t="shared" si="107"/>
        <v>3.3000000000000002E-2</v>
      </c>
      <c r="AT102" s="212">
        <f t="shared" si="123"/>
        <v>3.3000000000000002E-2</v>
      </c>
      <c r="AU102" s="211">
        <f t="shared" si="117"/>
        <v>3.3000000000000002E-2</v>
      </c>
      <c r="AV102" s="211">
        <f t="shared" si="118"/>
        <v>3.3000000000000002E-2</v>
      </c>
      <c r="AW102" s="211">
        <f t="shared" si="119"/>
        <v>3.3000000000000002E-2</v>
      </c>
      <c r="AX102" s="211">
        <f t="shared" si="120"/>
        <v>3.3000000000000002E-2</v>
      </c>
      <c r="AY102" s="212">
        <f t="shared" si="121"/>
        <v>3.3000000000000002E-2</v>
      </c>
      <c r="AZ102" s="211">
        <f t="shared" si="115"/>
        <v>3.3000000000000002E-2</v>
      </c>
      <c r="BA102" s="211">
        <f t="shared" si="94"/>
        <v>3.3000000000000002E-2</v>
      </c>
      <c r="BB102" s="211">
        <f t="shared" si="95"/>
        <v>3.3000000000000002E-2</v>
      </c>
      <c r="BC102" s="211">
        <f t="shared" si="96"/>
        <v>3.3000000000000002E-2</v>
      </c>
      <c r="BD102" s="212">
        <f t="shared" si="97"/>
        <v>3.3000000000000002E-2</v>
      </c>
      <c r="BE102" s="211">
        <f t="shared" si="98"/>
        <v>3.3000000000000002E-2</v>
      </c>
      <c r="BF102" s="211">
        <f t="shared" si="99"/>
        <v>3.3000000000000002E-2</v>
      </c>
      <c r="BG102" s="211">
        <f t="shared" si="100"/>
        <v>3.3000000000000002E-2</v>
      </c>
      <c r="BH102" s="211">
        <f t="shared" si="101"/>
        <v>3.3000000000000002E-2</v>
      </c>
      <c r="BI102" s="212">
        <f t="shared" si="102"/>
        <v>3.3000000000000002E-2</v>
      </c>
    </row>
    <row r="103" spans="1:61" s="26" customFormat="1">
      <c r="A103" s="3" t="s">
        <v>376</v>
      </c>
      <c r="B103" s="211"/>
      <c r="C103" s="211"/>
      <c r="D103" s="211"/>
      <c r="E103" s="32"/>
      <c r="F103" s="212"/>
      <c r="G103" s="211"/>
      <c r="H103" s="211"/>
      <c r="I103" s="211"/>
      <c r="J103" s="32"/>
      <c r="K103" s="212"/>
      <c r="L103" s="211"/>
      <c r="M103" s="211"/>
      <c r="N103" s="211"/>
      <c r="O103" s="32"/>
      <c r="P103" s="212">
        <v>3.3750000000000002E-2</v>
      </c>
      <c r="Q103" s="32">
        <f t="shared" si="126"/>
        <v>3.3750000000000002E-2</v>
      </c>
      <c r="R103" s="32">
        <f t="shared" si="126"/>
        <v>3.3750000000000002E-2</v>
      </c>
      <c r="S103" s="32">
        <f t="shared" si="126"/>
        <v>3.3750000000000002E-2</v>
      </c>
      <c r="T103" s="32">
        <f t="shared" si="126"/>
        <v>3.3750000000000002E-2</v>
      </c>
      <c r="U103" s="212">
        <v>3.3750000000000002E-2</v>
      </c>
      <c r="V103" s="32">
        <f t="shared" si="127"/>
        <v>3.3750000000000002E-2</v>
      </c>
      <c r="W103" s="32">
        <f t="shared" si="127"/>
        <v>3.3750000000000002E-2</v>
      </c>
      <c r="X103" s="32">
        <f t="shared" si="127"/>
        <v>3.3750000000000002E-2</v>
      </c>
      <c r="Y103" s="32">
        <f t="shared" si="127"/>
        <v>3.3750000000000002E-2</v>
      </c>
      <c r="Z103" s="212">
        <v>3.3750000000000002E-2</v>
      </c>
      <c r="AA103" s="32">
        <f t="shared" si="122"/>
        <v>3.3750000000000002E-2</v>
      </c>
      <c r="AB103" s="211">
        <f t="shared" si="122"/>
        <v>3.3750000000000002E-2</v>
      </c>
      <c r="AC103" s="211">
        <f t="shared" si="122"/>
        <v>3.3750000000000002E-2</v>
      </c>
      <c r="AD103" s="211">
        <f t="shared" si="122"/>
        <v>3.3750000000000002E-2</v>
      </c>
      <c r="AE103" s="212">
        <f t="shared" si="122"/>
        <v>3.3750000000000002E-2</v>
      </c>
      <c r="AF103" s="211">
        <f t="shared" si="122"/>
        <v>3.3750000000000002E-2</v>
      </c>
      <c r="AG103" s="211">
        <f t="shared" si="122"/>
        <v>3.3750000000000002E-2</v>
      </c>
      <c r="AH103" s="211">
        <f t="shared" si="122"/>
        <v>3.3750000000000002E-2</v>
      </c>
      <c r="AI103" s="211">
        <f t="shared" si="122"/>
        <v>3.3750000000000002E-2</v>
      </c>
      <c r="AJ103" s="212">
        <f t="shared" si="122"/>
        <v>3.3750000000000002E-2</v>
      </c>
      <c r="AK103" s="211">
        <f t="shared" si="125"/>
        <v>3.3750000000000002E-2</v>
      </c>
      <c r="AL103" s="211">
        <f t="shared" si="125"/>
        <v>3.3750000000000002E-2</v>
      </c>
      <c r="AM103" s="211">
        <f t="shared" si="125"/>
        <v>3.3750000000000002E-2</v>
      </c>
      <c r="AN103" s="211">
        <f t="shared" si="125"/>
        <v>3.3750000000000002E-2</v>
      </c>
      <c r="AO103" s="212">
        <f t="shared" si="125"/>
        <v>3.3750000000000002E-2</v>
      </c>
      <c r="AP103" s="211">
        <f t="shared" si="104"/>
        <v>3.3750000000000002E-2</v>
      </c>
      <c r="AQ103" s="211">
        <f t="shared" si="105"/>
        <v>3.3750000000000002E-2</v>
      </c>
      <c r="AR103" s="211">
        <f t="shared" si="106"/>
        <v>3.3750000000000002E-2</v>
      </c>
      <c r="AS103" s="211">
        <f t="shared" si="107"/>
        <v>3.3750000000000002E-2</v>
      </c>
      <c r="AT103" s="212">
        <f t="shared" si="123"/>
        <v>3.3750000000000002E-2</v>
      </c>
      <c r="AU103" s="211">
        <f t="shared" si="117"/>
        <v>3.3750000000000002E-2</v>
      </c>
      <c r="AV103" s="211">
        <f t="shared" si="118"/>
        <v>3.3750000000000002E-2</v>
      </c>
      <c r="AW103" s="211">
        <f t="shared" si="119"/>
        <v>3.3750000000000002E-2</v>
      </c>
      <c r="AX103" s="211">
        <f t="shared" si="120"/>
        <v>3.3750000000000002E-2</v>
      </c>
      <c r="AY103" s="212">
        <f t="shared" si="121"/>
        <v>3.3750000000000002E-2</v>
      </c>
      <c r="AZ103" s="211">
        <f t="shared" si="115"/>
        <v>3.3750000000000002E-2</v>
      </c>
      <c r="BA103" s="211">
        <f t="shared" si="94"/>
        <v>3.3750000000000002E-2</v>
      </c>
      <c r="BB103" s="211">
        <f t="shared" si="95"/>
        <v>3.3750000000000002E-2</v>
      </c>
      <c r="BC103" s="211">
        <f t="shared" si="96"/>
        <v>3.3750000000000002E-2</v>
      </c>
      <c r="BD103" s="212">
        <f t="shared" si="97"/>
        <v>3.3750000000000002E-2</v>
      </c>
      <c r="BE103" s="211">
        <f t="shared" si="98"/>
        <v>3.3750000000000002E-2</v>
      </c>
      <c r="BF103" s="211">
        <f t="shared" si="99"/>
        <v>3.3750000000000002E-2</v>
      </c>
      <c r="BG103" s="211">
        <f t="shared" si="100"/>
        <v>3.3750000000000002E-2</v>
      </c>
      <c r="BH103" s="211">
        <f t="shared" si="101"/>
        <v>3.3750000000000002E-2</v>
      </c>
      <c r="BI103" s="212">
        <f t="shared" si="102"/>
        <v>3.3750000000000002E-2</v>
      </c>
    </row>
    <row r="104" spans="1:61" s="26" customFormat="1">
      <c r="A104" s="3" t="s">
        <v>377</v>
      </c>
      <c r="B104" s="211"/>
      <c r="C104" s="211"/>
      <c r="D104" s="211"/>
      <c r="E104" s="32"/>
      <c r="F104" s="212"/>
      <c r="G104" s="211"/>
      <c r="H104" s="211"/>
      <c r="I104" s="211"/>
      <c r="J104" s="32"/>
      <c r="K104" s="212"/>
      <c r="L104" s="211"/>
      <c r="M104" s="211"/>
      <c r="N104" s="211"/>
      <c r="O104" s="32"/>
      <c r="P104" s="212">
        <v>3.4500000000000003E-2</v>
      </c>
      <c r="Q104" s="32">
        <f t="shared" si="126"/>
        <v>3.4500000000000003E-2</v>
      </c>
      <c r="R104" s="32">
        <f t="shared" si="126"/>
        <v>3.4500000000000003E-2</v>
      </c>
      <c r="S104" s="32">
        <f t="shared" si="126"/>
        <v>3.4500000000000003E-2</v>
      </c>
      <c r="T104" s="32">
        <f t="shared" si="126"/>
        <v>3.4500000000000003E-2</v>
      </c>
      <c r="U104" s="212">
        <v>3.4500000000000003E-2</v>
      </c>
      <c r="V104" s="32">
        <f t="shared" si="127"/>
        <v>3.4500000000000003E-2</v>
      </c>
      <c r="W104" s="32">
        <f t="shared" si="127"/>
        <v>3.4500000000000003E-2</v>
      </c>
      <c r="X104" s="32">
        <f t="shared" si="127"/>
        <v>3.4500000000000003E-2</v>
      </c>
      <c r="Y104" s="32">
        <f t="shared" si="127"/>
        <v>3.4500000000000003E-2</v>
      </c>
      <c r="Z104" s="212">
        <v>3.4500000000000003E-2</v>
      </c>
      <c r="AA104" s="32">
        <f t="shared" si="122"/>
        <v>3.4500000000000003E-2</v>
      </c>
      <c r="AB104" s="211">
        <f t="shared" si="122"/>
        <v>3.4500000000000003E-2</v>
      </c>
      <c r="AC104" s="211">
        <f t="shared" si="122"/>
        <v>3.4500000000000003E-2</v>
      </c>
      <c r="AD104" s="211">
        <f t="shared" si="122"/>
        <v>3.4500000000000003E-2</v>
      </c>
      <c r="AE104" s="212">
        <f t="shared" si="122"/>
        <v>3.4500000000000003E-2</v>
      </c>
      <c r="AF104" s="211">
        <f t="shared" si="122"/>
        <v>3.4500000000000003E-2</v>
      </c>
      <c r="AG104" s="211">
        <f t="shared" si="122"/>
        <v>3.4500000000000003E-2</v>
      </c>
      <c r="AH104" s="211">
        <f t="shared" si="122"/>
        <v>3.4500000000000003E-2</v>
      </c>
      <c r="AI104" s="211">
        <f t="shared" si="122"/>
        <v>3.4500000000000003E-2</v>
      </c>
      <c r="AJ104" s="212">
        <f t="shared" si="122"/>
        <v>3.4500000000000003E-2</v>
      </c>
      <c r="AK104" s="211">
        <f t="shared" si="125"/>
        <v>3.4500000000000003E-2</v>
      </c>
      <c r="AL104" s="211">
        <f t="shared" si="125"/>
        <v>3.4500000000000003E-2</v>
      </c>
      <c r="AM104" s="211">
        <f t="shared" si="125"/>
        <v>3.4500000000000003E-2</v>
      </c>
      <c r="AN104" s="211">
        <f t="shared" si="125"/>
        <v>3.4500000000000003E-2</v>
      </c>
      <c r="AO104" s="212">
        <f t="shared" si="125"/>
        <v>3.4500000000000003E-2</v>
      </c>
      <c r="AP104" s="211">
        <f t="shared" si="104"/>
        <v>3.4500000000000003E-2</v>
      </c>
      <c r="AQ104" s="211">
        <f t="shared" si="105"/>
        <v>3.4500000000000003E-2</v>
      </c>
      <c r="AR104" s="211">
        <f t="shared" si="106"/>
        <v>3.4500000000000003E-2</v>
      </c>
      <c r="AS104" s="211">
        <f t="shared" si="107"/>
        <v>3.4500000000000003E-2</v>
      </c>
      <c r="AT104" s="212">
        <f t="shared" si="123"/>
        <v>3.4500000000000003E-2</v>
      </c>
      <c r="AU104" s="211">
        <f t="shared" si="117"/>
        <v>3.4500000000000003E-2</v>
      </c>
      <c r="AV104" s="211">
        <f t="shared" si="118"/>
        <v>3.4500000000000003E-2</v>
      </c>
      <c r="AW104" s="211">
        <f t="shared" si="119"/>
        <v>3.4500000000000003E-2</v>
      </c>
      <c r="AX104" s="211">
        <f t="shared" si="120"/>
        <v>3.4500000000000003E-2</v>
      </c>
      <c r="AY104" s="212">
        <f t="shared" si="121"/>
        <v>3.4500000000000003E-2</v>
      </c>
      <c r="AZ104" s="211">
        <f t="shared" si="115"/>
        <v>3.4500000000000003E-2</v>
      </c>
      <c r="BA104" s="211">
        <f t="shared" si="94"/>
        <v>3.4500000000000003E-2</v>
      </c>
      <c r="BB104" s="211">
        <f t="shared" si="95"/>
        <v>3.4500000000000003E-2</v>
      </c>
      <c r="BC104" s="211">
        <f t="shared" si="96"/>
        <v>3.4500000000000003E-2</v>
      </c>
      <c r="BD104" s="212">
        <f t="shared" si="97"/>
        <v>3.4500000000000003E-2</v>
      </c>
      <c r="BE104" s="211">
        <f t="shared" si="98"/>
        <v>3.4500000000000003E-2</v>
      </c>
      <c r="BF104" s="211">
        <f t="shared" si="99"/>
        <v>3.4500000000000003E-2</v>
      </c>
      <c r="BG104" s="211">
        <f t="shared" si="100"/>
        <v>3.4500000000000003E-2</v>
      </c>
      <c r="BH104" s="211">
        <f t="shared" si="101"/>
        <v>3.4500000000000003E-2</v>
      </c>
      <c r="BI104" s="212">
        <f t="shared" si="102"/>
        <v>3.4500000000000003E-2</v>
      </c>
    </row>
    <row r="105" spans="1:61" s="26" customFormat="1">
      <c r="A105" s="3" t="s">
        <v>378</v>
      </c>
      <c r="B105" s="211"/>
      <c r="C105" s="211"/>
      <c r="D105" s="211"/>
      <c r="E105" s="32"/>
      <c r="F105" s="212"/>
      <c r="G105" s="211"/>
      <c r="H105" s="211"/>
      <c r="I105" s="211"/>
      <c r="J105" s="32"/>
      <c r="K105" s="212"/>
      <c r="L105" s="211"/>
      <c r="M105" s="211"/>
      <c r="N105" s="211"/>
      <c r="O105" s="32"/>
      <c r="P105" s="212">
        <v>3.5000000000000003E-2</v>
      </c>
      <c r="Q105" s="32">
        <f t="shared" si="126"/>
        <v>3.5000000000000003E-2</v>
      </c>
      <c r="R105" s="32">
        <f t="shared" si="126"/>
        <v>3.5000000000000003E-2</v>
      </c>
      <c r="S105" s="32">
        <f t="shared" si="126"/>
        <v>3.5000000000000003E-2</v>
      </c>
      <c r="T105" s="32">
        <f t="shared" si="126"/>
        <v>3.5000000000000003E-2</v>
      </c>
      <c r="U105" s="212">
        <v>3.5000000000000003E-2</v>
      </c>
      <c r="V105" s="32">
        <f t="shared" si="127"/>
        <v>3.5000000000000003E-2</v>
      </c>
      <c r="W105" s="32">
        <f t="shared" si="127"/>
        <v>3.5000000000000003E-2</v>
      </c>
      <c r="X105" s="32">
        <f t="shared" si="127"/>
        <v>3.5000000000000003E-2</v>
      </c>
      <c r="Y105" s="32">
        <f t="shared" si="127"/>
        <v>3.5000000000000003E-2</v>
      </c>
      <c r="Z105" s="212">
        <v>3.5000000000000003E-2</v>
      </c>
      <c r="AA105" s="32">
        <f t="shared" si="122"/>
        <v>3.5000000000000003E-2</v>
      </c>
      <c r="AB105" s="211">
        <f t="shared" si="122"/>
        <v>3.5000000000000003E-2</v>
      </c>
      <c r="AC105" s="211">
        <f t="shared" si="122"/>
        <v>3.5000000000000003E-2</v>
      </c>
      <c r="AD105" s="211">
        <f t="shared" si="122"/>
        <v>3.5000000000000003E-2</v>
      </c>
      <c r="AE105" s="212">
        <f t="shared" si="122"/>
        <v>3.5000000000000003E-2</v>
      </c>
      <c r="AF105" s="211">
        <f t="shared" si="122"/>
        <v>3.5000000000000003E-2</v>
      </c>
      <c r="AG105" s="211">
        <f t="shared" si="122"/>
        <v>3.5000000000000003E-2</v>
      </c>
      <c r="AH105" s="211">
        <f t="shared" si="122"/>
        <v>3.5000000000000003E-2</v>
      </c>
      <c r="AI105" s="211">
        <f t="shared" si="122"/>
        <v>3.5000000000000003E-2</v>
      </c>
      <c r="AJ105" s="212">
        <f t="shared" si="122"/>
        <v>3.5000000000000003E-2</v>
      </c>
      <c r="AK105" s="211">
        <f t="shared" si="125"/>
        <v>3.5000000000000003E-2</v>
      </c>
      <c r="AL105" s="211">
        <f t="shared" si="125"/>
        <v>3.5000000000000003E-2</v>
      </c>
      <c r="AM105" s="211">
        <f t="shared" si="125"/>
        <v>3.5000000000000003E-2</v>
      </c>
      <c r="AN105" s="211">
        <f t="shared" si="125"/>
        <v>3.5000000000000003E-2</v>
      </c>
      <c r="AO105" s="212">
        <f t="shared" si="125"/>
        <v>3.5000000000000003E-2</v>
      </c>
      <c r="AP105" s="211">
        <f t="shared" si="104"/>
        <v>3.5000000000000003E-2</v>
      </c>
      <c r="AQ105" s="211">
        <f t="shared" si="105"/>
        <v>3.5000000000000003E-2</v>
      </c>
      <c r="AR105" s="211">
        <f t="shared" si="106"/>
        <v>3.5000000000000003E-2</v>
      </c>
      <c r="AS105" s="211">
        <f t="shared" si="107"/>
        <v>3.5000000000000003E-2</v>
      </c>
      <c r="AT105" s="212">
        <f t="shared" si="123"/>
        <v>3.5000000000000003E-2</v>
      </c>
      <c r="AU105" s="211">
        <f t="shared" si="117"/>
        <v>3.5000000000000003E-2</v>
      </c>
      <c r="AV105" s="211">
        <f t="shared" si="118"/>
        <v>3.5000000000000003E-2</v>
      </c>
      <c r="AW105" s="211">
        <f t="shared" si="119"/>
        <v>3.5000000000000003E-2</v>
      </c>
      <c r="AX105" s="211">
        <f t="shared" si="120"/>
        <v>3.5000000000000003E-2</v>
      </c>
      <c r="AY105" s="212">
        <f t="shared" si="121"/>
        <v>3.5000000000000003E-2</v>
      </c>
      <c r="AZ105" s="211">
        <f t="shared" si="115"/>
        <v>3.5000000000000003E-2</v>
      </c>
      <c r="BA105" s="211">
        <f t="shared" si="94"/>
        <v>3.5000000000000003E-2</v>
      </c>
      <c r="BB105" s="211">
        <f t="shared" si="95"/>
        <v>3.5000000000000003E-2</v>
      </c>
      <c r="BC105" s="211">
        <f t="shared" si="96"/>
        <v>3.5000000000000003E-2</v>
      </c>
      <c r="BD105" s="212">
        <f t="shared" si="97"/>
        <v>3.5000000000000003E-2</v>
      </c>
      <c r="BE105" s="211">
        <f t="shared" si="98"/>
        <v>3.5000000000000003E-2</v>
      </c>
      <c r="BF105" s="211">
        <f t="shared" si="99"/>
        <v>3.5000000000000003E-2</v>
      </c>
      <c r="BG105" s="211">
        <f t="shared" si="100"/>
        <v>3.5000000000000003E-2</v>
      </c>
      <c r="BH105" s="211">
        <f t="shared" si="101"/>
        <v>3.5000000000000003E-2</v>
      </c>
      <c r="BI105" s="212">
        <f t="shared" si="102"/>
        <v>3.5000000000000003E-2</v>
      </c>
    </row>
    <row r="106" spans="1:61" s="26" customFormat="1">
      <c r="A106" s="3" t="s">
        <v>379</v>
      </c>
      <c r="B106" s="211"/>
      <c r="C106" s="211"/>
      <c r="D106" s="211"/>
      <c r="E106" s="32"/>
      <c r="F106" s="212"/>
      <c r="G106" s="211"/>
      <c r="H106" s="211"/>
      <c r="I106" s="211"/>
      <c r="J106" s="32"/>
      <c r="K106" s="212"/>
      <c r="L106" s="211"/>
      <c r="M106" s="211"/>
      <c r="N106" s="211"/>
      <c r="O106" s="32"/>
      <c r="P106" s="212">
        <v>3.5000000000000003E-2</v>
      </c>
      <c r="Q106" s="32">
        <f t="shared" si="126"/>
        <v>3.5000000000000003E-2</v>
      </c>
      <c r="R106" s="32">
        <f t="shared" si="126"/>
        <v>3.5000000000000003E-2</v>
      </c>
      <c r="S106" s="32">
        <f t="shared" si="126"/>
        <v>3.5000000000000003E-2</v>
      </c>
      <c r="T106" s="32">
        <f t="shared" si="126"/>
        <v>3.5000000000000003E-2</v>
      </c>
      <c r="U106" s="212">
        <v>3.5000000000000003E-2</v>
      </c>
      <c r="V106" s="32">
        <f t="shared" si="127"/>
        <v>3.5000000000000003E-2</v>
      </c>
      <c r="W106" s="32">
        <f t="shared" si="127"/>
        <v>3.5000000000000003E-2</v>
      </c>
      <c r="X106" s="32">
        <f t="shared" si="127"/>
        <v>3.5000000000000003E-2</v>
      </c>
      <c r="Y106" s="32">
        <f t="shared" si="127"/>
        <v>3.5000000000000003E-2</v>
      </c>
      <c r="Z106" s="212">
        <v>3.5000000000000003E-2</v>
      </c>
      <c r="AA106" s="32">
        <f t="shared" si="122"/>
        <v>3.5000000000000003E-2</v>
      </c>
      <c r="AB106" s="211">
        <f t="shared" si="122"/>
        <v>3.5000000000000003E-2</v>
      </c>
      <c r="AC106" s="211">
        <f t="shared" si="122"/>
        <v>3.5000000000000003E-2</v>
      </c>
      <c r="AD106" s="211">
        <f t="shared" si="122"/>
        <v>3.5000000000000003E-2</v>
      </c>
      <c r="AE106" s="212">
        <f t="shared" si="122"/>
        <v>3.5000000000000003E-2</v>
      </c>
      <c r="AF106" s="211">
        <f t="shared" si="122"/>
        <v>3.5000000000000003E-2</v>
      </c>
      <c r="AG106" s="211">
        <f t="shared" si="122"/>
        <v>3.5000000000000003E-2</v>
      </c>
      <c r="AH106" s="211">
        <f t="shared" si="122"/>
        <v>3.5000000000000003E-2</v>
      </c>
      <c r="AI106" s="211">
        <f t="shared" si="122"/>
        <v>3.5000000000000003E-2</v>
      </c>
      <c r="AJ106" s="212">
        <f t="shared" si="122"/>
        <v>3.5000000000000003E-2</v>
      </c>
      <c r="AK106" s="211">
        <f t="shared" si="125"/>
        <v>3.5000000000000003E-2</v>
      </c>
      <c r="AL106" s="211">
        <f t="shared" si="125"/>
        <v>3.5000000000000003E-2</v>
      </c>
      <c r="AM106" s="211">
        <f t="shared" si="125"/>
        <v>3.5000000000000003E-2</v>
      </c>
      <c r="AN106" s="211">
        <f t="shared" si="125"/>
        <v>3.5000000000000003E-2</v>
      </c>
      <c r="AO106" s="212">
        <f t="shared" si="125"/>
        <v>3.5000000000000003E-2</v>
      </c>
      <c r="AP106" s="211">
        <f t="shared" si="104"/>
        <v>3.5000000000000003E-2</v>
      </c>
      <c r="AQ106" s="211">
        <f t="shared" si="105"/>
        <v>3.5000000000000003E-2</v>
      </c>
      <c r="AR106" s="211">
        <f t="shared" si="106"/>
        <v>3.5000000000000003E-2</v>
      </c>
      <c r="AS106" s="211">
        <f t="shared" si="107"/>
        <v>3.5000000000000003E-2</v>
      </c>
      <c r="AT106" s="212">
        <f t="shared" si="123"/>
        <v>3.5000000000000003E-2</v>
      </c>
      <c r="AU106" s="211">
        <f t="shared" si="117"/>
        <v>3.5000000000000003E-2</v>
      </c>
      <c r="AV106" s="211">
        <f t="shared" si="118"/>
        <v>3.5000000000000003E-2</v>
      </c>
      <c r="AW106" s="211">
        <f t="shared" si="119"/>
        <v>3.5000000000000003E-2</v>
      </c>
      <c r="AX106" s="211">
        <f t="shared" si="120"/>
        <v>3.5000000000000003E-2</v>
      </c>
      <c r="AY106" s="212">
        <f t="shared" si="121"/>
        <v>3.5000000000000003E-2</v>
      </c>
      <c r="AZ106" s="211">
        <f t="shared" si="115"/>
        <v>3.5000000000000003E-2</v>
      </c>
      <c r="BA106" s="211">
        <f t="shared" si="94"/>
        <v>3.5000000000000003E-2</v>
      </c>
      <c r="BB106" s="211">
        <f t="shared" si="95"/>
        <v>3.5000000000000003E-2</v>
      </c>
      <c r="BC106" s="211">
        <f t="shared" si="96"/>
        <v>3.5000000000000003E-2</v>
      </c>
      <c r="BD106" s="212">
        <f t="shared" si="97"/>
        <v>3.5000000000000003E-2</v>
      </c>
      <c r="BE106" s="211">
        <f t="shared" si="98"/>
        <v>3.5000000000000003E-2</v>
      </c>
      <c r="BF106" s="211">
        <f t="shared" si="99"/>
        <v>3.5000000000000003E-2</v>
      </c>
      <c r="BG106" s="211">
        <f t="shared" si="100"/>
        <v>3.5000000000000003E-2</v>
      </c>
      <c r="BH106" s="211">
        <f t="shared" si="101"/>
        <v>3.5000000000000003E-2</v>
      </c>
      <c r="BI106" s="212">
        <f t="shared" si="102"/>
        <v>3.5000000000000003E-2</v>
      </c>
    </row>
    <row r="107" spans="1:61" s="26" customFormat="1">
      <c r="A107" s="3" t="s">
        <v>380</v>
      </c>
      <c r="B107" s="211"/>
      <c r="C107" s="211"/>
      <c r="D107" s="211"/>
      <c r="E107" s="32"/>
      <c r="F107" s="212"/>
      <c r="G107" s="211"/>
      <c r="H107" s="211"/>
      <c r="I107" s="211"/>
      <c r="J107" s="32"/>
      <c r="K107" s="212"/>
      <c r="L107" s="211"/>
      <c r="M107" s="211"/>
      <c r="N107" s="211"/>
      <c r="O107" s="32"/>
      <c r="P107" s="212">
        <v>3.5499999999999997E-2</v>
      </c>
      <c r="Q107" s="32">
        <f t="shared" si="126"/>
        <v>3.5499999999999997E-2</v>
      </c>
      <c r="R107" s="32">
        <f t="shared" si="126"/>
        <v>3.5499999999999997E-2</v>
      </c>
      <c r="S107" s="32">
        <f t="shared" si="126"/>
        <v>3.5499999999999997E-2</v>
      </c>
      <c r="T107" s="32">
        <f t="shared" si="126"/>
        <v>3.5499999999999997E-2</v>
      </c>
      <c r="U107" s="212">
        <v>3.5499999999999997E-2</v>
      </c>
      <c r="V107" s="32">
        <f t="shared" si="127"/>
        <v>3.5499999999999997E-2</v>
      </c>
      <c r="W107" s="32">
        <f t="shared" si="127"/>
        <v>3.5499999999999997E-2</v>
      </c>
      <c r="X107" s="32">
        <f t="shared" si="127"/>
        <v>3.5499999999999997E-2</v>
      </c>
      <c r="Y107" s="32">
        <f t="shared" si="127"/>
        <v>3.5499999999999997E-2</v>
      </c>
      <c r="Z107" s="212">
        <v>3.5499999999999997E-2</v>
      </c>
      <c r="AA107" s="32">
        <f t="shared" si="122"/>
        <v>3.5499999999999997E-2</v>
      </c>
      <c r="AB107" s="211">
        <f t="shared" si="122"/>
        <v>3.5499999999999997E-2</v>
      </c>
      <c r="AC107" s="211">
        <f t="shared" si="122"/>
        <v>3.5499999999999997E-2</v>
      </c>
      <c r="AD107" s="211">
        <f t="shared" si="122"/>
        <v>3.5499999999999997E-2</v>
      </c>
      <c r="AE107" s="212">
        <f t="shared" si="122"/>
        <v>3.5499999999999997E-2</v>
      </c>
      <c r="AF107" s="211">
        <f t="shared" si="122"/>
        <v>3.5499999999999997E-2</v>
      </c>
      <c r="AG107" s="211">
        <f t="shared" si="122"/>
        <v>3.5499999999999997E-2</v>
      </c>
      <c r="AH107" s="211">
        <f t="shared" si="122"/>
        <v>3.5499999999999997E-2</v>
      </c>
      <c r="AI107" s="211">
        <f t="shared" si="122"/>
        <v>3.5499999999999997E-2</v>
      </c>
      <c r="AJ107" s="212">
        <f t="shared" si="122"/>
        <v>3.5499999999999997E-2</v>
      </c>
      <c r="AK107" s="211">
        <f t="shared" si="125"/>
        <v>3.5499999999999997E-2</v>
      </c>
      <c r="AL107" s="211">
        <f t="shared" si="125"/>
        <v>3.5499999999999997E-2</v>
      </c>
      <c r="AM107" s="211">
        <f t="shared" si="125"/>
        <v>3.5499999999999997E-2</v>
      </c>
      <c r="AN107" s="211">
        <f t="shared" si="125"/>
        <v>3.5499999999999997E-2</v>
      </c>
      <c r="AO107" s="212">
        <f t="shared" si="125"/>
        <v>3.5499999999999997E-2</v>
      </c>
      <c r="AP107" s="211">
        <f t="shared" si="104"/>
        <v>3.5499999999999997E-2</v>
      </c>
      <c r="AQ107" s="211">
        <f t="shared" si="105"/>
        <v>3.5499999999999997E-2</v>
      </c>
      <c r="AR107" s="211">
        <f t="shared" si="106"/>
        <v>3.5499999999999997E-2</v>
      </c>
      <c r="AS107" s="211">
        <f t="shared" si="107"/>
        <v>3.5499999999999997E-2</v>
      </c>
      <c r="AT107" s="212">
        <f t="shared" si="123"/>
        <v>3.5499999999999997E-2</v>
      </c>
      <c r="AU107" s="211">
        <f t="shared" si="117"/>
        <v>3.5499999999999997E-2</v>
      </c>
      <c r="AV107" s="211">
        <f t="shared" si="118"/>
        <v>3.5499999999999997E-2</v>
      </c>
      <c r="AW107" s="211">
        <f t="shared" si="119"/>
        <v>3.5499999999999997E-2</v>
      </c>
      <c r="AX107" s="211">
        <f t="shared" si="120"/>
        <v>3.5499999999999997E-2</v>
      </c>
      <c r="AY107" s="212">
        <f t="shared" si="121"/>
        <v>3.5499999999999997E-2</v>
      </c>
      <c r="AZ107" s="211">
        <f t="shared" si="115"/>
        <v>3.5499999999999997E-2</v>
      </c>
      <c r="BA107" s="211">
        <f t="shared" si="94"/>
        <v>3.5499999999999997E-2</v>
      </c>
      <c r="BB107" s="211">
        <f t="shared" si="95"/>
        <v>3.5499999999999997E-2</v>
      </c>
      <c r="BC107" s="211">
        <f t="shared" si="96"/>
        <v>3.5499999999999997E-2</v>
      </c>
      <c r="BD107" s="212">
        <f t="shared" si="97"/>
        <v>3.5499999999999997E-2</v>
      </c>
      <c r="BE107" s="211">
        <f t="shared" si="98"/>
        <v>3.5499999999999997E-2</v>
      </c>
      <c r="BF107" s="211">
        <f t="shared" si="99"/>
        <v>3.5499999999999997E-2</v>
      </c>
      <c r="BG107" s="211">
        <f t="shared" si="100"/>
        <v>3.5499999999999997E-2</v>
      </c>
      <c r="BH107" s="211">
        <f t="shared" si="101"/>
        <v>3.5499999999999997E-2</v>
      </c>
      <c r="BI107" s="212">
        <f t="shared" si="102"/>
        <v>3.5499999999999997E-2</v>
      </c>
    </row>
    <row r="108" spans="1:61" s="26" customFormat="1">
      <c r="A108" s="3" t="s">
        <v>381</v>
      </c>
      <c r="B108" s="211"/>
      <c r="C108" s="211"/>
      <c r="D108" s="211"/>
      <c r="E108" s="32"/>
      <c r="F108" s="212"/>
      <c r="G108" s="211"/>
      <c r="H108" s="211"/>
      <c r="I108" s="211"/>
      <c r="J108" s="32"/>
      <c r="K108" s="212"/>
      <c r="L108" s="211"/>
      <c r="M108" s="211"/>
      <c r="N108" s="211"/>
      <c r="O108" s="32"/>
      <c r="P108" s="212">
        <v>3.5999999999999997E-2</v>
      </c>
      <c r="Q108" s="32">
        <f t="shared" si="126"/>
        <v>3.5999999999999997E-2</v>
      </c>
      <c r="R108" s="32">
        <f t="shared" si="126"/>
        <v>3.5999999999999997E-2</v>
      </c>
      <c r="S108" s="32">
        <f t="shared" si="126"/>
        <v>3.5999999999999997E-2</v>
      </c>
      <c r="T108" s="32">
        <f t="shared" si="126"/>
        <v>3.5999999999999997E-2</v>
      </c>
      <c r="U108" s="212">
        <v>3.5999999999999997E-2</v>
      </c>
      <c r="V108" s="32">
        <f t="shared" si="127"/>
        <v>3.5999999999999997E-2</v>
      </c>
      <c r="W108" s="32">
        <f t="shared" si="127"/>
        <v>3.5999999999999997E-2</v>
      </c>
      <c r="X108" s="32">
        <f t="shared" si="127"/>
        <v>3.5999999999999997E-2</v>
      </c>
      <c r="Y108" s="32">
        <f t="shared" si="127"/>
        <v>3.5999999999999997E-2</v>
      </c>
      <c r="Z108" s="212">
        <v>3.5999999999999997E-2</v>
      </c>
      <c r="AA108" s="32">
        <f t="shared" si="122"/>
        <v>3.5999999999999997E-2</v>
      </c>
      <c r="AB108" s="211">
        <f t="shared" si="122"/>
        <v>3.5999999999999997E-2</v>
      </c>
      <c r="AC108" s="211">
        <f t="shared" si="122"/>
        <v>3.5999999999999997E-2</v>
      </c>
      <c r="AD108" s="211">
        <f t="shared" si="122"/>
        <v>3.5999999999999997E-2</v>
      </c>
      <c r="AE108" s="212">
        <f t="shared" si="122"/>
        <v>3.5999999999999997E-2</v>
      </c>
      <c r="AF108" s="211">
        <f t="shared" ref="AB108:AJ123" si="128">AE108</f>
        <v>3.5999999999999997E-2</v>
      </c>
      <c r="AG108" s="211">
        <f t="shared" si="128"/>
        <v>3.5999999999999997E-2</v>
      </c>
      <c r="AH108" s="211">
        <f t="shared" si="128"/>
        <v>3.5999999999999997E-2</v>
      </c>
      <c r="AI108" s="211">
        <f t="shared" si="128"/>
        <v>3.5999999999999997E-2</v>
      </c>
      <c r="AJ108" s="212">
        <f t="shared" si="128"/>
        <v>3.5999999999999997E-2</v>
      </c>
      <c r="AK108" s="211">
        <f t="shared" si="125"/>
        <v>3.5999999999999997E-2</v>
      </c>
      <c r="AL108" s="211">
        <f t="shared" si="125"/>
        <v>3.5999999999999997E-2</v>
      </c>
      <c r="AM108" s="211">
        <f t="shared" si="125"/>
        <v>3.5999999999999997E-2</v>
      </c>
      <c r="AN108" s="211">
        <f t="shared" si="125"/>
        <v>3.5999999999999997E-2</v>
      </c>
      <c r="AO108" s="212">
        <f t="shared" si="125"/>
        <v>3.5999999999999997E-2</v>
      </c>
      <c r="AP108" s="211">
        <f t="shared" si="104"/>
        <v>3.5999999999999997E-2</v>
      </c>
      <c r="AQ108" s="211">
        <f t="shared" si="105"/>
        <v>3.5999999999999997E-2</v>
      </c>
      <c r="AR108" s="211">
        <f t="shared" si="106"/>
        <v>3.5999999999999997E-2</v>
      </c>
      <c r="AS108" s="211">
        <f t="shared" si="107"/>
        <v>3.5999999999999997E-2</v>
      </c>
      <c r="AT108" s="212">
        <f t="shared" si="123"/>
        <v>3.5999999999999997E-2</v>
      </c>
      <c r="AU108" s="211">
        <f t="shared" si="117"/>
        <v>3.5999999999999997E-2</v>
      </c>
      <c r="AV108" s="211">
        <f t="shared" si="118"/>
        <v>3.5999999999999997E-2</v>
      </c>
      <c r="AW108" s="211">
        <f t="shared" si="119"/>
        <v>3.5999999999999997E-2</v>
      </c>
      <c r="AX108" s="211">
        <f t="shared" si="120"/>
        <v>3.5999999999999997E-2</v>
      </c>
      <c r="AY108" s="212">
        <f t="shared" si="121"/>
        <v>3.5999999999999997E-2</v>
      </c>
      <c r="AZ108" s="211">
        <f t="shared" si="115"/>
        <v>3.5999999999999997E-2</v>
      </c>
      <c r="BA108" s="211">
        <f t="shared" si="94"/>
        <v>3.5999999999999997E-2</v>
      </c>
      <c r="BB108" s="211">
        <f t="shared" si="95"/>
        <v>3.5999999999999997E-2</v>
      </c>
      <c r="BC108" s="211">
        <f t="shared" si="96"/>
        <v>3.5999999999999997E-2</v>
      </c>
      <c r="BD108" s="212">
        <f t="shared" si="97"/>
        <v>3.5999999999999997E-2</v>
      </c>
      <c r="BE108" s="211">
        <f t="shared" si="98"/>
        <v>3.5999999999999997E-2</v>
      </c>
      <c r="BF108" s="211">
        <f t="shared" si="99"/>
        <v>3.5999999999999997E-2</v>
      </c>
      <c r="BG108" s="211">
        <f t="shared" si="100"/>
        <v>3.5999999999999997E-2</v>
      </c>
      <c r="BH108" s="211">
        <f t="shared" si="101"/>
        <v>3.5999999999999997E-2</v>
      </c>
      <c r="BI108" s="212">
        <f t="shared" si="102"/>
        <v>3.5999999999999997E-2</v>
      </c>
    </row>
    <row r="109" spans="1:61" s="26" customFormat="1">
      <c r="A109" s="3" t="s">
        <v>382</v>
      </c>
      <c r="B109" s="211"/>
      <c r="C109" s="211"/>
      <c r="D109" s="211"/>
      <c r="E109" s="32"/>
      <c r="F109" s="212"/>
      <c r="G109" s="211"/>
      <c r="H109" s="211"/>
      <c r="I109" s="211"/>
      <c r="J109" s="32"/>
      <c r="K109" s="212"/>
      <c r="L109" s="211"/>
      <c r="M109" s="211"/>
      <c r="N109" s="211"/>
      <c r="O109" s="32"/>
      <c r="P109" s="212">
        <v>3.6249999999999998E-2</v>
      </c>
      <c r="Q109" s="32">
        <f t="shared" si="126"/>
        <v>3.6249999999999998E-2</v>
      </c>
      <c r="R109" s="32">
        <f t="shared" si="126"/>
        <v>3.6249999999999998E-2</v>
      </c>
      <c r="S109" s="32">
        <f t="shared" si="126"/>
        <v>3.6249999999999998E-2</v>
      </c>
      <c r="T109" s="32">
        <f t="shared" si="126"/>
        <v>3.6249999999999998E-2</v>
      </c>
      <c r="U109" s="212">
        <v>3.6249999999999998E-2</v>
      </c>
      <c r="V109" s="32">
        <f t="shared" si="127"/>
        <v>3.6249999999999998E-2</v>
      </c>
      <c r="W109" s="32">
        <f t="shared" si="127"/>
        <v>3.6249999999999998E-2</v>
      </c>
      <c r="X109" s="32">
        <f t="shared" si="127"/>
        <v>3.6249999999999998E-2</v>
      </c>
      <c r="Y109" s="32">
        <f t="shared" si="127"/>
        <v>3.6249999999999998E-2</v>
      </c>
      <c r="Z109" s="212">
        <v>3.6249999999999998E-2</v>
      </c>
      <c r="AA109" s="32">
        <f t="shared" ref="AA109:AA129" si="129">Z109</f>
        <v>3.6249999999999998E-2</v>
      </c>
      <c r="AB109" s="211">
        <f t="shared" si="128"/>
        <v>3.6249999999999998E-2</v>
      </c>
      <c r="AC109" s="211">
        <f t="shared" si="128"/>
        <v>3.6249999999999998E-2</v>
      </c>
      <c r="AD109" s="211">
        <f t="shared" si="128"/>
        <v>3.6249999999999998E-2</v>
      </c>
      <c r="AE109" s="212">
        <f t="shared" si="128"/>
        <v>3.6249999999999998E-2</v>
      </c>
      <c r="AF109" s="211">
        <f t="shared" si="128"/>
        <v>3.6249999999999998E-2</v>
      </c>
      <c r="AG109" s="211">
        <f t="shared" si="128"/>
        <v>3.6249999999999998E-2</v>
      </c>
      <c r="AH109" s="211">
        <f t="shared" si="128"/>
        <v>3.6249999999999998E-2</v>
      </c>
      <c r="AI109" s="211">
        <f t="shared" si="128"/>
        <v>3.6249999999999998E-2</v>
      </c>
      <c r="AJ109" s="212">
        <f t="shared" si="128"/>
        <v>3.6249999999999998E-2</v>
      </c>
      <c r="AK109" s="211">
        <f t="shared" si="125"/>
        <v>3.6249999999999998E-2</v>
      </c>
      <c r="AL109" s="211">
        <f t="shared" si="125"/>
        <v>3.6249999999999998E-2</v>
      </c>
      <c r="AM109" s="211">
        <f t="shared" si="125"/>
        <v>3.6249999999999998E-2</v>
      </c>
      <c r="AN109" s="211">
        <f t="shared" si="125"/>
        <v>3.6249999999999998E-2</v>
      </c>
      <c r="AO109" s="212">
        <f t="shared" si="125"/>
        <v>3.6249999999999998E-2</v>
      </c>
      <c r="AP109" s="211">
        <f t="shared" si="104"/>
        <v>3.6249999999999998E-2</v>
      </c>
      <c r="AQ109" s="211">
        <f t="shared" si="105"/>
        <v>3.6249999999999998E-2</v>
      </c>
      <c r="AR109" s="211">
        <f t="shared" si="106"/>
        <v>3.6249999999999998E-2</v>
      </c>
      <c r="AS109" s="211">
        <f t="shared" si="107"/>
        <v>3.6249999999999998E-2</v>
      </c>
      <c r="AT109" s="212">
        <f t="shared" si="123"/>
        <v>3.6249999999999998E-2</v>
      </c>
      <c r="AU109" s="211">
        <f t="shared" si="117"/>
        <v>3.6249999999999998E-2</v>
      </c>
      <c r="AV109" s="211">
        <f t="shared" si="118"/>
        <v>3.6249999999999998E-2</v>
      </c>
      <c r="AW109" s="211">
        <f t="shared" si="119"/>
        <v>3.6249999999999998E-2</v>
      </c>
      <c r="AX109" s="211">
        <f t="shared" si="120"/>
        <v>3.6249999999999998E-2</v>
      </c>
      <c r="AY109" s="212">
        <f t="shared" si="121"/>
        <v>3.6249999999999998E-2</v>
      </c>
      <c r="AZ109" s="211">
        <f t="shared" si="115"/>
        <v>3.6249999999999998E-2</v>
      </c>
      <c r="BA109" s="211">
        <f t="shared" si="94"/>
        <v>3.6249999999999998E-2</v>
      </c>
      <c r="BB109" s="211">
        <f t="shared" si="95"/>
        <v>3.6249999999999998E-2</v>
      </c>
      <c r="BC109" s="211">
        <f t="shared" si="96"/>
        <v>3.6249999999999998E-2</v>
      </c>
      <c r="BD109" s="212">
        <f t="shared" si="97"/>
        <v>3.6249999999999998E-2</v>
      </c>
      <c r="BE109" s="211">
        <f t="shared" si="98"/>
        <v>3.6249999999999998E-2</v>
      </c>
      <c r="BF109" s="211">
        <f t="shared" si="99"/>
        <v>3.6249999999999998E-2</v>
      </c>
      <c r="BG109" s="211">
        <f t="shared" si="100"/>
        <v>3.6249999999999998E-2</v>
      </c>
      <c r="BH109" s="211">
        <f t="shared" si="101"/>
        <v>3.6249999999999998E-2</v>
      </c>
      <c r="BI109" s="212">
        <f t="shared" si="102"/>
        <v>3.6249999999999998E-2</v>
      </c>
    </row>
    <row r="110" spans="1:61" s="26" customFormat="1">
      <c r="A110" s="3" t="s">
        <v>383</v>
      </c>
      <c r="B110" s="211"/>
      <c r="C110" s="211"/>
      <c r="D110" s="211"/>
      <c r="E110" s="32"/>
      <c r="F110" s="212"/>
      <c r="G110" s="211"/>
      <c r="H110" s="211"/>
      <c r="I110" s="211"/>
      <c r="J110" s="32"/>
      <c r="K110" s="212"/>
      <c r="L110" s="211"/>
      <c r="M110" s="211"/>
      <c r="N110" s="211"/>
      <c r="O110" s="32"/>
      <c r="P110" s="212">
        <v>3.6499999999999998E-2</v>
      </c>
      <c r="Q110" s="32">
        <f t="shared" si="126"/>
        <v>3.6499999999999998E-2</v>
      </c>
      <c r="R110" s="32">
        <f t="shared" si="126"/>
        <v>3.6499999999999998E-2</v>
      </c>
      <c r="S110" s="32">
        <f t="shared" si="126"/>
        <v>3.6499999999999998E-2</v>
      </c>
      <c r="T110" s="32">
        <f t="shared" si="126"/>
        <v>3.6499999999999998E-2</v>
      </c>
      <c r="U110" s="212">
        <v>3.6499999999999998E-2</v>
      </c>
      <c r="V110" s="32">
        <f t="shared" si="127"/>
        <v>3.6499999999999998E-2</v>
      </c>
      <c r="W110" s="32">
        <f t="shared" si="127"/>
        <v>3.6499999999999998E-2</v>
      </c>
      <c r="X110" s="32">
        <f t="shared" si="127"/>
        <v>3.6499999999999998E-2</v>
      </c>
      <c r="Y110" s="32">
        <f t="shared" si="127"/>
        <v>3.6499999999999998E-2</v>
      </c>
      <c r="Z110" s="212">
        <v>3.6499999999999998E-2</v>
      </c>
      <c r="AA110" s="32">
        <f t="shared" si="129"/>
        <v>3.6499999999999998E-2</v>
      </c>
      <c r="AB110" s="211">
        <f t="shared" si="128"/>
        <v>3.6499999999999998E-2</v>
      </c>
      <c r="AC110" s="211">
        <f t="shared" si="128"/>
        <v>3.6499999999999998E-2</v>
      </c>
      <c r="AD110" s="211">
        <f t="shared" si="128"/>
        <v>3.6499999999999998E-2</v>
      </c>
      <c r="AE110" s="212">
        <f t="shared" si="128"/>
        <v>3.6499999999999998E-2</v>
      </c>
      <c r="AF110" s="211">
        <f t="shared" si="128"/>
        <v>3.6499999999999998E-2</v>
      </c>
      <c r="AG110" s="211">
        <f t="shared" si="128"/>
        <v>3.6499999999999998E-2</v>
      </c>
      <c r="AH110" s="211">
        <f t="shared" si="128"/>
        <v>3.6499999999999998E-2</v>
      </c>
      <c r="AI110" s="211">
        <f t="shared" si="128"/>
        <v>3.6499999999999998E-2</v>
      </c>
      <c r="AJ110" s="212">
        <f t="shared" si="128"/>
        <v>3.6499999999999998E-2</v>
      </c>
      <c r="AK110" s="211">
        <f t="shared" si="125"/>
        <v>3.6499999999999998E-2</v>
      </c>
      <c r="AL110" s="211">
        <f t="shared" si="125"/>
        <v>3.6499999999999998E-2</v>
      </c>
      <c r="AM110" s="211">
        <f t="shared" si="125"/>
        <v>3.6499999999999998E-2</v>
      </c>
      <c r="AN110" s="211">
        <f t="shared" si="125"/>
        <v>3.6499999999999998E-2</v>
      </c>
      <c r="AO110" s="212">
        <f t="shared" si="125"/>
        <v>3.6499999999999998E-2</v>
      </c>
      <c r="AP110" s="211">
        <f t="shared" si="104"/>
        <v>3.6499999999999998E-2</v>
      </c>
      <c r="AQ110" s="211">
        <f t="shared" si="105"/>
        <v>3.6499999999999998E-2</v>
      </c>
      <c r="AR110" s="211">
        <f t="shared" si="106"/>
        <v>3.6499999999999998E-2</v>
      </c>
      <c r="AS110" s="211">
        <f t="shared" si="107"/>
        <v>3.6499999999999998E-2</v>
      </c>
      <c r="AT110" s="212">
        <f t="shared" si="123"/>
        <v>3.6499999999999998E-2</v>
      </c>
      <c r="AU110" s="211">
        <f t="shared" si="117"/>
        <v>3.6499999999999998E-2</v>
      </c>
      <c r="AV110" s="211">
        <f t="shared" si="118"/>
        <v>3.6499999999999998E-2</v>
      </c>
      <c r="AW110" s="211">
        <f t="shared" si="119"/>
        <v>3.6499999999999998E-2</v>
      </c>
      <c r="AX110" s="211">
        <f t="shared" si="120"/>
        <v>3.6499999999999998E-2</v>
      </c>
      <c r="AY110" s="212">
        <f t="shared" si="121"/>
        <v>3.6499999999999998E-2</v>
      </c>
      <c r="AZ110" s="211">
        <f t="shared" si="115"/>
        <v>3.6499999999999998E-2</v>
      </c>
      <c r="BA110" s="211">
        <f t="shared" si="94"/>
        <v>3.6499999999999998E-2</v>
      </c>
      <c r="BB110" s="211">
        <f t="shared" si="95"/>
        <v>3.6499999999999998E-2</v>
      </c>
      <c r="BC110" s="211">
        <f t="shared" si="96"/>
        <v>3.6499999999999998E-2</v>
      </c>
      <c r="BD110" s="212">
        <f t="shared" si="97"/>
        <v>3.6499999999999998E-2</v>
      </c>
      <c r="BE110" s="211">
        <f t="shared" si="98"/>
        <v>3.6499999999999998E-2</v>
      </c>
      <c r="BF110" s="211">
        <f t="shared" si="99"/>
        <v>3.6499999999999998E-2</v>
      </c>
      <c r="BG110" s="211">
        <f t="shared" si="100"/>
        <v>3.6499999999999998E-2</v>
      </c>
      <c r="BH110" s="211">
        <f t="shared" si="101"/>
        <v>3.6499999999999998E-2</v>
      </c>
      <c r="BI110" s="212">
        <f t="shared" si="102"/>
        <v>3.6499999999999998E-2</v>
      </c>
    </row>
    <row r="111" spans="1:61" s="26" customFormat="1">
      <c r="A111" s="3" t="s">
        <v>384</v>
      </c>
      <c r="B111" s="211"/>
      <c r="C111" s="211"/>
      <c r="D111" s="211"/>
      <c r="E111" s="32"/>
      <c r="F111" s="212"/>
      <c r="G111" s="211"/>
      <c r="H111" s="211"/>
      <c r="I111" s="211"/>
      <c r="J111" s="32"/>
      <c r="K111" s="212"/>
      <c r="L111" s="211"/>
      <c r="M111" s="211"/>
      <c r="N111" s="211"/>
      <c r="O111" s="32"/>
      <c r="P111" s="212">
        <v>3.7499999999999999E-2</v>
      </c>
      <c r="Q111" s="32">
        <f t="shared" si="126"/>
        <v>3.7499999999999999E-2</v>
      </c>
      <c r="R111" s="32">
        <f t="shared" si="126"/>
        <v>3.7499999999999999E-2</v>
      </c>
      <c r="S111" s="32">
        <f t="shared" si="126"/>
        <v>3.7499999999999999E-2</v>
      </c>
      <c r="T111" s="32">
        <f t="shared" si="126"/>
        <v>3.7499999999999999E-2</v>
      </c>
      <c r="U111" s="212">
        <v>3.7499999999999999E-2</v>
      </c>
      <c r="V111" s="32">
        <f t="shared" si="127"/>
        <v>3.7499999999999999E-2</v>
      </c>
      <c r="W111" s="32">
        <f t="shared" si="127"/>
        <v>3.7499999999999999E-2</v>
      </c>
      <c r="X111" s="32">
        <f t="shared" si="127"/>
        <v>3.7499999999999999E-2</v>
      </c>
      <c r="Y111" s="32">
        <f t="shared" si="127"/>
        <v>3.7499999999999999E-2</v>
      </c>
      <c r="Z111" s="212">
        <v>3.7499999999999999E-2</v>
      </c>
      <c r="AA111" s="32">
        <f t="shared" si="129"/>
        <v>3.7499999999999999E-2</v>
      </c>
      <c r="AB111" s="211">
        <f t="shared" si="128"/>
        <v>3.7499999999999999E-2</v>
      </c>
      <c r="AC111" s="211">
        <f t="shared" si="128"/>
        <v>3.7499999999999999E-2</v>
      </c>
      <c r="AD111" s="211">
        <f t="shared" si="128"/>
        <v>3.7499999999999999E-2</v>
      </c>
      <c r="AE111" s="212">
        <f t="shared" si="128"/>
        <v>3.7499999999999999E-2</v>
      </c>
      <c r="AF111" s="211">
        <f t="shared" si="128"/>
        <v>3.7499999999999999E-2</v>
      </c>
      <c r="AG111" s="211">
        <f t="shared" si="128"/>
        <v>3.7499999999999999E-2</v>
      </c>
      <c r="AH111" s="211">
        <f t="shared" si="128"/>
        <v>3.7499999999999999E-2</v>
      </c>
      <c r="AI111" s="211">
        <f t="shared" si="128"/>
        <v>3.7499999999999999E-2</v>
      </c>
      <c r="AJ111" s="212">
        <f t="shared" si="128"/>
        <v>3.7499999999999999E-2</v>
      </c>
      <c r="AK111" s="211">
        <f t="shared" si="125"/>
        <v>3.7499999999999999E-2</v>
      </c>
      <c r="AL111" s="211">
        <f t="shared" si="125"/>
        <v>3.7499999999999999E-2</v>
      </c>
      <c r="AM111" s="211">
        <f t="shared" si="125"/>
        <v>3.7499999999999999E-2</v>
      </c>
      <c r="AN111" s="211">
        <f t="shared" si="125"/>
        <v>3.7499999999999999E-2</v>
      </c>
      <c r="AO111" s="212">
        <f t="shared" si="125"/>
        <v>3.7499999999999999E-2</v>
      </c>
      <c r="AP111" s="211">
        <f t="shared" si="104"/>
        <v>3.7499999999999999E-2</v>
      </c>
      <c r="AQ111" s="211">
        <f t="shared" si="105"/>
        <v>3.7499999999999999E-2</v>
      </c>
      <c r="AR111" s="211">
        <f t="shared" si="106"/>
        <v>3.7499999999999999E-2</v>
      </c>
      <c r="AS111" s="211">
        <f t="shared" si="107"/>
        <v>3.7499999999999999E-2</v>
      </c>
      <c r="AT111" s="212">
        <f t="shared" si="123"/>
        <v>3.7499999999999999E-2</v>
      </c>
      <c r="AU111" s="211">
        <f t="shared" si="117"/>
        <v>3.7499999999999999E-2</v>
      </c>
      <c r="AV111" s="211">
        <f t="shared" si="118"/>
        <v>3.7499999999999999E-2</v>
      </c>
      <c r="AW111" s="211">
        <f t="shared" si="119"/>
        <v>3.7499999999999999E-2</v>
      </c>
      <c r="AX111" s="211">
        <f t="shared" si="120"/>
        <v>3.7499999999999999E-2</v>
      </c>
      <c r="AY111" s="212">
        <f t="shared" si="121"/>
        <v>3.7499999999999999E-2</v>
      </c>
      <c r="AZ111" s="211">
        <f t="shared" si="115"/>
        <v>3.7499999999999999E-2</v>
      </c>
      <c r="BA111" s="211">
        <f t="shared" si="94"/>
        <v>3.7499999999999999E-2</v>
      </c>
      <c r="BB111" s="211">
        <f t="shared" si="95"/>
        <v>3.7499999999999999E-2</v>
      </c>
      <c r="BC111" s="211">
        <f t="shared" si="96"/>
        <v>3.7499999999999999E-2</v>
      </c>
      <c r="BD111" s="212">
        <f t="shared" si="97"/>
        <v>3.7499999999999999E-2</v>
      </c>
      <c r="BE111" s="211">
        <f t="shared" si="98"/>
        <v>3.7499999999999999E-2</v>
      </c>
      <c r="BF111" s="211">
        <f t="shared" si="99"/>
        <v>3.7499999999999999E-2</v>
      </c>
      <c r="BG111" s="211">
        <f t="shared" si="100"/>
        <v>3.7499999999999999E-2</v>
      </c>
      <c r="BH111" s="211">
        <f t="shared" si="101"/>
        <v>3.7499999999999999E-2</v>
      </c>
      <c r="BI111" s="212">
        <f t="shared" si="102"/>
        <v>3.7499999999999999E-2</v>
      </c>
    </row>
    <row r="112" spans="1:61" s="26" customFormat="1">
      <c r="A112" s="3" t="s">
        <v>385</v>
      </c>
      <c r="B112" s="211"/>
      <c r="C112" s="211"/>
      <c r="D112" s="211"/>
      <c r="E112" s="32"/>
      <c r="F112" s="212"/>
      <c r="G112" s="211"/>
      <c r="H112" s="211"/>
      <c r="I112" s="211"/>
      <c r="J112" s="32"/>
      <c r="K112" s="212"/>
      <c r="L112" s="211"/>
      <c r="M112" s="211"/>
      <c r="N112" s="211"/>
      <c r="O112" s="32"/>
      <c r="P112" s="212">
        <v>3.8249999999999999E-2</v>
      </c>
      <c r="Q112" s="32">
        <f t="shared" si="126"/>
        <v>3.8249999999999999E-2</v>
      </c>
      <c r="R112" s="32">
        <f t="shared" si="126"/>
        <v>3.8249999999999999E-2</v>
      </c>
      <c r="S112" s="32">
        <f t="shared" si="126"/>
        <v>3.8249999999999999E-2</v>
      </c>
      <c r="T112" s="32">
        <f t="shared" si="126"/>
        <v>3.8249999999999999E-2</v>
      </c>
      <c r="U112" s="212">
        <v>3.8249999999999999E-2</v>
      </c>
      <c r="V112" s="32">
        <f t="shared" si="127"/>
        <v>3.8249999999999999E-2</v>
      </c>
      <c r="W112" s="32">
        <f t="shared" si="127"/>
        <v>3.8249999999999999E-2</v>
      </c>
      <c r="X112" s="32">
        <f t="shared" si="127"/>
        <v>3.8249999999999999E-2</v>
      </c>
      <c r="Y112" s="32">
        <f t="shared" si="127"/>
        <v>3.8249999999999999E-2</v>
      </c>
      <c r="Z112" s="212">
        <v>3.8249999999999999E-2</v>
      </c>
      <c r="AA112" s="32">
        <f t="shared" si="129"/>
        <v>3.8249999999999999E-2</v>
      </c>
      <c r="AB112" s="211">
        <f t="shared" si="128"/>
        <v>3.8249999999999999E-2</v>
      </c>
      <c r="AC112" s="211">
        <f t="shared" si="128"/>
        <v>3.8249999999999999E-2</v>
      </c>
      <c r="AD112" s="211">
        <f t="shared" si="128"/>
        <v>3.8249999999999999E-2</v>
      </c>
      <c r="AE112" s="212">
        <f t="shared" si="128"/>
        <v>3.8249999999999999E-2</v>
      </c>
      <c r="AF112" s="211">
        <f t="shared" si="128"/>
        <v>3.8249999999999999E-2</v>
      </c>
      <c r="AG112" s="211">
        <f t="shared" si="128"/>
        <v>3.8249999999999999E-2</v>
      </c>
      <c r="AH112" s="211">
        <f t="shared" si="128"/>
        <v>3.8249999999999999E-2</v>
      </c>
      <c r="AI112" s="211">
        <f t="shared" si="128"/>
        <v>3.8249999999999999E-2</v>
      </c>
      <c r="AJ112" s="212">
        <f t="shared" si="128"/>
        <v>3.8249999999999999E-2</v>
      </c>
      <c r="AK112" s="211">
        <f t="shared" si="125"/>
        <v>3.8249999999999999E-2</v>
      </c>
      <c r="AL112" s="211">
        <f t="shared" si="125"/>
        <v>3.8249999999999999E-2</v>
      </c>
      <c r="AM112" s="211">
        <f t="shared" si="125"/>
        <v>3.8249999999999999E-2</v>
      </c>
      <c r="AN112" s="211">
        <f t="shared" si="125"/>
        <v>3.8249999999999999E-2</v>
      </c>
      <c r="AO112" s="212">
        <f t="shared" si="125"/>
        <v>3.8249999999999999E-2</v>
      </c>
      <c r="AP112" s="211">
        <f t="shared" si="104"/>
        <v>3.8249999999999999E-2</v>
      </c>
      <c r="AQ112" s="211">
        <f t="shared" si="105"/>
        <v>3.8249999999999999E-2</v>
      </c>
      <c r="AR112" s="211">
        <f t="shared" si="106"/>
        <v>3.8249999999999999E-2</v>
      </c>
      <c r="AS112" s="211">
        <f t="shared" si="107"/>
        <v>3.8249999999999999E-2</v>
      </c>
      <c r="AT112" s="212">
        <f t="shared" si="123"/>
        <v>3.8249999999999999E-2</v>
      </c>
      <c r="AU112" s="211">
        <f t="shared" si="117"/>
        <v>3.8249999999999999E-2</v>
      </c>
      <c r="AV112" s="211">
        <f t="shared" si="118"/>
        <v>3.8249999999999999E-2</v>
      </c>
      <c r="AW112" s="211">
        <f t="shared" si="119"/>
        <v>3.8249999999999999E-2</v>
      </c>
      <c r="AX112" s="211">
        <f t="shared" si="120"/>
        <v>3.8249999999999999E-2</v>
      </c>
      <c r="AY112" s="212">
        <f t="shared" si="121"/>
        <v>3.8249999999999999E-2</v>
      </c>
      <c r="AZ112" s="211">
        <f t="shared" si="115"/>
        <v>3.8249999999999999E-2</v>
      </c>
      <c r="BA112" s="211">
        <f t="shared" si="94"/>
        <v>3.8249999999999999E-2</v>
      </c>
      <c r="BB112" s="211">
        <f t="shared" si="95"/>
        <v>3.8249999999999999E-2</v>
      </c>
      <c r="BC112" s="211">
        <f t="shared" si="96"/>
        <v>3.8249999999999999E-2</v>
      </c>
      <c r="BD112" s="212">
        <f t="shared" si="97"/>
        <v>3.8249999999999999E-2</v>
      </c>
      <c r="BE112" s="211">
        <f t="shared" si="98"/>
        <v>3.8249999999999999E-2</v>
      </c>
      <c r="BF112" s="211">
        <f t="shared" si="99"/>
        <v>3.8249999999999999E-2</v>
      </c>
      <c r="BG112" s="211">
        <f t="shared" si="100"/>
        <v>3.8249999999999999E-2</v>
      </c>
      <c r="BH112" s="211">
        <f t="shared" si="101"/>
        <v>3.8249999999999999E-2</v>
      </c>
      <c r="BI112" s="212">
        <f t="shared" si="102"/>
        <v>3.8249999999999999E-2</v>
      </c>
    </row>
    <row r="113" spans="1:61" s="26" customFormat="1">
      <c r="A113" s="3" t="s">
        <v>386</v>
      </c>
      <c r="B113" s="211"/>
      <c r="C113" s="211"/>
      <c r="D113" s="211"/>
      <c r="E113" s="32"/>
      <c r="F113" s="212"/>
      <c r="G113" s="211"/>
      <c r="H113" s="211"/>
      <c r="I113" s="211"/>
      <c r="J113" s="32"/>
      <c r="K113" s="212"/>
      <c r="L113" s="211"/>
      <c r="M113" s="211"/>
      <c r="N113" s="211"/>
      <c r="O113" s="32"/>
      <c r="P113" s="212">
        <v>3.85E-2</v>
      </c>
      <c r="Q113" s="32">
        <f t="shared" si="126"/>
        <v>3.85E-2</v>
      </c>
      <c r="R113" s="32">
        <f t="shared" si="126"/>
        <v>3.85E-2</v>
      </c>
      <c r="S113" s="32">
        <f t="shared" si="126"/>
        <v>3.85E-2</v>
      </c>
      <c r="T113" s="32">
        <f t="shared" si="126"/>
        <v>3.85E-2</v>
      </c>
      <c r="U113" s="212">
        <v>3.85E-2</v>
      </c>
      <c r="V113" s="32">
        <f t="shared" si="127"/>
        <v>3.85E-2</v>
      </c>
      <c r="W113" s="32">
        <f t="shared" si="127"/>
        <v>3.85E-2</v>
      </c>
      <c r="X113" s="32">
        <f t="shared" si="127"/>
        <v>3.85E-2</v>
      </c>
      <c r="Y113" s="32">
        <f t="shared" si="127"/>
        <v>3.85E-2</v>
      </c>
      <c r="Z113" s="212">
        <v>3.85E-2</v>
      </c>
      <c r="AA113" s="32">
        <f t="shared" si="129"/>
        <v>3.85E-2</v>
      </c>
      <c r="AB113" s="211">
        <f t="shared" si="128"/>
        <v>3.85E-2</v>
      </c>
      <c r="AC113" s="211">
        <f t="shared" si="128"/>
        <v>3.85E-2</v>
      </c>
      <c r="AD113" s="211">
        <f t="shared" si="128"/>
        <v>3.85E-2</v>
      </c>
      <c r="AE113" s="212">
        <f t="shared" si="128"/>
        <v>3.85E-2</v>
      </c>
      <c r="AF113" s="211">
        <f t="shared" si="128"/>
        <v>3.85E-2</v>
      </c>
      <c r="AG113" s="211">
        <f t="shared" si="128"/>
        <v>3.85E-2</v>
      </c>
      <c r="AH113" s="211">
        <f t="shared" si="128"/>
        <v>3.85E-2</v>
      </c>
      <c r="AI113" s="211">
        <f t="shared" si="128"/>
        <v>3.85E-2</v>
      </c>
      <c r="AJ113" s="212">
        <f t="shared" si="128"/>
        <v>3.85E-2</v>
      </c>
      <c r="AK113" s="211">
        <f t="shared" si="125"/>
        <v>3.85E-2</v>
      </c>
      <c r="AL113" s="211">
        <f t="shared" si="125"/>
        <v>3.85E-2</v>
      </c>
      <c r="AM113" s="211">
        <f t="shared" si="125"/>
        <v>3.85E-2</v>
      </c>
      <c r="AN113" s="211">
        <f t="shared" si="125"/>
        <v>3.85E-2</v>
      </c>
      <c r="AO113" s="212">
        <f t="shared" si="125"/>
        <v>3.85E-2</v>
      </c>
      <c r="AP113" s="211">
        <f t="shared" si="104"/>
        <v>3.85E-2</v>
      </c>
      <c r="AQ113" s="211">
        <f t="shared" si="105"/>
        <v>3.85E-2</v>
      </c>
      <c r="AR113" s="211">
        <f t="shared" si="106"/>
        <v>3.85E-2</v>
      </c>
      <c r="AS113" s="211">
        <f t="shared" si="107"/>
        <v>3.85E-2</v>
      </c>
      <c r="AT113" s="212">
        <f t="shared" si="123"/>
        <v>3.85E-2</v>
      </c>
      <c r="AU113" s="211">
        <f t="shared" si="117"/>
        <v>3.85E-2</v>
      </c>
      <c r="AV113" s="211">
        <f t="shared" si="118"/>
        <v>3.85E-2</v>
      </c>
      <c r="AW113" s="211">
        <f t="shared" si="119"/>
        <v>3.85E-2</v>
      </c>
      <c r="AX113" s="211">
        <f t="shared" si="120"/>
        <v>3.85E-2</v>
      </c>
      <c r="AY113" s="212">
        <f t="shared" si="121"/>
        <v>3.85E-2</v>
      </c>
      <c r="AZ113" s="211">
        <f t="shared" si="115"/>
        <v>3.85E-2</v>
      </c>
      <c r="BA113" s="211">
        <f t="shared" si="94"/>
        <v>3.85E-2</v>
      </c>
      <c r="BB113" s="211">
        <f t="shared" si="95"/>
        <v>3.85E-2</v>
      </c>
      <c r="BC113" s="211">
        <f t="shared" si="96"/>
        <v>3.85E-2</v>
      </c>
      <c r="BD113" s="212">
        <f t="shared" si="97"/>
        <v>3.85E-2</v>
      </c>
      <c r="BE113" s="211">
        <f t="shared" si="98"/>
        <v>3.85E-2</v>
      </c>
      <c r="BF113" s="211">
        <f t="shared" si="99"/>
        <v>3.85E-2</v>
      </c>
      <c r="BG113" s="211">
        <f t="shared" si="100"/>
        <v>3.85E-2</v>
      </c>
      <c r="BH113" s="211">
        <f t="shared" si="101"/>
        <v>3.85E-2</v>
      </c>
      <c r="BI113" s="212">
        <f t="shared" si="102"/>
        <v>3.85E-2</v>
      </c>
    </row>
    <row r="114" spans="1:61" s="26" customFormat="1">
      <c r="A114" s="3" t="s">
        <v>387</v>
      </c>
      <c r="B114" s="211"/>
      <c r="C114" s="211"/>
      <c r="D114" s="211"/>
      <c r="E114" s="32"/>
      <c r="F114" s="212"/>
      <c r="G114" s="211"/>
      <c r="H114" s="211"/>
      <c r="I114" s="211"/>
      <c r="J114" s="32"/>
      <c r="K114" s="212"/>
      <c r="L114" s="211"/>
      <c r="M114" s="211"/>
      <c r="N114" s="211"/>
      <c r="O114" s="32"/>
      <c r="P114" s="212">
        <v>3.9E-2</v>
      </c>
      <c r="Q114" s="32">
        <f t="shared" si="126"/>
        <v>3.9E-2</v>
      </c>
      <c r="R114" s="32">
        <f t="shared" si="126"/>
        <v>3.9E-2</v>
      </c>
      <c r="S114" s="32">
        <f t="shared" si="126"/>
        <v>3.9E-2</v>
      </c>
      <c r="T114" s="32">
        <f t="shared" si="126"/>
        <v>3.9E-2</v>
      </c>
      <c r="U114" s="212">
        <v>3.9E-2</v>
      </c>
      <c r="V114" s="32">
        <f t="shared" si="127"/>
        <v>3.9E-2</v>
      </c>
      <c r="W114" s="32">
        <f t="shared" si="127"/>
        <v>3.9E-2</v>
      </c>
      <c r="X114" s="32">
        <f t="shared" si="127"/>
        <v>3.9E-2</v>
      </c>
      <c r="Y114" s="32">
        <f t="shared" si="127"/>
        <v>3.9E-2</v>
      </c>
      <c r="Z114" s="212">
        <v>3.9E-2</v>
      </c>
      <c r="AA114" s="32">
        <f t="shared" si="129"/>
        <v>3.9E-2</v>
      </c>
      <c r="AB114" s="211">
        <f t="shared" si="128"/>
        <v>3.9E-2</v>
      </c>
      <c r="AC114" s="211">
        <f t="shared" si="128"/>
        <v>3.9E-2</v>
      </c>
      <c r="AD114" s="211">
        <f t="shared" si="128"/>
        <v>3.9E-2</v>
      </c>
      <c r="AE114" s="212">
        <f t="shared" si="128"/>
        <v>3.9E-2</v>
      </c>
      <c r="AF114" s="211">
        <f t="shared" si="128"/>
        <v>3.9E-2</v>
      </c>
      <c r="AG114" s="211">
        <f t="shared" si="128"/>
        <v>3.9E-2</v>
      </c>
      <c r="AH114" s="211">
        <f t="shared" si="128"/>
        <v>3.9E-2</v>
      </c>
      <c r="AI114" s="211">
        <f t="shared" si="128"/>
        <v>3.9E-2</v>
      </c>
      <c r="AJ114" s="212">
        <f t="shared" si="128"/>
        <v>3.9E-2</v>
      </c>
      <c r="AK114" s="211">
        <f t="shared" si="125"/>
        <v>3.9E-2</v>
      </c>
      <c r="AL114" s="211">
        <f t="shared" si="125"/>
        <v>3.9E-2</v>
      </c>
      <c r="AM114" s="211">
        <f t="shared" si="125"/>
        <v>3.9E-2</v>
      </c>
      <c r="AN114" s="211">
        <f t="shared" si="125"/>
        <v>3.9E-2</v>
      </c>
      <c r="AO114" s="212">
        <f t="shared" si="125"/>
        <v>3.9E-2</v>
      </c>
      <c r="AP114" s="211">
        <f t="shared" si="104"/>
        <v>3.9E-2</v>
      </c>
      <c r="AQ114" s="211">
        <f t="shared" si="105"/>
        <v>3.9E-2</v>
      </c>
      <c r="AR114" s="211">
        <f t="shared" si="106"/>
        <v>3.9E-2</v>
      </c>
      <c r="AS114" s="211">
        <f t="shared" si="107"/>
        <v>3.9E-2</v>
      </c>
      <c r="AT114" s="212">
        <f t="shared" si="123"/>
        <v>3.9E-2</v>
      </c>
      <c r="AU114" s="211">
        <f t="shared" si="117"/>
        <v>3.9E-2</v>
      </c>
      <c r="AV114" s="211">
        <f t="shared" si="118"/>
        <v>3.9E-2</v>
      </c>
      <c r="AW114" s="211">
        <f t="shared" si="119"/>
        <v>3.9E-2</v>
      </c>
      <c r="AX114" s="211">
        <f t="shared" si="120"/>
        <v>3.9E-2</v>
      </c>
      <c r="AY114" s="212">
        <f t="shared" si="121"/>
        <v>3.9E-2</v>
      </c>
      <c r="AZ114" s="211">
        <f t="shared" si="115"/>
        <v>3.9E-2</v>
      </c>
      <c r="BA114" s="211">
        <f t="shared" si="94"/>
        <v>3.9E-2</v>
      </c>
      <c r="BB114" s="211">
        <f t="shared" si="95"/>
        <v>3.9E-2</v>
      </c>
      <c r="BC114" s="211">
        <f t="shared" si="96"/>
        <v>3.9E-2</v>
      </c>
      <c r="BD114" s="212">
        <f t="shared" si="97"/>
        <v>3.9E-2</v>
      </c>
      <c r="BE114" s="211">
        <f t="shared" si="98"/>
        <v>3.9E-2</v>
      </c>
      <c r="BF114" s="211">
        <f t="shared" si="99"/>
        <v>3.9E-2</v>
      </c>
      <c r="BG114" s="211">
        <f t="shared" si="100"/>
        <v>3.9E-2</v>
      </c>
      <c r="BH114" s="211">
        <f t="shared" si="101"/>
        <v>3.9E-2</v>
      </c>
      <c r="BI114" s="212">
        <f t="shared" si="102"/>
        <v>3.9E-2</v>
      </c>
    </row>
    <row r="115" spans="1:61" s="26" customFormat="1">
      <c r="A115" s="3" t="s">
        <v>388</v>
      </c>
      <c r="B115" s="211"/>
      <c r="C115" s="211"/>
      <c r="D115" s="211"/>
      <c r="E115" s="32"/>
      <c r="F115" s="212"/>
      <c r="G115" s="211"/>
      <c r="H115" s="211"/>
      <c r="I115" s="211"/>
      <c r="J115" s="32"/>
      <c r="K115" s="212"/>
      <c r="L115" s="211"/>
      <c r="M115" s="211"/>
      <c r="N115" s="211"/>
      <c r="O115" s="32"/>
      <c r="P115" s="212">
        <v>3.95E-2</v>
      </c>
      <c r="Q115" s="32">
        <f t="shared" si="126"/>
        <v>3.95E-2</v>
      </c>
      <c r="R115" s="32">
        <f t="shared" si="126"/>
        <v>3.95E-2</v>
      </c>
      <c r="S115" s="32">
        <f t="shared" si="126"/>
        <v>3.95E-2</v>
      </c>
      <c r="T115" s="32">
        <f t="shared" si="126"/>
        <v>3.95E-2</v>
      </c>
      <c r="U115" s="212">
        <v>3.95E-2</v>
      </c>
      <c r="V115" s="32">
        <f t="shared" si="127"/>
        <v>3.95E-2</v>
      </c>
      <c r="W115" s="32">
        <f t="shared" si="127"/>
        <v>3.95E-2</v>
      </c>
      <c r="X115" s="32">
        <f t="shared" si="127"/>
        <v>3.95E-2</v>
      </c>
      <c r="Y115" s="32">
        <f t="shared" si="127"/>
        <v>3.95E-2</v>
      </c>
      <c r="Z115" s="212">
        <v>3.95E-2</v>
      </c>
      <c r="AA115" s="32">
        <f t="shared" si="129"/>
        <v>3.95E-2</v>
      </c>
      <c r="AB115" s="211">
        <f t="shared" si="128"/>
        <v>3.95E-2</v>
      </c>
      <c r="AC115" s="211">
        <f t="shared" si="128"/>
        <v>3.95E-2</v>
      </c>
      <c r="AD115" s="211">
        <f t="shared" si="128"/>
        <v>3.95E-2</v>
      </c>
      <c r="AE115" s="212">
        <f t="shared" si="128"/>
        <v>3.95E-2</v>
      </c>
      <c r="AF115" s="211">
        <f t="shared" si="128"/>
        <v>3.95E-2</v>
      </c>
      <c r="AG115" s="211">
        <f t="shared" si="128"/>
        <v>3.95E-2</v>
      </c>
      <c r="AH115" s="211">
        <f t="shared" si="128"/>
        <v>3.95E-2</v>
      </c>
      <c r="AI115" s="211">
        <f t="shared" si="128"/>
        <v>3.95E-2</v>
      </c>
      <c r="AJ115" s="212">
        <f t="shared" si="128"/>
        <v>3.95E-2</v>
      </c>
      <c r="AK115" s="211">
        <f t="shared" si="125"/>
        <v>3.95E-2</v>
      </c>
      <c r="AL115" s="211">
        <f t="shared" si="125"/>
        <v>3.95E-2</v>
      </c>
      <c r="AM115" s="211">
        <f t="shared" si="125"/>
        <v>3.95E-2</v>
      </c>
      <c r="AN115" s="211">
        <f t="shared" si="125"/>
        <v>3.95E-2</v>
      </c>
      <c r="AO115" s="212">
        <f t="shared" si="125"/>
        <v>3.95E-2</v>
      </c>
      <c r="AP115" s="211">
        <f t="shared" si="104"/>
        <v>3.95E-2</v>
      </c>
      <c r="AQ115" s="211">
        <f t="shared" si="105"/>
        <v>3.95E-2</v>
      </c>
      <c r="AR115" s="211">
        <f t="shared" si="106"/>
        <v>3.95E-2</v>
      </c>
      <c r="AS115" s="211">
        <f t="shared" si="107"/>
        <v>3.95E-2</v>
      </c>
      <c r="AT115" s="212">
        <f t="shared" si="123"/>
        <v>3.95E-2</v>
      </c>
      <c r="AU115" s="211">
        <f t="shared" si="117"/>
        <v>3.95E-2</v>
      </c>
      <c r="AV115" s="211">
        <f t="shared" si="118"/>
        <v>3.95E-2</v>
      </c>
      <c r="AW115" s="211">
        <f t="shared" si="119"/>
        <v>3.95E-2</v>
      </c>
      <c r="AX115" s="211">
        <f t="shared" si="120"/>
        <v>3.95E-2</v>
      </c>
      <c r="AY115" s="212">
        <f t="shared" si="121"/>
        <v>3.95E-2</v>
      </c>
      <c r="AZ115" s="211">
        <f t="shared" si="115"/>
        <v>3.95E-2</v>
      </c>
      <c r="BA115" s="211">
        <f t="shared" si="94"/>
        <v>3.95E-2</v>
      </c>
      <c r="BB115" s="211">
        <f t="shared" si="95"/>
        <v>3.95E-2</v>
      </c>
      <c r="BC115" s="211">
        <f t="shared" si="96"/>
        <v>3.95E-2</v>
      </c>
      <c r="BD115" s="212">
        <f t="shared" si="97"/>
        <v>3.95E-2</v>
      </c>
      <c r="BE115" s="211">
        <f t="shared" si="98"/>
        <v>3.95E-2</v>
      </c>
      <c r="BF115" s="211">
        <f t="shared" si="99"/>
        <v>3.95E-2</v>
      </c>
      <c r="BG115" s="211">
        <f t="shared" si="100"/>
        <v>3.95E-2</v>
      </c>
      <c r="BH115" s="211">
        <f t="shared" si="101"/>
        <v>3.95E-2</v>
      </c>
      <c r="BI115" s="212">
        <f t="shared" si="102"/>
        <v>3.95E-2</v>
      </c>
    </row>
    <row r="116" spans="1:61" s="26" customFormat="1">
      <c r="A116" s="3" t="s">
        <v>389</v>
      </c>
      <c r="B116" s="211"/>
      <c r="C116" s="211"/>
      <c r="D116" s="211"/>
      <c r="E116" s="32"/>
      <c r="F116" s="212"/>
      <c r="G116" s="211"/>
      <c r="H116" s="211"/>
      <c r="I116" s="211"/>
      <c r="J116" s="32"/>
      <c r="K116" s="212"/>
      <c r="L116" s="211"/>
      <c r="M116" s="211"/>
      <c r="N116" s="211"/>
      <c r="O116" s="32"/>
      <c r="P116" s="212">
        <v>4.8750000000000002E-2</v>
      </c>
      <c r="Q116" s="32">
        <f t="shared" si="126"/>
        <v>4.8750000000000002E-2</v>
      </c>
      <c r="R116" s="32">
        <f t="shared" si="126"/>
        <v>4.8750000000000002E-2</v>
      </c>
      <c r="S116" s="32">
        <f t="shared" si="126"/>
        <v>4.8750000000000002E-2</v>
      </c>
      <c r="T116" s="32">
        <f t="shared" si="126"/>
        <v>4.8750000000000002E-2</v>
      </c>
      <c r="U116" s="212">
        <v>4.8750000000000002E-2</v>
      </c>
      <c r="V116" s="32">
        <f t="shared" si="127"/>
        <v>4.8750000000000002E-2</v>
      </c>
      <c r="W116" s="32">
        <f t="shared" si="127"/>
        <v>4.8750000000000002E-2</v>
      </c>
      <c r="X116" s="32">
        <f t="shared" si="127"/>
        <v>4.8750000000000002E-2</v>
      </c>
      <c r="Y116" s="32">
        <f t="shared" si="127"/>
        <v>4.8750000000000002E-2</v>
      </c>
      <c r="Z116" s="212">
        <v>4.8750000000000002E-2</v>
      </c>
      <c r="AA116" s="32">
        <f t="shared" si="129"/>
        <v>4.8750000000000002E-2</v>
      </c>
      <c r="AB116" s="211">
        <f t="shared" si="128"/>
        <v>4.8750000000000002E-2</v>
      </c>
      <c r="AC116" s="211">
        <f t="shared" si="128"/>
        <v>4.8750000000000002E-2</v>
      </c>
      <c r="AD116" s="211">
        <f t="shared" si="128"/>
        <v>4.8750000000000002E-2</v>
      </c>
      <c r="AE116" s="212">
        <f t="shared" si="128"/>
        <v>4.8750000000000002E-2</v>
      </c>
      <c r="AF116" s="211">
        <f t="shared" si="128"/>
        <v>4.8750000000000002E-2</v>
      </c>
      <c r="AG116" s="211">
        <f t="shared" si="128"/>
        <v>4.8750000000000002E-2</v>
      </c>
      <c r="AH116" s="211">
        <f t="shared" si="128"/>
        <v>4.8750000000000002E-2</v>
      </c>
      <c r="AI116" s="211">
        <f t="shared" si="128"/>
        <v>4.8750000000000002E-2</v>
      </c>
      <c r="AJ116" s="212">
        <f t="shared" si="128"/>
        <v>4.8750000000000002E-2</v>
      </c>
      <c r="AK116" s="211">
        <f t="shared" si="125"/>
        <v>4.8750000000000002E-2</v>
      </c>
      <c r="AL116" s="211">
        <f t="shared" si="125"/>
        <v>4.8750000000000002E-2</v>
      </c>
      <c r="AM116" s="211">
        <f t="shared" si="125"/>
        <v>4.8750000000000002E-2</v>
      </c>
      <c r="AN116" s="211">
        <f t="shared" si="125"/>
        <v>4.8750000000000002E-2</v>
      </c>
      <c r="AO116" s="212">
        <f t="shared" si="125"/>
        <v>4.8750000000000002E-2</v>
      </c>
      <c r="AP116" s="211">
        <f t="shared" si="104"/>
        <v>4.8750000000000002E-2</v>
      </c>
      <c r="AQ116" s="211">
        <f t="shared" si="105"/>
        <v>4.8750000000000002E-2</v>
      </c>
      <c r="AR116" s="211">
        <f t="shared" si="106"/>
        <v>4.8750000000000002E-2</v>
      </c>
      <c r="AS116" s="211">
        <f t="shared" si="107"/>
        <v>4.8750000000000002E-2</v>
      </c>
      <c r="AT116" s="212">
        <f t="shared" si="123"/>
        <v>4.8750000000000002E-2</v>
      </c>
      <c r="AU116" s="211">
        <f t="shared" si="117"/>
        <v>4.8750000000000002E-2</v>
      </c>
      <c r="AV116" s="211">
        <f t="shared" si="118"/>
        <v>4.8750000000000002E-2</v>
      </c>
      <c r="AW116" s="211">
        <f t="shared" si="119"/>
        <v>4.8750000000000002E-2</v>
      </c>
      <c r="AX116" s="211">
        <f t="shared" si="120"/>
        <v>4.8750000000000002E-2</v>
      </c>
      <c r="AY116" s="212">
        <f t="shared" si="121"/>
        <v>4.8750000000000002E-2</v>
      </c>
      <c r="AZ116" s="211">
        <f t="shared" si="115"/>
        <v>4.8750000000000002E-2</v>
      </c>
      <c r="BA116" s="211">
        <f t="shared" si="94"/>
        <v>4.8750000000000002E-2</v>
      </c>
      <c r="BB116" s="211">
        <f t="shared" si="95"/>
        <v>4.8750000000000002E-2</v>
      </c>
      <c r="BC116" s="211">
        <f t="shared" si="96"/>
        <v>4.8750000000000002E-2</v>
      </c>
      <c r="BD116" s="212">
        <f t="shared" si="97"/>
        <v>4.8750000000000002E-2</v>
      </c>
      <c r="BE116" s="211">
        <f t="shared" si="98"/>
        <v>4.8750000000000002E-2</v>
      </c>
      <c r="BF116" s="211">
        <f t="shared" si="99"/>
        <v>4.8750000000000002E-2</v>
      </c>
      <c r="BG116" s="211">
        <f t="shared" si="100"/>
        <v>4.8750000000000002E-2</v>
      </c>
      <c r="BH116" s="211">
        <f t="shared" si="101"/>
        <v>4.8750000000000002E-2</v>
      </c>
      <c r="BI116" s="212">
        <f t="shared" si="102"/>
        <v>4.8750000000000002E-2</v>
      </c>
    </row>
    <row r="117" spans="1:61" s="26" customFormat="1">
      <c r="A117" s="3" t="s">
        <v>390</v>
      </c>
      <c r="B117" s="211"/>
      <c r="C117" s="211"/>
      <c r="D117" s="211"/>
      <c r="E117" s="32"/>
      <c r="F117" s="212"/>
      <c r="G117" s="211"/>
      <c r="H117" s="211"/>
      <c r="I117" s="211"/>
      <c r="J117" s="32"/>
      <c r="K117" s="212"/>
      <c r="L117" s="211"/>
      <c r="M117" s="211"/>
      <c r="N117" s="211"/>
      <c r="O117" s="32"/>
      <c r="P117" s="212">
        <v>5.8749999999999997E-2</v>
      </c>
      <c r="Q117" s="32">
        <f t="shared" si="126"/>
        <v>5.8749999999999997E-2</v>
      </c>
      <c r="R117" s="32">
        <f t="shared" si="126"/>
        <v>5.8749999999999997E-2</v>
      </c>
      <c r="S117" s="32">
        <f t="shared" si="126"/>
        <v>5.8749999999999997E-2</v>
      </c>
      <c r="T117" s="32">
        <f t="shared" si="126"/>
        <v>5.8749999999999997E-2</v>
      </c>
      <c r="U117" s="212">
        <v>5.8749999999999997E-2</v>
      </c>
      <c r="V117" s="32">
        <f t="shared" si="127"/>
        <v>5.8749999999999997E-2</v>
      </c>
      <c r="W117" s="32">
        <f t="shared" si="127"/>
        <v>5.8749999999999997E-2</v>
      </c>
      <c r="X117" s="32">
        <f t="shared" si="127"/>
        <v>5.8749999999999997E-2</v>
      </c>
      <c r="Y117" s="32">
        <f t="shared" si="127"/>
        <v>5.8749999999999997E-2</v>
      </c>
      <c r="Z117" s="212">
        <v>5.8749999999999997E-2</v>
      </c>
      <c r="AA117" s="32">
        <f t="shared" si="129"/>
        <v>5.8749999999999997E-2</v>
      </c>
      <c r="AB117" s="211">
        <f t="shared" si="128"/>
        <v>5.8749999999999997E-2</v>
      </c>
      <c r="AC117" s="211">
        <f t="shared" si="128"/>
        <v>5.8749999999999997E-2</v>
      </c>
      <c r="AD117" s="211">
        <f t="shared" si="128"/>
        <v>5.8749999999999997E-2</v>
      </c>
      <c r="AE117" s="212">
        <f t="shared" si="128"/>
        <v>5.8749999999999997E-2</v>
      </c>
      <c r="AF117" s="211">
        <f t="shared" si="128"/>
        <v>5.8749999999999997E-2</v>
      </c>
      <c r="AG117" s="211">
        <f t="shared" si="128"/>
        <v>5.8749999999999997E-2</v>
      </c>
      <c r="AH117" s="211">
        <f t="shared" si="128"/>
        <v>5.8749999999999997E-2</v>
      </c>
      <c r="AI117" s="211">
        <f t="shared" si="128"/>
        <v>5.8749999999999997E-2</v>
      </c>
      <c r="AJ117" s="212">
        <f t="shared" si="128"/>
        <v>5.8749999999999997E-2</v>
      </c>
      <c r="AK117" s="211">
        <f t="shared" si="125"/>
        <v>5.8749999999999997E-2</v>
      </c>
      <c r="AL117" s="211">
        <f t="shared" si="125"/>
        <v>5.8749999999999997E-2</v>
      </c>
      <c r="AM117" s="211">
        <f t="shared" si="125"/>
        <v>5.8749999999999997E-2</v>
      </c>
      <c r="AN117" s="211">
        <f t="shared" si="125"/>
        <v>5.8749999999999997E-2</v>
      </c>
      <c r="AO117" s="212">
        <f t="shared" si="125"/>
        <v>5.8749999999999997E-2</v>
      </c>
      <c r="AP117" s="211">
        <f t="shared" si="104"/>
        <v>5.8749999999999997E-2</v>
      </c>
      <c r="AQ117" s="211">
        <f t="shared" si="105"/>
        <v>5.8749999999999997E-2</v>
      </c>
      <c r="AR117" s="211">
        <f t="shared" si="106"/>
        <v>5.8749999999999997E-2</v>
      </c>
      <c r="AS117" s="211">
        <f t="shared" si="107"/>
        <v>5.8749999999999997E-2</v>
      </c>
      <c r="AT117" s="212">
        <f t="shared" si="123"/>
        <v>5.8749999999999997E-2</v>
      </c>
      <c r="AU117" s="211">
        <f t="shared" si="117"/>
        <v>5.8749999999999997E-2</v>
      </c>
      <c r="AV117" s="211">
        <f t="shared" si="118"/>
        <v>5.8749999999999997E-2</v>
      </c>
      <c r="AW117" s="211">
        <f t="shared" si="119"/>
        <v>5.8749999999999997E-2</v>
      </c>
      <c r="AX117" s="211">
        <f t="shared" si="120"/>
        <v>5.8749999999999997E-2</v>
      </c>
      <c r="AY117" s="212">
        <f t="shared" si="121"/>
        <v>5.8749999999999997E-2</v>
      </c>
      <c r="AZ117" s="211">
        <f t="shared" si="115"/>
        <v>5.8749999999999997E-2</v>
      </c>
      <c r="BA117" s="211">
        <f t="shared" si="94"/>
        <v>5.8749999999999997E-2</v>
      </c>
      <c r="BB117" s="211">
        <f t="shared" si="95"/>
        <v>5.8749999999999997E-2</v>
      </c>
      <c r="BC117" s="211">
        <f t="shared" si="96"/>
        <v>5.8749999999999997E-2</v>
      </c>
      <c r="BD117" s="212">
        <f t="shared" si="97"/>
        <v>5.8749999999999997E-2</v>
      </c>
      <c r="BE117" s="211">
        <f t="shared" si="98"/>
        <v>5.8749999999999997E-2</v>
      </c>
      <c r="BF117" s="211">
        <f t="shared" si="99"/>
        <v>5.8749999999999997E-2</v>
      </c>
      <c r="BG117" s="211">
        <f t="shared" si="100"/>
        <v>5.8749999999999997E-2</v>
      </c>
      <c r="BH117" s="211">
        <f t="shared" si="101"/>
        <v>5.8749999999999997E-2</v>
      </c>
      <c r="BI117" s="212">
        <f t="shared" si="102"/>
        <v>5.8749999999999997E-2</v>
      </c>
    </row>
    <row r="118" spans="1:61" s="26" customFormat="1">
      <c r="A118" s="3" t="s">
        <v>391</v>
      </c>
      <c r="B118" s="211"/>
      <c r="C118" s="211"/>
      <c r="D118" s="211"/>
      <c r="E118" s="32"/>
      <c r="F118" s="212"/>
      <c r="G118" s="211"/>
      <c r="H118" s="211"/>
      <c r="I118" s="211"/>
      <c r="J118" s="32"/>
      <c r="K118" s="212"/>
      <c r="L118" s="211"/>
      <c r="M118" s="211"/>
      <c r="N118" s="211"/>
      <c r="O118" s="32"/>
      <c r="P118" s="212">
        <v>0.06</v>
      </c>
      <c r="Q118" s="32">
        <f t="shared" si="126"/>
        <v>0.06</v>
      </c>
      <c r="R118" s="32">
        <f t="shared" si="126"/>
        <v>0.06</v>
      </c>
      <c r="S118" s="32">
        <f t="shared" si="126"/>
        <v>0.06</v>
      </c>
      <c r="T118" s="32">
        <f t="shared" si="126"/>
        <v>0.06</v>
      </c>
      <c r="U118" s="212">
        <v>0.06</v>
      </c>
      <c r="V118" s="32">
        <f t="shared" si="127"/>
        <v>0.06</v>
      </c>
      <c r="W118" s="32">
        <f t="shared" si="127"/>
        <v>0.06</v>
      </c>
      <c r="X118" s="32">
        <f t="shared" si="127"/>
        <v>0.06</v>
      </c>
      <c r="Y118" s="32">
        <f t="shared" si="127"/>
        <v>0.06</v>
      </c>
      <c r="Z118" s="212">
        <v>0.06</v>
      </c>
      <c r="AA118" s="32">
        <f t="shared" si="129"/>
        <v>0.06</v>
      </c>
      <c r="AB118" s="211">
        <f t="shared" si="128"/>
        <v>0.06</v>
      </c>
      <c r="AC118" s="211">
        <f t="shared" si="128"/>
        <v>0.06</v>
      </c>
      <c r="AD118" s="211">
        <f t="shared" si="128"/>
        <v>0.06</v>
      </c>
      <c r="AE118" s="212">
        <f t="shared" si="128"/>
        <v>0.06</v>
      </c>
      <c r="AF118" s="211">
        <f t="shared" si="128"/>
        <v>0.06</v>
      </c>
      <c r="AG118" s="211">
        <f t="shared" si="128"/>
        <v>0.06</v>
      </c>
      <c r="AH118" s="211">
        <f t="shared" si="128"/>
        <v>0.06</v>
      </c>
      <c r="AI118" s="211">
        <f t="shared" si="128"/>
        <v>0.06</v>
      </c>
      <c r="AJ118" s="212">
        <f t="shared" si="128"/>
        <v>0.06</v>
      </c>
      <c r="AK118" s="211">
        <f t="shared" si="125"/>
        <v>0.06</v>
      </c>
      <c r="AL118" s="211">
        <f t="shared" si="125"/>
        <v>0.06</v>
      </c>
      <c r="AM118" s="211">
        <f t="shared" si="125"/>
        <v>0.06</v>
      </c>
      <c r="AN118" s="211">
        <f t="shared" si="125"/>
        <v>0.06</v>
      </c>
      <c r="AO118" s="212">
        <f t="shared" si="125"/>
        <v>0.06</v>
      </c>
      <c r="AP118" s="211">
        <f t="shared" si="104"/>
        <v>0.06</v>
      </c>
      <c r="AQ118" s="211">
        <f t="shared" si="105"/>
        <v>0.06</v>
      </c>
      <c r="AR118" s="211">
        <f t="shared" si="106"/>
        <v>0.06</v>
      </c>
      <c r="AS118" s="211">
        <f t="shared" si="107"/>
        <v>0.06</v>
      </c>
      <c r="AT118" s="212">
        <f t="shared" si="123"/>
        <v>0.06</v>
      </c>
      <c r="AU118" s="211">
        <f t="shared" si="117"/>
        <v>0.06</v>
      </c>
      <c r="AV118" s="211">
        <f t="shared" si="118"/>
        <v>0.06</v>
      </c>
      <c r="AW118" s="211">
        <f t="shared" si="119"/>
        <v>0.06</v>
      </c>
      <c r="AX118" s="211">
        <f t="shared" si="120"/>
        <v>0.06</v>
      </c>
      <c r="AY118" s="212">
        <f t="shared" si="121"/>
        <v>0.06</v>
      </c>
      <c r="AZ118" s="211">
        <f t="shared" si="115"/>
        <v>0.06</v>
      </c>
      <c r="BA118" s="211">
        <f t="shared" si="94"/>
        <v>0.06</v>
      </c>
      <c r="BB118" s="211">
        <f t="shared" si="95"/>
        <v>0.06</v>
      </c>
      <c r="BC118" s="211">
        <f t="shared" si="96"/>
        <v>0.06</v>
      </c>
      <c r="BD118" s="212">
        <f t="shared" si="97"/>
        <v>0.06</v>
      </c>
      <c r="BE118" s="211">
        <f t="shared" si="98"/>
        <v>0.06</v>
      </c>
      <c r="BF118" s="211">
        <f t="shared" si="99"/>
        <v>0.06</v>
      </c>
      <c r="BG118" s="211">
        <f t="shared" si="100"/>
        <v>0.06</v>
      </c>
      <c r="BH118" s="211">
        <f t="shared" si="101"/>
        <v>0.06</v>
      </c>
      <c r="BI118" s="212">
        <f t="shared" si="102"/>
        <v>0.06</v>
      </c>
    </row>
    <row r="119" spans="1:61" s="26" customFormat="1">
      <c r="A119" s="3" t="s">
        <v>392</v>
      </c>
      <c r="B119" s="211"/>
      <c r="C119" s="211"/>
      <c r="D119" s="211"/>
      <c r="E119" s="32"/>
      <c r="F119" s="212"/>
      <c r="G119" s="211"/>
      <c r="H119" s="211"/>
      <c r="I119" s="211"/>
      <c r="J119" s="32"/>
      <c r="K119" s="212"/>
      <c r="L119" s="211"/>
      <c r="M119" s="211"/>
      <c r="N119" s="211"/>
      <c r="O119" s="32"/>
      <c r="P119" s="212">
        <v>6.1249999999999999E-2</v>
      </c>
      <c r="Q119" s="32">
        <f t="shared" si="126"/>
        <v>6.1249999999999999E-2</v>
      </c>
      <c r="R119" s="32">
        <f t="shared" si="126"/>
        <v>6.1249999999999999E-2</v>
      </c>
      <c r="S119" s="32">
        <f t="shared" si="126"/>
        <v>6.1249999999999999E-2</v>
      </c>
      <c r="T119" s="32">
        <f t="shared" si="126"/>
        <v>6.1249999999999999E-2</v>
      </c>
      <c r="U119" s="212">
        <v>6.1249999999999999E-2</v>
      </c>
      <c r="V119" s="32">
        <f t="shared" si="127"/>
        <v>6.1249999999999999E-2</v>
      </c>
      <c r="W119" s="32">
        <f t="shared" si="127"/>
        <v>6.1249999999999999E-2</v>
      </c>
      <c r="X119" s="32">
        <f t="shared" si="127"/>
        <v>6.1249999999999999E-2</v>
      </c>
      <c r="Y119" s="32">
        <f t="shared" si="127"/>
        <v>6.1249999999999999E-2</v>
      </c>
      <c r="Z119" s="212">
        <v>6.1249999999999999E-2</v>
      </c>
      <c r="AA119" s="32">
        <f t="shared" si="129"/>
        <v>6.1249999999999999E-2</v>
      </c>
      <c r="AB119" s="211">
        <f t="shared" si="128"/>
        <v>6.1249999999999999E-2</v>
      </c>
      <c r="AC119" s="211">
        <f t="shared" si="128"/>
        <v>6.1249999999999999E-2</v>
      </c>
      <c r="AD119" s="211">
        <f t="shared" si="128"/>
        <v>6.1249999999999999E-2</v>
      </c>
      <c r="AE119" s="212">
        <f t="shared" si="128"/>
        <v>6.1249999999999999E-2</v>
      </c>
      <c r="AF119" s="211">
        <f t="shared" si="128"/>
        <v>6.1249999999999999E-2</v>
      </c>
      <c r="AG119" s="211">
        <f t="shared" si="128"/>
        <v>6.1249999999999999E-2</v>
      </c>
      <c r="AH119" s="211">
        <f t="shared" si="128"/>
        <v>6.1249999999999999E-2</v>
      </c>
      <c r="AI119" s="211">
        <f t="shared" si="128"/>
        <v>6.1249999999999999E-2</v>
      </c>
      <c r="AJ119" s="212">
        <f t="shared" si="128"/>
        <v>6.1249999999999999E-2</v>
      </c>
      <c r="AK119" s="211">
        <f t="shared" si="125"/>
        <v>6.1249999999999999E-2</v>
      </c>
      <c r="AL119" s="211">
        <f t="shared" si="125"/>
        <v>6.1249999999999999E-2</v>
      </c>
      <c r="AM119" s="211">
        <f t="shared" si="125"/>
        <v>6.1249999999999999E-2</v>
      </c>
      <c r="AN119" s="211">
        <f t="shared" si="125"/>
        <v>6.1249999999999999E-2</v>
      </c>
      <c r="AO119" s="212">
        <f t="shared" si="125"/>
        <v>6.1249999999999999E-2</v>
      </c>
      <c r="AP119" s="211">
        <f t="shared" si="104"/>
        <v>6.1249999999999999E-2</v>
      </c>
      <c r="AQ119" s="211">
        <f t="shared" si="105"/>
        <v>6.1249999999999999E-2</v>
      </c>
      <c r="AR119" s="211">
        <f t="shared" si="106"/>
        <v>6.1249999999999999E-2</v>
      </c>
      <c r="AS119" s="211">
        <f t="shared" si="107"/>
        <v>6.1249999999999999E-2</v>
      </c>
      <c r="AT119" s="212">
        <f t="shared" si="123"/>
        <v>6.1249999999999999E-2</v>
      </c>
      <c r="AU119" s="211">
        <f t="shared" si="117"/>
        <v>6.1249999999999999E-2</v>
      </c>
      <c r="AV119" s="211">
        <f t="shared" si="118"/>
        <v>6.1249999999999999E-2</v>
      </c>
      <c r="AW119" s="211">
        <f t="shared" si="119"/>
        <v>6.1249999999999999E-2</v>
      </c>
      <c r="AX119" s="211">
        <f t="shared" si="120"/>
        <v>6.1249999999999999E-2</v>
      </c>
      <c r="AY119" s="212">
        <f t="shared" si="121"/>
        <v>6.1249999999999999E-2</v>
      </c>
      <c r="AZ119" s="211">
        <f t="shared" si="115"/>
        <v>6.1249999999999999E-2</v>
      </c>
      <c r="BA119" s="211">
        <f t="shared" si="94"/>
        <v>6.1249999999999999E-2</v>
      </c>
      <c r="BB119" s="211">
        <f t="shared" si="95"/>
        <v>6.1249999999999999E-2</v>
      </c>
      <c r="BC119" s="211">
        <f t="shared" si="96"/>
        <v>6.1249999999999999E-2</v>
      </c>
      <c r="BD119" s="212">
        <f t="shared" si="97"/>
        <v>6.1249999999999999E-2</v>
      </c>
      <c r="BE119" s="211">
        <f t="shared" si="98"/>
        <v>6.1249999999999999E-2</v>
      </c>
      <c r="BF119" s="211">
        <f t="shared" si="99"/>
        <v>6.1249999999999999E-2</v>
      </c>
      <c r="BG119" s="211">
        <f t="shared" si="100"/>
        <v>6.1249999999999999E-2</v>
      </c>
      <c r="BH119" s="211">
        <f t="shared" si="101"/>
        <v>6.1249999999999999E-2</v>
      </c>
      <c r="BI119" s="212">
        <f t="shared" si="102"/>
        <v>6.1249999999999999E-2</v>
      </c>
    </row>
    <row r="120" spans="1:61" s="26" customFormat="1">
      <c r="A120" s="3" t="s">
        <v>393</v>
      </c>
      <c r="B120" s="211"/>
      <c r="C120" s="211"/>
      <c r="D120" s="211"/>
      <c r="E120" s="32"/>
      <c r="F120" s="212"/>
      <c r="G120" s="211"/>
      <c r="H120" s="211"/>
      <c r="I120" s="211"/>
      <c r="J120" s="32"/>
      <c r="K120" s="212"/>
      <c r="L120" s="211"/>
      <c r="M120" s="211"/>
      <c r="N120" s="211"/>
      <c r="O120" s="32"/>
      <c r="P120" s="212">
        <v>6.6250000000000003E-2</v>
      </c>
      <c r="Q120" s="32">
        <f t="shared" si="126"/>
        <v>6.6250000000000003E-2</v>
      </c>
      <c r="R120" s="32">
        <f t="shared" si="126"/>
        <v>6.6250000000000003E-2</v>
      </c>
      <c r="S120" s="32">
        <f t="shared" si="126"/>
        <v>6.6250000000000003E-2</v>
      </c>
      <c r="T120" s="32">
        <f t="shared" si="126"/>
        <v>6.6250000000000003E-2</v>
      </c>
      <c r="U120" s="212">
        <v>6.6250000000000003E-2</v>
      </c>
      <c r="V120" s="32">
        <f t="shared" si="127"/>
        <v>6.6250000000000003E-2</v>
      </c>
      <c r="W120" s="32">
        <f t="shared" si="127"/>
        <v>6.6250000000000003E-2</v>
      </c>
      <c r="X120" s="32">
        <f t="shared" si="127"/>
        <v>6.6250000000000003E-2</v>
      </c>
      <c r="Y120" s="32">
        <f t="shared" si="127"/>
        <v>6.6250000000000003E-2</v>
      </c>
      <c r="Z120" s="212">
        <v>6.6250000000000003E-2</v>
      </c>
      <c r="AA120" s="32">
        <f t="shared" si="129"/>
        <v>6.6250000000000003E-2</v>
      </c>
      <c r="AB120" s="211">
        <f t="shared" si="128"/>
        <v>6.6250000000000003E-2</v>
      </c>
      <c r="AC120" s="211">
        <f t="shared" si="128"/>
        <v>6.6250000000000003E-2</v>
      </c>
      <c r="AD120" s="211">
        <f t="shared" si="128"/>
        <v>6.6250000000000003E-2</v>
      </c>
      <c r="AE120" s="212">
        <f t="shared" si="128"/>
        <v>6.6250000000000003E-2</v>
      </c>
      <c r="AF120" s="211">
        <f t="shared" si="128"/>
        <v>6.6250000000000003E-2</v>
      </c>
      <c r="AG120" s="211">
        <f t="shared" si="128"/>
        <v>6.6250000000000003E-2</v>
      </c>
      <c r="AH120" s="211">
        <f t="shared" si="128"/>
        <v>6.6250000000000003E-2</v>
      </c>
      <c r="AI120" s="211">
        <f t="shared" si="128"/>
        <v>6.6250000000000003E-2</v>
      </c>
      <c r="AJ120" s="212">
        <f t="shared" si="128"/>
        <v>6.6250000000000003E-2</v>
      </c>
      <c r="AK120" s="211">
        <f t="shared" si="125"/>
        <v>6.6250000000000003E-2</v>
      </c>
      <c r="AL120" s="211">
        <f t="shared" si="125"/>
        <v>6.6250000000000003E-2</v>
      </c>
      <c r="AM120" s="211">
        <f t="shared" si="125"/>
        <v>6.6250000000000003E-2</v>
      </c>
      <c r="AN120" s="211">
        <f t="shared" si="125"/>
        <v>6.6250000000000003E-2</v>
      </c>
      <c r="AO120" s="212">
        <f t="shared" si="125"/>
        <v>6.6250000000000003E-2</v>
      </c>
      <c r="AP120" s="211">
        <f t="shared" si="104"/>
        <v>6.6250000000000003E-2</v>
      </c>
      <c r="AQ120" s="211">
        <f t="shared" si="105"/>
        <v>6.6250000000000003E-2</v>
      </c>
      <c r="AR120" s="211">
        <f t="shared" si="106"/>
        <v>6.6250000000000003E-2</v>
      </c>
      <c r="AS120" s="211">
        <f t="shared" si="107"/>
        <v>6.6250000000000003E-2</v>
      </c>
      <c r="AT120" s="212">
        <f t="shared" si="123"/>
        <v>6.6250000000000003E-2</v>
      </c>
      <c r="AU120" s="211">
        <f t="shared" si="117"/>
        <v>6.6250000000000003E-2</v>
      </c>
      <c r="AV120" s="211">
        <f t="shared" si="118"/>
        <v>6.6250000000000003E-2</v>
      </c>
      <c r="AW120" s="211">
        <f t="shared" si="119"/>
        <v>6.6250000000000003E-2</v>
      </c>
      <c r="AX120" s="211">
        <f t="shared" si="120"/>
        <v>6.6250000000000003E-2</v>
      </c>
      <c r="AY120" s="212">
        <f t="shared" si="121"/>
        <v>6.6250000000000003E-2</v>
      </c>
      <c r="AZ120" s="211">
        <f t="shared" si="115"/>
        <v>6.6250000000000003E-2</v>
      </c>
      <c r="BA120" s="211">
        <f t="shared" si="94"/>
        <v>6.6250000000000003E-2</v>
      </c>
      <c r="BB120" s="211">
        <f t="shared" si="95"/>
        <v>6.6250000000000003E-2</v>
      </c>
      <c r="BC120" s="211">
        <f t="shared" si="96"/>
        <v>6.6250000000000003E-2</v>
      </c>
      <c r="BD120" s="212">
        <f t="shared" si="97"/>
        <v>6.6250000000000003E-2</v>
      </c>
      <c r="BE120" s="211">
        <f t="shared" si="98"/>
        <v>6.6250000000000003E-2</v>
      </c>
      <c r="BF120" s="211">
        <f t="shared" si="99"/>
        <v>6.6250000000000003E-2</v>
      </c>
      <c r="BG120" s="211">
        <f t="shared" si="100"/>
        <v>6.6250000000000003E-2</v>
      </c>
      <c r="BH120" s="211">
        <f t="shared" si="101"/>
        <v>6.6250000000000003E-2</v>
      </c>
      <c r="BI120" s="212">
        <f t="shared" si="102"/>
        <v>6.6250000000000003E-2</v>
      </c>
    </row>
    <row r="121" spans="1:61" s="26" customFormat="1">
      <c r="A121" s="3" t="s">
        <v>394</v>
      </c>
      <c r="B121" s="211"/>
      <c r="C121" s="211"/>
      <c r="D121" s="211"/>
      <c r="E121" s="32"/>
      <c r="F121" s="212"/>
      <c r="G121" s="211"/>
      <c r="H121" s="211"/>
      <c r="I121" s="211"/>
      <c r="J121" s="32"/>
      <c r="K121" s="212"/>
      <c r="L121" s="211"/>
      <c r="M121" s="211"/>
      <c r="N121" s="211"/>
      <c r="O121" s="32"/>
      <c r="P121" s="212">
        <v>6.8750000000000006E-2</v>
      </c>
      <c r="Q121" s="32">
        <f t="shared" si="126"/>
        <v>6.8750000000000006E-2</v>
      </c>
      <c r="R121" s="32">
        <f t="shared" si="126"/>
        <v>6.8750000000000006E-2</v>
      </c>
      <c r="S121" s="32">
        <f t="shared" si="126"/>
        <v>6.8750000000000006E-2</v>
      </c>
      <c r="T121" s="32">
        <f t="shared" si="126"/>
        <v>6.8750000000000006E-2</v>
      </c>
      <c r="U121" s="212">
        <v>6.8750000000000006E-2</v>
      </c>
      <c r="V121" s="32">
        <f t="shared" si="127"/>
        <v>6.8750000000000006E-2</v>
      </c>
      <c r="W121" s="32">
        <f t="shared" si="127"/>
        <v>6.8750000000000006E-2</v>
      </c>
      <c r="X121" s="32">
        <f t="shared" si="127"/>
        <v>6.8750000000000006E-2</v>
      </c>
      <c r="Y121" s="32">
        <f t="shared" si="127"/>
        <v>6.8750000000000006E-2</v>
      </c>
      <c r="Z121" s="212">
        <v>6.8750000000000006E-2</v>
      </c>
      <c r="AA121" s="32">
        <f t="shared" si="129"/>
        <v>6.8750000000000006E-2</v>
      </c>
      <c r="AB121" s="211">
        <f t="shared" si="128"/>
        <v>6.8750000000000006E-2</v>
      </c>
      <c r="AC121" s="211">
        <f t="shared" si="128"/>
        <v>6.8750000000000006E-2</v>
      </c>
      <c r="AD121" s="211">
        <f t="shared" si="128"/>
        <v>6.8750000000000006E-2</v>
      </c>
      <c r="AE121" s="212">
        <f t="shared" si="128"/>
        <v>6.8750000000000006E-2</v>
      </c>
      <c r="AF121" s="211">
        <f t="shared" si="128"/>
        <v>6.8750000000000006E-2</v>
      </c>
      <c r="AG121" s="211">
        <f t="shared" si="128"/>
        <v>6.8750000000000006E-2</v>
      </c>
      <c r="AH121" s="211">
        <f t="shared" si="128"/>
        <v>6.8750000000000006E-2</v>
      </c>
      <c r="AI121" s="211">
        <f t="shared" si="128"/>
        <v>6.8750000000000006E-2</v>
      </c>
      <c r="AJ121" s="212">
        <f t="shared" si="128"/>
        <v>6.8750000000000006E-2</v>
      </c>
      <c r="AK121" s="211">
        <f t="shared" si="125"/>
        <v>6.8750000000000006E-2</v>
      </c>
      <c r="AL121" s="211">
        <f t="shared" si="125"/>
        <v>6.8750000000000006E-2</v>
      </c>
      <c r="AM121" s="211">
        <f t="shared" si="125"/>
        <v>6.8750000000000006E-2</v>
      </c>
      <c r="AN121" s="211">
        <f t="shared" si="125"/>
        <v>6.8750000000000006E-2</v>
      </c>
      <c r="AO121" s="212">
        <f t="shared" si="125"/>
        <v>6.8750000000000006E-2</v>
      </c>
      <c r="AP121" s="211">
        <f t="shared" si="104"/>
        <v>6.8750000000000006E-2</v>
      </c>
      <c r="AQ121" s="211">
        <f t="shared" si="105"/>
        <v>6.8750000000000006E-2</v>
      </c>
      <c r="AR121" s="211">
        <f t="shared" si="106"/>
        <v>6.8750000000000006E-2</v>
      </c>
      <c r="AS121" s="211">
        <f t="shared" si="107"/>
        <v>6.8750000000000006E-2</v>
      </c>
      <c r="AT121" s="212">
        <f t="shared" si="123"/>
        <v>6.8750000000000006E-2</v>
      </c>
      <c r="AU121" s="211">
        <f t="shared" si="117"/>
        <v>6.8750000000000006E-2</v>
      </c>
      <c r="AV121" s="211">
        <f t="shared" si="118"/>
        <v>6.8750000000000006E-2</v>
      </c>
      <c r="AW121" s="211">
        <f t="shared" si="119"/>
        <v>6.8750000000000006E-2</v>
      </c>
      <c r="AX121" s="211">
        <f t="shared" si="120"/>
        <v>6.8750000000000006E-2</v>
      </c>
      <c r="AY121" s="212">
        <f t="shared" si="121"/>
        <v>6.8750000000000006E-2</v>
      </c>
      <c r="AZ121" s="211">
        <f t="shared" si="115"/>
        <v>6.8750000000000006E-2</v>
      </c>
      <c r="BA121" s="211">
        <f t="shared" si="94"/>
        <v>6.8750000000000006E-2</v>
      </c>
      <c r="BB121" s="211">
        <f t="shared" si="95"/>
        <v>6.8750000000000006E-2</v>
      </c>
      <c r="BC121" s="211">
        <f t="shared" si="96"/>
        <v>6.8750000000000006E-2</v>
      </c>
      <c r="BD121" s="212">
        <f t="shared" si="97"/>
        <v>6.8750000000000006E-2</v>
      </c>
      <c r="BE121" s="211">
        <f t="shared" si="98"/>
        <v>6.8750000000000006E-2</v>
      </c>
      <c r="BF121" s="211">
        <f t="shared" si="99"/>
        <v>6.8750000000000006E-2</v>
      </c>
      <c r="BG121" s="211">
        <f t="shared" si="100"/>
        <v>6.8750000000000006E-2</v>
      </c>
      <c r="BH121" s="211">
        <f t="shared" si="101"/>
        <v>6.8750000000000006E-2</v>
      </c>
      <c r="BI121" s="212">
        <f t="shared" si="102"/>
        <v>6.8750000000000006E-2</v>
      </c>
    </row>
    <row r="122" spans="1:61" s="26" customFormat="1">
      <c r="A122" s="3" t="s">
        <v>395</v>
      </c>
      <c r="B122" s="211"/>
      <c r="C122" s="211"/>
      <c r="D122" s="211"/>
      <c r="E122" s="32"/>
      <c r="F122" s="212"/>
      <c r="G122" s="211"/>
      <c r="H122" s="211"/>
      <c r="I122" s="211"/>
      <c r="J122" s="32"/>
      <c r="K122" s="212"/>
      <c r="L122" s="211"/>
      <c r="M122" s="211"/>
      <c r="N122" s="211"/>
      <c r="O122" s="32"/>
      <c r="P122" s="212">
        <v>6.8750000000000006E-2</v>
      </c>
      <c r="Q122" s="32">
        <f t="shared" si="126"/>
        <v>6.8750000000000006E-2</v>
      </c>
      <c r="R122" s="32">
        <f t="shared" si="126"/>
        <v>6.8750000000000006E-2</v>
      </c>
      <c r="S122" s="32">
        <f t="shared" si="126"/>
        <v>6.8750000000000006E-2</v>
      </c>
      <c r="T122" s="32">
        <f t="shared" si="126"/>
        <v>6.8750000000000006E-2</v>
      </c>
      <c r="U122" s="212">
        <v>6.8750000000000006E-2</v>
      </c>
      <c r="V122" s="32">
        <f t="shared" si="127"/>
        <v>6.8750000000000006E-2</v>
      </c>
      <c r="W122" s="32">
        <f t="shared" si="127"/>
        <v>6.8750000000000006E-2</v>
      </c>
      <c r="X122" s="32">
        <f t="shared" si="127"/>
        <v>6.8750000000000006E-2</v>
      </c>
      <c r="Y122" s="32">
        <f t="shared" si="127"/>
        <v>6.8750000000000006E-2</v>
      </c>
      <c r="Z122" s="212">
        <v>6.8750000000000006E-2</v>
      </c>
      <c r="AA122" s="32">
        <f t="shared" si="129"/>
        <v>6.8750000000000006E-2</v>
      </c>
      <c r="AB122" s="211">
        <f t="shared" si="128"/>
        <v>6.8750000000000006E-2</v>
      </c>
      <c r="AC122" s="211">
        <f t="shared" si="128"/>
        <v>6.8750000000000006E-2</v>
      </c>
      <c r="AD122" s="211">
        <f t="shared" si="128"/>
        <v>6.8750000000000006E-2</v>
      </c>
      <c r="AE122" s="212">
        <f t="shared" si="128"/>
        <v>6.8750000000000006E-2</v>
      </c>
      <c r="AF122" s="211">
        <f t="shared" si="128"/>
        <v>6.8750000000000006E-2</v>
      </c>
      <c r="AG122" s="211">
        <f t="shared" si="128"/>
        <v>6.8750000000000006E-2</v>
      </c>
      <c r="AH122" s="211">
        <f t="shared" si="128"/>
        <v>6.8750000000000006E-2</v>
      </c>
      <c r="AI122" s="211">
        <f t="shared" si="128"/>
        <v>6.8750000000000006E-2</v>
      </c>
      <c r="AJ122" s="212">
        <f t="shared" si="128"/>
        <v>6.8750000000000006E-2</v>
      </c>
      <c r="AK122" s="211">
        <f t="shared" si="125"/>
        <v>6.8750000000000006E-2</v>
      </c>
      <c r="AL122" s="211">
        <f t="shared" si="125"/>
        <v>6.8750000000000006E-2</v>
      </c>
      <c r="AM122" s="211">
        <f t="shared" si="125"/>
        <v>6.8750000000000006E-2</v>
      </c>
      <c r="AN122" s="211">
        <f t="shared" si="125"/>
        <v>6.8750000000000006E-2</v>
      </c>
      <c r="AO122" s="212">
        <f t="shared" si="125"/>
        <v>6.8750000000000006E-2</v>
      </c>
      <c r="AP122" s="211">
        <f t="shared" si="104"/>
        <v>6.8750000000000006E-2</v>
      </c>
      <c r="AQ122" s="211">
        <f t="shared" si="105"/>
        <v>6.8750000000000006E-2</v>
      </c>
      <c r="AR122" s="211">
        <f t="shared" si="106"/>
        <v>6.8750000000000006E-2</v>
      </c>
      <c r="AS122" s="211">
        <f t="shared" si="107"/>
        <v>6.8750000000000006E-2</v>
      </c>
      <c r="AT122" s="212">
        <f t="shared" si="123"/>
        <v>6.8750000000000006E-2</v>
      </c>
      <c r="AU122" s="211">
        <f t="shared" si="117"/>
        <v>6.8750000000000006E-2</v>
      </c>
      <c r="AV122" s="211">
        <f t="shared" si="118"/>
        <v>6.8750000000000006E-2</v>
      </c>
      <c r="AW122" s="211">
        <f t="shared" si="119"/>
        <v>6.8750000000000006E-2</v>
      </c>
      <c r="AX122" s="211">
        <f t="shared" si="120"/>
        <v>6.8750000000000006E-2</v>
      </c>
      <c r="AY122" s="212">
        <f t="shared" si="121"/>
        <v>6.8750000000000006E-2</v>
      </c>
      <c r="AZ122" s="211">
        <f t="shared" si="115"/>
        <v>6.8750000000000006E-2</v>
      </c>
      <c r="BA122" s="211">
        <f t="shared" si="94"/>
        <v>6.8750000000000006E-2</v>
      </c>
      <c r="BB122" s="211">
        <f t="shared" si="95"/>
        <v>6.8750000000000006E-2</v>
      </c>
      <c r="BC122" s="211">
        <f t="shared" si="96"/>
        <v>6.8750000000000006E-2</v>
      </c>
      <c r="BD122" s="212">
        <f t="shared" si="97"/>
        <v>6.8750000000000006E-2</v>
      </c>
      <c r="BE122" s="211">
        <f t="shared" si="98"/>
        <v>6.8750000000000006E-2</v>
      </c>
      <c r="BF122" s="211">
        <f t="shared" si="99"/>
        <v>6.8750000000000006E-2</v>
      </c>
      <c r="BG122" s="211">
        <f t="shared" si="100"/>
        <v>6.8750000000000006E-2</v>
      </c>
      <c r="BH122" s="211">
        <f t="shared" si="101"/>
        <v>6.8750000000000006E-2</v>
      </c>
      <c r="BI122" s="212">
        <f t="shared" si="102"/>
        <v>6.8750000000000006E-2</v>
      </c>
    </row>
    <row r="123" spans="1:61" s="26" customFormat="1">
      <c r="A123" s="3" t="s">
        <v>396</v>
      </c>
      <c r="B123" s="211"/>
      <c r="C123" s="211"/>
      <c r="D123" s="211"/>
      <c r="E123" s="32"/>
      <c r="F123" s="212"/>
      <c r="G123" s="211"/>
      <c r="H123" s="211"/>
      <c r="I123" s="211"/>
      <c r="J123" s="32"/>
      <c r="K123" s="212"/>
      <c r="L123" s="211"/>
      <c r="M123" s="211"/>
      <c r="N123" s="211"/>
      <c r="O123" s="32"/>
      <c r="P123" s="212">
        <v>7.2499999999999995E-2</v>
      </c>
      <c r="Q123" s="32">
        <f t="shared" si="126"/>
        <v>7.2499999999999995E-2</v>
      </c>
      <c r="R123" s="32">
        <f t="shared" si="126"/>
        <v>7.2499999999999995E-2</v>
      </c>
      <c r="S123" s="32">
        <f t="shared" si="126"/>
        <v>7.2499999999999995E-2</v>
      </c>
      <c r="T123" s="32">
        <f t="shared" si="126"/>
        <v>7.2499999999999995E-2</v>
      </c>
      <c r="U123" s="212">
        <v>7.2499999999999995E-2</v>
      </c>
      <c r="V123" s="32">
        <f t="shared" si="127"/>
        <v>7.2499999999999995E-2</v>
      </c>
      <c r="W123" s="32">
        <f t="shared" si="127"/>
        <v>7.2499999999999995E-2</v>
      </c>
      <c r="X123" s="32">
        <f t="shared" si="127"/>
        <v>7.2499999999999995E-2</v>
      </c>
      <c r="Y123" s="32">
        <f t="shared" si="127"/>
        <v>7.2499999999999995E-2</v>
      </c>
      <c r="Z123" s="212">
        <v>7.2499999999999995E-2</v>
      </c>
      <c r="AA123" s="32">
        <f t="shared" si="129"/>
        <v>7.2499999999999995E-2</v>
      </c>
      <c r="AB123" s="211">
        <f t="shared" si="128"/>
        <v>7.2499999999999995E-2</v>
      </c>
      <c r="AC123" s="211">
        <f t="shared" si="128"/>
        <v>7.2499999999999995E-2</v>
      </c>
      <c r="AD123" s="211">
        <f t="shared" si="128"/>
        <v>7.2499999999999995E-2</v>
      </c>
      <c r="AE123" s="212">
        <f t="shared" si="128"/>
        <v>7.2499999999999995E-2</v>
      </c>
      <c r="AF123" s="211">
        <f t="shared" si="128"/>
        <v>7.2499999999999995E-2</v>
      </c>
      <c r="AG123" s="211">
        <f t="shared" si="128"/>
        <v>7.2499999999999995E-2</v>
      </c>
      <c r="AH123" s="211">
        <f t="shared" si="128"/>
        <v>7.2499999999999995E-2</v>
      </c>
      <c r="AI123" s="211">
        <f t="shared" si="128"/>
        <v>7.2499999999999995E-2</v>
      </c>
      <c r="AJ123" s="212">
        <f t="shared" si="128"/>
        <v>7.2499999999999995E-2</v>
      </c>
      <c r="AK123" s="211">
        <f t="shared" si="125"/>
        <v>7.2499999999999995E-2</v>
      </c>
      <c r="AL123" s="211">
        <f t="shared" si="125"/>
        <v>7.2499999999999995E-2</v>
      </c>
      <c r="AM123" s="211">
        <f t="shared" si="125"/>
        <v>7.2499999999999995E-2</v>
      </c>
      <c r="AN123" s="211">
        <f t="shared" si="125"/>
        <v>7.2499999999999995E-2</v>
      </c>
      <c r="AO123" s="212">
        <f t="shared" si="125"/>
        <v>7.2499999999999995E-2</v>
      </c>
      <c r="AP123" s="211">
        <f t="shared" si="104"/>
        <v>7.2499999999999995E-2</v>
      </c>
      <c r="AQ123" s="211">
        <f t="shared" si="105"/>
        <v>7.2499999999999995E-2</v>
      </c>
      <c r="AR123" s="211">
        <f t="shared" si="106"/>
        <v>7.2499999999999995E-2</v>
      </c>
      <c r="AS123" s="211">
        <f t="shared" si="107"/>
        <v>7.2499999999999995E-2</v>
      </c>
      <c r="AT123" s="212">
        <f t="shared" si="123"/>
        <v>7.2499999999999995E-2</v>
      </c>
      <c r="AU123" s="211">
        <f t="shared" si="117"/>
        <v>7.2499999999999995E-2</v>
      </c>
      <c r="AV123" s="211">
        <f t="shared" si="118"/>
        <v>7.2499999999999995E-2</v>
      </c>
      <c r="AW123" s="211">
        <f t="shared" si="119"/>
        <v>7.2499999999999995E-2</v>
      </c>
      <c r="AX123" s="211">
        <f t="shared" si="120"/>
        <v>7.2499999999999995E-2</v>
      </c>
      <c r="AY123" s="212">
        <f t="shared" si="121"/>
        <v>7.2499999999999995E-2</v>
      </c>
      <c r="AZ123" s="211">
        <f t="shared" si="115"/>
        <v>7.2499999999999995E-2</v>
      </c>
      <c r="BA123" s="211">
        <f t="shared" si="94"/>
        <v>7.2499999999999995E-2</v>
      </c>
      <c r="BB123" s="211">
        <f t="shared" si="95"/>
        <v>7.2499999999999995E-2</v>
      </c>
      <c r="BC123" s="211">
        <f t="shared" si="96"/>
        <v>7.2499999999999995E-2</v>
      </c>
      <c r="BD123" s="212">
        <f t="shared" si="97"/>
        <v>7.2499999999999995E-2</v>
      </c>
      <c r="BE123" s="211">
        <f t="shared" si="98"/>
        <v>7.2499999999999995E-2</v>
      </c>
      <c r="BF123" s="211">
        <f t="shared" si="99"/>
        <v>7.2499999999999995E-2</v>
      </c>
      <c r="BG123" s="211">
        <f t="shared" si="100"/>
        <v>7.2499999999999995E-2</v>
      </c>
      <c r="BH123" s="211">
        <f t="shared" si="101"/>
        <v>7.2499999999999995E-2</v>
      </c>
      <c r="BI123" s="212">
        <f t="shared" si="102"/>
        <v>7.2499999999999995E-2</v>
      </c>
    </row>
    <row r="124" spans="1:61" s="26" customFormat="1">
      <c r="A124" s="3" t="s">
        <v>397</v>
      </c>
      <c r="B124" s="211"/>
      <c r="C124" s="211"/>
      <c r="D124" s="211"/>
      <c r="E124" s="32"/>
      <c r="F124" s="212"/>
      <c r="G124" s="211"/>
      <c r="H124" s="211"/>
      <c r="I124" s="211"/>
      <c r="J124" s="32"/>
      <c r="K124" s="212"/>
      <c r="L124" s="211"/>
      <c r="M124" s="211"/>
      <c r="N124" s="211"/>
      <c r="O124" s="32"/>
      <c r="P124" s="212">
        <v>7.4999999999999997E-2</v>
      </c>
      <c r="Q124" s="32">
        <f t="shared" si="126"/>
        <v>7.4999999999999997E-2</v>
      </c>
      <c r="R124" s="32">
        <f t="shared" si="126"/>
        <v>7.4999999999999997E-2</v>
      </c>
      <c r="S124" s="32">
        <f t="shared" si="126"/>
        <v>7.4999999999999997E-2</v>
      </c>
      <c r="T124" s="32">
        <f t="shared" si="126"/>
        <v>7.4999999999999997E-2</v>
      </c>
      <c r="U124" s="212">
        <v>7.4999999999999997E-2</v>
      </c>
      <c r="V124" s="32">
        <f t="shared" si="127"/>
        <v>7.4999999999999997E-2</v>
      </c>
      <c r="W124" s="32">
        <f t="shared" si="127"/>
        <v>7.4999999999999997E-2</v>
      </c>
      <c r="X124" s="32">
        <f t="shared" si="127"/>
        <v>7.4999999999999997E-2</v>
      </c>
      <c r="Y124" s="32">
        <f t="shared" si="127"/>
        <v>7.4999999999999997E-2</v>
      </c>
      <c r="Z124" s="212">
        <v>7.4999999999999997E-2</v>
      </c>
      <c r="AA124" s="32">
        <f t="shared" si="129"/>
        <v>7.4999999999999997E-2</v>
      </c>
      <c r="AB124" s="211">
        <f t="shared" ref="AB124:AJ124" si="130">AA124</f>
        <v>7.4999999999999997E-2</v>
      </c>
      <c r="AC124" s="211">
        <f t="shared" si="130"/>
        <v>7.4999999999999997E-2</v>
      </c>
      <c r="AD124" s="211">
        <f t="shared" si="130"/>
        <v>7.4999999999999997E-2</v>
      </c>
      <c r="AE124" s="212">
        <f t="shared" si="130"/>
        <v>7.4999999999999997E-2</v>
      </c>
      <c r="AF124" s="211">
        <f t="shared" si="130"/>
        <v>7.4999999999999997E-2</v>
      </c>
      <c r="AG124" s="211">
        <f t="shared" si="130"/>
        <v>7.4999999999999997E-2</v>
      </c>
      <c r="AH124" s="211">
        <f t="shared" si="130"/>
        <v>7.4999999999999997E-2</v>
      </c>
      <c r="AI124" s="211">
        <f t="shared" si="130"/>
        <v>7.4999999999999997E-2</v>
      </c>
      <c r="AJ124" s="212">
        <f t="shared" si="130"/>
        <v>7.4999999999999997E-2</v>
      </c>
      <c r="AK124" s="211">
        <f t="shared" ref="AK124:AK129" si="131">AJ124</f>
        <v>7.4999999999999997E-2</v>
      </c>
      <c r="AL124" s="211">
        <f t="shared" ref="AL124:AL129" si="132">AK124</f>
        <v>7.4999999999999997E-2</v>
      </c>
      <c r="AM124" s="211">
        <f t="shared" ref="AM124:AM129" si="133">AL124</f>
        <v>7.4999999999999997E-2</v>
      </c>
      <c r="AN124" s="211">
        <f t="shared" ref="AN124:AO129" si="134">AM124</f>
        <v>7.4999999999999997E-2</v>
      </c>
      <c r="AO124" s="212">
        <f t="shared" si="134"/>
        <v>7.4999999999999997E-2</v>
      </c>
      <c r="AP124" s="211">
        <f t="shared" si="104"/>
        <v>7.4999999999999997E-2</v>
      </c>
      <c r="AQ124" s="211">
        <f t="shared" si="105"/>
        <v>7.4999999999999997E-2</v>
      </c>
      <c r="AR124" s="211">
        <f t="shared" si="106"/>
        <v>7.4999999999999997E-2</v>
      </c>
      <c r="AS124" s="211">
        <f t="shared" si="107"/>
        <v>7.4999999999999997E-2</v>
      </c>
      <c r="AT124" s="212">
        <f t="shared" si="123"/>
        <v>7.4999999999999997E-2</v>
      </c>
      <c r="AU124" s="211">
        <f t="shared" si="117"/>
        <v>7.4999999999999997E-2</v>
      </c>
      <c r="AV124" s="211">
        <f t="shared" si="118"/>
        <v>7.4999999999999997E-2</v>
      </c>
      <c r="AW124" s="211">
        <f t="shared" si="119"/>
        <v>7.4999999999999997E-2</v>
      </c>
      <c r="AX124" s="211">
        <f t="shared" si="120"/>
        <v>7.4999999999999997E-2</v>
      </c>
      <c r="AY124" s="212">
        <f t="shared" si="121"/>
        <v>7.4999999999999997E-2</v>
      </c>
      <c r="AZ124" s="211">
        <f t="shared" si="115"/>
        <v>7.4999999999999997E-2</v>
      </c>
      <c r="BA124" s="211">
        <f t="shared" si="94"/>
        <v>7.4999999999999997E-2</v>
      </c>
      <c r="BB124" s="211">
        <f t="shared" si="95"/>
        <v>7.4999999999999997E-2</v>
      </c>
      <c r="BC124" s="211">
        <f t="shared" si="96"/>
        <v>7.4999999999999997E-2</v>
      </c>
      <c r="BD124" s="212">
        <f t="shared" si="97"/>
        <v>7.4999999999999997E-2</v>
      </c>
      <c r="BE124" s="211">
        <f t="shared" si="98"/>
        <v>7.4999999999999997E-2</v>
      </c>
      <c r="BF124" s="211">
        <f t="shared" si="99"/>
        <v>7.4999999999999997E-2</v>
      </c>
      <c r="BG124" s="211">
        <f t="shared" si="100"/>
        <v>7.4999999999999997E-2</v>
      </c>
      <c r="BH124" s="211">
        <f t="shared" si="101"/>
        <v>7.4999999999999997E-2</v>
      </c>
      <c r="BI124" s="212">
        <f t="shared" si="102"/>
        <v>7.4999999999999997E-2</v>
      </c>
    </row>
    <row r="125" spans="1:61" s="26" customFormat="1">
      <c r="A125" s="3" t="s">
        <v>398</v>
      </c>
      <c r="B125" s="211"/>
      <c r="C125" s="211"/>
      <c r="D125" s="211"/>
      <c r="E125" s="32"/>
      <c r="F125" s="212"/>
      <c r="G125" s="211"/>
      <c r="H125" s="211"/>
      <c r="I125" s="211"/>
      <c r="J125" s="32"/>
      <c r="K125" s="212"/>
      <c r="L125" s="211"/>
      <c r="M125" s="211"/>
      <c r="N125" s="211"/>
      <c r="O125" s="32"/>
      <c r="P125" s="212">
        <v>7.8750000000000001E-2</v>
      </c>
      <c r="Q125" s="32">
        <f t="shared" si="126"/>
        <v>7.8750000000000001E-2</v>
      </c>
      <c r="R125" s="32">
        <f t="shared" si="126"/>
        <v>7.8750000000000001E-2</v>
      </c>
      <c r="S125" s="32">
        <f t="shared" si="126"/>
        <v>7.8750000000000001E-2</v>
      </c>
      <c r="T125" s="32">
        <f t="shared" si="126"/>
        <v>7.8750000000000001E-2</v>
      </c>
      <c r="U125" s="212">
        <v>7.8750000000000001E-2</v>
      </c>
      <c r="V125" s="32">
        <f t="shared" si="127"/>
        <v>7.8750000000000001E-2</v>
      </c>
      <c r="W125" s="32">
        <f t="shared" si="127"/>
        <v>7.8750000000000001E-2</v>
      </c>
      <c r="X125" s="32">
        <f t="shared" si="127"/>
        <v>7.8750000000000001E-2</v>
      </c>
      <c r="Y125" s="32">
        <f t="shared" si="127"/>
        <v>7.8750000000000001E-2</v>
      </c>
      <c r="Z125" s="212">
        <v>7.8750000000000001E-2</v>
      </c>
      <c r="AA125" s="32">
        <f t="shared" si="129"/>
        <v>7.8750000000000001E-2</v>
      </c>
      <c r="AB125" s="211">
        <f t="shared" ref="AB125:AJ125" si="135">AA125</f>
        <v>7.8750000000000001E-2</v>
      </c>
      <c r="AC125" s="211">
        <f t="shared" si="135"/>
        <v>7.8750000000000001E-2</v>
      </c>
      <c r="AD125" s="211">
        <f t="shared" si="135"/>
        <v>7.8750000000000001E-2</v>
      </c>
      <c r="AE125" s="212">
        <f t="shared" si="135"/>
        <v>7.8750000000000001E-2</v>
      </c>
      <c r="AF125" s="211">
        <f t="shared" si="135"/>
        <v>7.8750000000000001E-2</v>
      </c>
      <c r="AG125" s="211">
        <f t="shared" si="135"/>
        <v>7.8750000000000001E-2</v>
      </c>
      <c r="AH125" s="211">
        <f t="shared" si="135"/>
        <v>7.8750000000000001E-2</v>
      </c>
      <c r="AI125" s="211">
        <f t="shared" si="135"/>
        <v>7.8750000000000001E-2</v>
      </c>
      <c r="AJ125" s="212">
        <f t="shared" si="135"/>
        <v>7.8750000000000001E-2</v>
      </c>
      <c r="AK125" s="211">
        <f t="shared" si="131"/>
        <v>7.8750000000000001E-2</v>
      </c>
      <c r="AL125" s="211">
        <f t="shared" si="132"/>
        <v>7.8750000000000001E-2</v>
      </c>
      <c r="AM125" s="211">
        <f t="shared" si="133"/>
        <v>7.8750000000000001E-2</v>
      </c>
      <c r="AN125" s="211">
        <f t="shared" si="134"/>
        <v>7.8750000000000001E-2</v>
      </c>
      <c r="AO125" s="212">
        <f t="shared" si="134"/>
        <v>7.8750000000000001E-2</v>
      </c>
      <c r="AP125" s="211">
        <f t="shared" si="104"/>
        <v>7.8750000000000001E-2</v>
      </c>
      <c r="AQ125" s="211">
        <f t="shared" si="105"/>
        <v>7.8750000000000001E-2</v>
      </c>
      <c r="AR125" s="211">
        <f t="shared" si="106"/>
        <v>7.8750000000000001E-2</v>
      </c>
      <c r="AS125" s="211">
        <f t="shared" si="107"/>
        <v>7.8750000000000001E-2</v>
      </c>
      <c r="AT125" s="212">
        <f t="shared" si="123"/>
        <v>7.8750000000000001E-2</v>
      </c>
      <c r="AU125" s="211">
        <f t="shared" si="117"/>
        <v>7.8750000000000001E-2</v>
      </c>
      <c r="AV125" s="211">
        <f t="shared" si="118"/>
        <v>7.8750000000000001E-2</v>
      </c>
      <c r="AW125" s="211">
        <f t="shared" si="119"/>
        <v>7.8750000000000001E-2</v>
      </c>
      <c r="AX125" s="211">
        <f t="shared" si="120"/>
        <v>7.8750000000000001E-2</v>
      </c>
      <c r="AY125" s="212">
        <f t="shared" si="121"/>
        <v>7.8750000000000001E-2</v>
      </c>
      <c r="AZ125" s="211">
        <f t="shared" si="115"/>
        <v>7.8750000000000001E-2</v>
      </c>
      <c r="BA125" s="211">
        <f t="shared" si="94"/>
        <v>7.8750000000000001E-2</v>
      </c>
      <c r="BB125" s="211">
        <f t="shared" si="95"/>
        <v>7.8750000000000001E-2</v>
      </c>
      <c r="BC125" s="211">
        <f t="shared" si="96"/>
        <v>7.8750000000000001E-2</v>
      </c>
      <c r="BD125" s="212">
        <f t="shared" si="97"/>
        <v>7.8750000000000001E-2</v>
      </c>
      <c r="BE125" s="211">
        <f t="shared" si="98"/>
        <v>7.8750000000000001E-2</v>
      </c>
      <c r="BF125" s="211">
        <f t="shared" si="99"/>
        <v>7.8750000000000001E-2</v>
      </c>
      <c r="BG125" s="211">
        <f t="shared" si="100"/>
        <v>7.8750000000000001E-2</v>
      </c>
      <c r="BH125" s="211">
        <f t="shared" si="101"/>
        <v>7.8750000000000001E-2</v>
      </c>
      <c r="BI125" s="212">
        <f t="shared" si="102"/>
        <v>7.8750000000000001E-2</v>
      </c>
    </row>
    <row r="126" spans="1:61" s="26" customFormat="1">
      <c r="A126" s="3" t="s">
        <v>399</v>
      </c>
      <c r="B126" s="211"/>
      <c r="C126" s="211"/>
      <c r="D126" s="211"/>
      <c r="E126" s="32"/>
      <c r="F126" s="212"/>
      <c r="G126" s="211"/>
      <c r="H126" s="211"/>
      <c r="I126" s="211"/>
      <c r="J126" s="32"/>
      <c r="K126" s="212"/>
      <c r="L126" s="211"/>
      <c r="M126" s="211"/>
      <c r="N126" s="211"/>
      <c r="O126" s="32"/>
      <c r="P126" s="212">
        <v>7.9500000000000001E-2</v>
      </c>
      <c r="Q126" s="32">
        <f t="shared" si="126"/>
        <v>7.9500000000000001E-2</v>
      </c>
      <c r="R126" s="32">
        <f t="shared" si="126"/>
        <v>7.9500000000000001E-2</v>
      </c>
      <c r="S126" s="32">
        <f t="shared" si="126"/>
        <v>7.9500000000000001E-2</v>
      </c>
      <c r="T126" s="32">
        <f t="shared" si="126"/>
        <v>7.9500000000000001E-2</v>
      </c>
      <c r="U126" s="212">
        <v>7.9500000000000001E-2</v>
      </c>
      <c r="V126" s="32">
        <f t="shared" si="127"/>
        <v>7.9500000000000001E-2</v>
      </c>
      <c r="W126" s="32">
        <f t="shared" si="127"/>
        <v>7.9500000000000001E-2</v>
      </c>
      <c r="X126" s="32">
        <f t="shared" si="127"/>
        <v>7.9500000000000001E-2</v>
      </c>
      <c r="Y126" s="32">
        <f t="shared" si="127"/>
        <v>7.9500000000000001E-2</v>
      </c>
      <c r="Z126" s="212">
        <v>7.9500000000000001E-2</v>
      </c>
      <c r="AA126" s="32">
        <f t="shared" si="129"/>
        <v>7.9500000000000001E-2</v>
      </c>
      <c r="AB126" s="211">
        <f t="shared" ref="AB126:AJ126" si="136">AA126</f>
        <v>7.9500000000000001E-2</v>
      </c>
      <c r="AC126" s="211">
        <f t="shared" si="136"/>
        <v>7.9500000000000001E-2</v>
      </c>
      <c r="AD126" s="211">
        <f t="shared" si="136"/>
        <v>7.9500000000000001E-2</v>
      </c>
      <c r="AE126" s="212">
        <f t="shared" si="136"/>
        <v>7.9500000000000001E-2</v>
      </c>
      <c r="AF126" s="211">
        <f t="shared" si="136"/>
        <v>7.9500000000000001E-2</v>
      </c>
      <c r="AG126" s="211">
        <f t="shared" si="136"/>
        <v>7.9500000000000001E-2</v>
      </c>
      <c r="AH126" s="211">
        <f t="shared" si="136"/>
        <v>7.9500000000000001E-2</v>
      </c>
      <c r="AI126" s="211">
        <f t="shared" si="136"/>
        <v>7.9500000000000001E-2</v>
      </c>
      <c r="AJ126" s="212">
        <f t="shared" si="136"/>
        <v>7.9500000000000001E-2</v>
      </c>
      <c r="AK126" s="211">
        <f t="shared" si="131"/>
        <v>7.9500000000000001E-2</v>
      </c>
      <c r="AL126" s="211">
        <f t="shared" si="132"/>
        <v>7.9500000000000001E-2</v>
      </c>
      <c r="AM126" s="211">
        <f t="shared" si="133"/>
        <v>7.9500000000000001E-2</v>
      </c>
      <c r="AN126" s="211">
        <f t="shared" si="134"/>
        <v>7.9500000000000001E-2</v>
      </c>
      <c r="AO126" s="212">
        <f t="shared" si="134"/>
        <v>7.9500000000000001E-2</v>
      </c>
      <c r="AP126" s="211">
        <f t="shared" si="104"/>
        <v>7.9500000000000001E-2</v>
      </c>
      <c r="AQ126" s="211">
        <f t="shared" si="105"/>
        <v>7.9500000000000001E-2</v>
      </c>
      <c r="AR126" s="211">
        <f t="shared" si="106"/>
        <v>7.9500000000000001E-2</v>
      </c>
      <c r="AS126" s="211">
        <f t="shared" si="107"/>
        <v>7.9500000000000001E-2</v>
      </c>
      <c r="AT126" s="212">
        <f t="shared" si="123"/>
        <v>7.9500000000000001E-2</v>
      </c>
      <c r="AU126" s="211">
        <f t="shared" si="117"/>
        <v>7.9500000000000001E-2</v>
      </c>
      <c r="AV126" s="211">
        <f t="shared" si="118"/>
        <v>7.9500000000000001E-2</v>
      </c>
      <c r="AW126" s="211">
        <f t="shared" si="119"/>
        <v>7.9500000000000001E-2</v>
      </c>
      <c r="AX126" s="211">
        <f t="shared" si="120"/>
        <v>7.9500000000000001E-2</v>
      </c>
      <c r="AY126" s="212">
        <f t="shared" si="121"/>
        <v>7.9500000000000001E-2</v>
      </c>
      <c r="AZ126" s="211">
        <f t="shared" si="115"/>
        <v>7.9500000000000001E-2</v>
      </c>
      <c r="BA126" s="211">
        <f t="shared" si="94"/>
        <v>7.9500000000000001E-2</v>
      </c>
      <c r="BB126" s="211">
        <f t="shared" si="95"/>
        <v>7.9500000000000001E-2</v>
      </c>
      <c r="BC126" s="211">
        <f t="shared" si="96"/>
        <v>7.9500000000000001E-2</v>
      </c>
      <c r="BD126" s="212">
        <f t="shared" si="97"/>
        <v>7.9500000000000001E-2</v>
      </c>
      <c r="BE126" s="211">
        <f t="shared" si="98"/>
        <v>7.9500000000000001E-2</v>
      </c>
      <c r="BF126" s="211">
        <f t="shared" si="99"/>
        <v>7.9500000000000001E-2</v>
      </c>
      <c r="BG126" s="211">
        <f t="shared" si="100"/>
        <v>7.9500000000000001E-2</v>
      </c>
      <c r="BH126" s="211">
        <f t="shared" si="101"/>
        <v>7.9500000000000001E-2</v>
      </c>
      <c r="BI126" s="212">
        <f t="shared" si="102"/>
        <v>7.9500000000000001E-2</v>
      </c>
    </row>
    <row r="127" spans="1:61" s="26" customFormat="1">
      <c r="A127" s="3" t="s">
        <v>400</v>
      </c>
      <c r="B127" s="211"/>
      <c r="C127" s="211"/>
      <c r="D127" s="211"/>
      <c r="E127" s="32"/>
      <c r="F127" s="212"/>
      <c r="G127" s="211"/>
      <c r="H127" s="211"/>
      <c r="I127" s="211"/>
      <c r="J127" s="32"/>
      <c r="K127" s="212"/>
      <c r="L127" s="211"/>
      <c r="M127" s="211"/>
      <c r="N127" s="211"/>
      <c r="O127" s="32"/>
      <c r="P127" s="212">
        <v>8.6249999999999993E-2</v>
      </c>
      <c r="Q127" s="32">
        <f t="shared" si="126"/>
        <v>8.6249999999999993E-2</v>
      </c>
      <c r="R127" s="32">
        <f t="shared" si="126"/>
        <v>8.6249999999999993E-2</v>
      </c>
      <c r="S127" s="32">
        <f t="shared" si="126"/>
        <v>8.6249999999999993E-2</v>
      </c>
      <c r="T127" s="32">
        <f t="shared" si="126"/>
        <v>8.6249999999999993E-2</v>
      </c>
      <c r="U127" s="212">
        <v>8.6249999999999993E-2</v>
      </c>
      <c r="V127" s="32">
        <f t="shared" si="127"/>
        <v>8.6249999999999993E-2</v>
      </c>
      <c r="W127" s="32">
        <f t="shared" si="127"/>
        <v>8.6249999999999993E-2</v>
      </c>
      <c r="X127" s="32">
        <f t="shared" si="127"/>
        <v>8.6249999999999993E-2</v>
      </c>
      <c r="Y127" s="32">
        <f t="shared" si="127"/>
        <v>8.6249999999999993E-2</v>
      </c>
      <c r="Z127" s="212">
        <v>8.6249999999999993E-2</v>
      </c>
      <c r="AA127" s="32">
        <f t="shared" si="129"/>
        <v>8.6249999999999993E-2</v>
      </c>
      <c r="AB127" s="211">
        <f t="shared" ref="AB127:AJ127" si="137">AA127</f>
        <v>8.6249999999999993E-2</v>
      </c>
      <c r="AC127" s="211">
        <f t="shared" si="137"/>
        <v>8.6249999999999993E-2</v>
      </c>
      <c r="AD127" s="211">
        <f t="shared" si="137"/>
        <v>8.6249999999999993E-2</v>
      </c>
      <c r="AE127" s="212">
        <f t="shared" si="137"/>
        <v>8.6249999999999993E-2</v>
      </c>
      <c r="AF127" s="211">
        <f t="shared" si="137"/>
        <v>8.6249999999999993E-2</v>
      </c>
      <c r="AG127" s="211">
        <f t="shared" si="137"/>
        <v>8.6249999999999993E-2</v>
      </c>
      <c r="AH127" s="211">
        <f t="shared" si="137"/>
        <v>8.6249999999999993E-2</v>
      </c>
      <c r="AI127" s="211">
        <f t="shared" si="137"/>
        <v>8.6249999999999993E-2</v>
      </c>
      <c r="AJ127" s="212">
        <f t="shared" si="137"/>
        <v>8.6249999999999993E-2</v>
      </c>
      <c r="AK127" s="211">
        <f t="shared" si="131"/>
        <v>8.6249999999999993E-2</v>
      </c>
      <c r="AL127" s="211">
        <f t="shared" si="132"/>
        <v>8.6249999999999993E-2</v>
      </c>
      <c r="AM127" s="211">
        <f t="shared" si="133"/>
        <v>8.6249999999999993E-2</v>
      </c>
      <c r="AN127" s="211">
        <f t="shared" si="134"/>
        <v>8.6249999999999993E-2</v>
      </c>
      <c r="AO127" s="212">
        <f t="shared" si="134"/>
        <v>8.6249999999999993E-2</v>
      </c>
      <c r="AP127" s="211">
        <f t="shared" si="104"/>
        <v>8.6249999999999993E-2</v>
      </c>
      <c r="AQ127" s="211">
        <f t="shared" si="105"/>
        <v>8.6249999999999993E-2</v>
      </c>
      <c r="AR127" s="211">
        <f t="shared" si="106"/>
        <v>8.6249999999999993E-2</v>
      </c>
      <c r="AS127" s="211">
        <f t="shared" si="107"/>
        <v>8.6249999999999993E-2</v>
      </c>
      <c r="AT127" s="212">
        <f t="shared" si="123"/>
        <v>8.6249999999999993E-2</v>
      </c>
      <c r="AU127" s="211">
        <f t="shared" si="117"/>
        <v>8.6249999999999993E-2</v>
      </c>
      <c r="AV127" s="211">
        <f t="shared" si="118"/>
        <v>8.6249999999999993E-2</v>
      </c>
      <c r="AW127" s="211">
        <f t="shared" si="119"/>
        <v>8.6249999999999993E-2</v>
      </c>
      <c r="AX127" s="211">
        <f t="shared" si="120"/>
        <v>8.6249999999999993E-2</v>
      </c>
      <c r="AY127" s="212">
        <f t="shared" si="121"/>
        <v>8.6249999999999993E-2</v>
      </c>
      <c r="AZ127" s="211">
        <f t="shared" si="115"/>
        <v>8.6249999999999993E-2</v>
      </c>
      <c r="BA127" s="211">
        <f t="shared" si="94"/>
        <v>8.6249999999999993E-2</v>
      </c>
      <c r="BB127" s="211">
        <f t="shared" si="95"/>
        <v>8.6249999999999993E-2</v>
      </c>
      <c r="BC127" s="211">
        <f t="shared" si="96"/>
        <v>8.6249999999999993E-2</v>
      </c>
      <c r="BD127" s="212">
        <f t="shared" si="97"/>
        <v>8.6249999999999993E-2</v>
      </c>
      <c r="BE127" s="211">
        <f t="shared" si="98"/>
        <v>8.6249999999999993E-2</v>
      </c>
      <c r="BF127" s="211">
        <f t="shared" si="99"/>
        <v>8.6249999999999993E-2</v>
      </c>
      <c r="BG127" s="211">
        <f t="shared" si="100"/>
        <v>8.6249999999999993E-2</v>
      </c>
      <c r="BH127" s="211">
        <f t="shared" si="101"/>
        <v>8.6249999999999993E-2</v>
      </c>
      <c r="BI127" s="212">
        <f t="shared" si="102"/>
        <v>8.6249999999999993E-2</v>
      </c>
    </row>
    <row r="128" spans="1:61" s="26" customFormat="1">
      <c r="A128" s="3" t="s">
        <v>401</v>
      </c>
      <c r="B128" s="211"/>
      <c r="C128" s="211"/>
      <c r="D128" s="211"/>
      <c r="E128" s="32"/>
      <c r="F128" s="212"/>
      <c r="G128" s="211"/>
      <c r="H128" s="211"/>
      <c r="I128" s="211"/>
      <c r="J128" s="32"/>
      <c r="K128" s="212"/>
      <c r="L128" s="211"/>
      <c r="M128" s="211"/>
      <c r="N128" s="211"/>
      <c r="O128" s="32"/>
      <c r="P128" s="212">
        <v>8.7499999999999994E-2</v>
      </c>
      <c r="Q128" s="32">
        <f t="shared" si="126"/>
        <v>8.7499999999999994E-2</v>
      </c>
      <c r="R128" s="32">
        <f t="shared" si="126"/>
        <v>8.7499999999999994E-2</v>
      </c>
      <c r="S128" s="32">
        <f t="shared" si="126"/>
        <v>8.7499999999999994E-2</v>
      </c>
      <c r="T128" s="32">
        <f t="shared" si="126"/>
        <v>8.7499999999999994E-2</v>
      </c>
      <c r="U128" s="212">
        <v>8.7499999999999994E-2</v>
      </c>
      <c r="V128" s="32">
        <f t="shared" si="127"/>
        <v>8.7499999999999994E-2</v>
      </c>
      <c r="W128" s="32">
        <f t="shared" si="127"/>
        <v>8.7499999999999994E-2</v>
      </c>
      <c r="X128" s="32">
        <f t="shared" si="127"/>
        <v>8.7499999999999994E-2</v>
      </c>
      <c r="Y128" s="32">
        <f t="shared" si="127"/>
        <v>8.7499999999999994E-2</v>
      </c>
      <c r="Z128" s="212">
        <v>8.7499999999999994E-2</v>
      </c>
      <c r="AA128" s="32">
        <f t="shared" si="129"/>
        <v>8.7499999999999994E-2</v>
      </c>
      <c r="AB128" s="211">
        <f t="shared" ref="AB128:AJ128" si="138">AA128</f>
        <v>8.7499999999999994E-2</v>
      </c>
      <c r="AC128" s="211">
        <f t="shared" si="138"/>
        <v>8.7499999999999994E-2</v>
      </c>
      <c r="AD128" s="211">
        <f t="shared" si="138"/>
        <v>8.7499999999999994E-2</v>
      </c>
      <c r="AE128" s="212">
        <f t="shared" si="138"/>
        <v>8.7499999999999994E-2</v>
      </c>
      <c r="AF128" s="211">
        <f t="shared" si="138"/>
        <v>8.7499999999999994E-2</v>
      </c>
      <c r="AG128" s="211">
        <f t="shared" si="138"/>
        <v>8.7499999999999994E-2</v>
      </c>
      <c r="AH128" s="211">
        <f t="shared" si="138"/>
        <v>8.7499999999999994E-2</v>
      </c>
      <c r="AI128" s="211">
        <f t="shared" si="138"/>
        <v>8.7499999999999994E-2</v>
      </c>
      <c r="AJ128" s="212">
        <f t="shared" si="138"/>
        <v>8.7499999999999994E-2</v>
      </c>
      <c r="AK128" s="211">
        <f t="shared" si="131"/>
        <v>8.7499999999999994E-2</v>
      </c>
      <c r="AL128" s="211">
        <f t="shared" si="132"/>
        <v>8.7499999999999994E-2</v>
      </c>
      <c r="AM128" s="211">
        <f t="shared" si="133"/>
        <v>8.7499999999999994E-2</v>
      </c>
      <c r="AN128" s="211">
        <f t="shared" si="134"/>
        <v>8.7499999999999994E-2</v>
      </c>
      <c r="AO128" s="212">
        <f t="shared" si="134"/>
        <v>8.7499999999999994E-2</v>
      </c>
      <c r="AP128" s="211">
        <f t="shared" si="104"/>
        <v>8.7499999999999994E-2</v>
      </c>
      <c r="AQ128" s="211">
        <f t="shared" si="105"/>
        <v>8.7499999999999994E-2</v>
      </c>
      <c r="AR128" s="211">
        <f t="shared" si="106"/>
        <v>8.7499999999999994E-2</v>
      </c>
      <c r="AS128" s="211">
        <f t="shared" si="107"/>
        <v>8.7499999999999994E-2</v>
      </c>
      <c r="AT128" s="212">
        <f t="shared" si="123"/>
        <v>8.7499999999999994E-2</v>
      </c>
      <c r="AU128" s="211">
        <f t="shared" si="117"/>
        <v>8.7499999999999994E-2</v>
      </c>
      <c r="AV128" s="211">
        <f t="shared" si="118"/>
        <v>8.7499999999999994E-2</v>
      </c>
      <c r="AW128" s="211">
        <f t="shared" si="119"/>
        <v>8.7499999999999994E-2</v>
      </c>
      <c r="AX128" s="211">
        <f t="shared" si="120"/>
        <v>8.7499999999999994E-2</v>
      </c>
      <c r="AY128" s="212">
        <f t="shared" si="121"/>
        <v>8.7499999999999994E-2</v>
      </c>
      <c r="AZ128" s="211">
        <f t="shared" si="115"/>
        <v>8.7499999999999994E-2</v>
      </c>
      <c r="BA128" s="211">
        <f t="shared" si="94"/>
        <v>8.7499999999999994E-2</v>
      </c>
      <c r="BB128" s="211">
        <f t="shared" si="95"/>
        <v>8.7499999999999994E-2</v>
      </c>
      <c r="BC128" s="211">
        <f t="shared" si="96"/>
        <v>8.7499999999999994E-2</v>
      </c>
      <c r="BD128" s="212">
        <f t="shared" si="97"/>
        <v>8.7499999999999994E-2</v>
      </c>
      <c r="BE128" s="211">
        <f t="shared" si="98"/>
        <v>8.7499999999999994E-2</v>
      </c>
      <c r="BF128" s="211">
        <f t="shared" si="99"/>
        <v>8.7499999999999994E-2</v>
      </c>
      <c r="BG128" s="211">
        <f t="shared" si="100"/>
        <v>8.7499999999999994E-2</v>
      </c>
      <c r="BH128" s="211">
        <f t="shared" si="101"/>
        <v>8.7499999999999994E-2</v>
      </c>
      <c r="BI128" s="212">
        <f t="shared" si="102"/>
        <v>8.7499999999999994E-2</v>
      </c>
    </row>
    <row r="129" spans="1:61" s="26" customFormat="1">
      <c r="A129" s="3" t="s">
        <v>402</v>
      </c>
      <c r="B129" s="211"/>
      <c r="C129" s="211"/>
      <c r="D129" s="211"/>
      <c r="E129" s="32"/>
      <c r="F129" s="212"/>
      <c r="G129" s="211"/>
      <c r="H129" s="211"/>
      <c r="I129" s="211"/>
      <c r="J129" s="32"/>
      <c r="K129" s="212"/>
      <c r="L129" s="211"/>
      <c r="M129" s="211"/>
      <c r="N129" s="211"/>
      <c r="O129" s="32"/>
      <c r="P129" s="212">
        <v>8.7499999999999994E-2</v>
      </c>
      <c r="Q129" s="32">
        <f t="shared" si="126"/>
        <v>8.7499999999999994E-2</v>
      </c>
      <c r="R129" s="32">
        <f t="shared" si="126"/>
        <v>8.7499999999999994E-2</v>
      </c>
      <c r="S129" s="32">
        <f t="shared" si="126"/>
        <v>8.7499999999999994E-2</v>
      </c>
      <c r="T129" s="32">
        <f t="shared" si="126"/>
        <v>8.7499999999999994E-2</v>
      </c>
      <c r="U129" s="212">
        <v>8.7499999999999994E-2</v>
      </c>
      <c r="V129" s="32">
        <f t="shared" si="127"/>
        <v>8.7499999999999994E-2</v>
      </c>
      <c r="W129" s="32">
        <f t="shared" si="127"/>
        <v>8.7499999999999994E-2</v>
      </c>
      <c r="X129" s="32">
        <f t="shared" si="127"/>
        <v>8.7499999999999994E-2</v>
      </c>
      <c r="Y129" s="32">
        <f t="shared" si="127"/>
        <v>8.7499999999999994E-2</v>
      </c>
      <c r="Z129" s="212">
        <v>8.7499999999999994E-2</v>
      </c>
      <c r="AA129" s="32">
        <f t="shared" si="129"/>
        <v>8.7499999999999994E-2</v>
      </c>
      <c r="AB129" s="211">
        <f t="shared" ref="AB129:AJ129" si="139">AA129</f>
        <v>8.7499999999999994E-2</v>
      </c>
      <c r="AC129" s="211">
        <f t="shared" si="139"/>
        <v>8.7499999999999994E-2</v>
      </c>
      <c r="AD129" s="211">
        <f t="shared" si="139"/>
        <v>8.7499999999999994E-2</v>
      </c>
      <c r="AE129" s="212">
        <f t="shared" si="139"/>
        <v>8.7499999999999994E-2</v>
      </c>
      <c r="AF129" s="211">
        <f t="shared" si="139"/>
        <v>8.7499999999999994E-2</v>
      </c>
      <c r="AG129" s="211">
        <f t="shared" si="139"/>
        <v>8.7499999999999994E-2</v>
      </c>
      <c r="AH129" s="211">
        <f t="shared" si="139"/>
        <v>8.7499999999999994E-2</v>
      </c>
      <c r="AI129" s="211">
        <f t="shared" si="139"/>
        <v>8.7499999999999994E-2</v>
      </c>
      <c r="AJ129" s="212">
        <f t="shared" si="139"/>
        <v>8.7499999999999994E-2</v>
      </c>
      <c r="AK129" s="211">
        <f t="shared" si="131"/>
        <v>8.7499999999999994E-2</v>
      </c>
      <c r="AL129" s="211">
        <f t="shared" si="132"/>
        <v>8.7499999999999994E-2</v>
      </c>
      <c r="AM129" s="211">
        <f t="shared" si="133"/>
        <v>8.7499999999999994E-2</v>
      </c>
      <c r="AN129" s="211">
        <f t="shared" si="134"/>
        <v>8.7499999999999994E-2</v>
      </c>
      <c r="AO129" s="212">
        <f t="shared" si="134"/>
        <v>8.7499999999999994E-2</v>
      </c>
      <c r="AP129" s="211">
        <f t="shared" si="104"/>
        <v>8.7499999999999994E-2</v>
      </c>
      <c r="AQ129" s="211">
        <f t="shared" si="105"/>
        <v>8.7499999999999994E-2</v>
      </c>
      <c r="AR129" s="211">
        <f t="shared" si="106"/>
        <v>8.7499999999999994E-2</v>
      </c>
      <c r="AS129" s="211">
        <f t="shared" si="107"/>
        <v>8.7499999999999994E-2</v>
      </c>
      <c r="AT129" s="212">
        <f t="shared" si="123"/>
        <v>8.7499999999999994E-2</v>
      </c>
      <c r="AU129" s="211">
        <f t="shared" si="117"/>
        <v>8.7499999999999994E-2</v>
      </c>
      <c r="AV129" s="211">
        <f t="shared" si="118"/>
        <v>8.7499999999999994E-2</v>
      </c>
      <c r="AW129" s="211">
        <f t="shared" si="119"/>
        <v>8.7499999999999994E-2</v>
      </c>
      <c r="AX129" s="211">
        <f t="shared" si="120"/>
        <v>8.7499999999999994E-2</v>
      </c>
      <c r="AY129" s="212">
        <f t="shared" si="121"/>
        <v>8.7499999999999994E-2</v>
      </c>
      <c r="AZ129" s="211">
        <f t="shared" si="115"/>
        <v>8.7499999999999994E-2</v>
      </c>
      <c r="BA129" s="211">
        <f t="shared" si="94"/>
        <v>8.7499999999999994E-2</v>
      </c>
      <c r="BB129" s="211">
        <f t="shared" si="95"/>
        <v>8.7499999999999994E-2</v>
      </c>
      <c r="BC129" s="211">
        <f t="shared" si="96"/>
        <v>8.7499999999999994E-2</v>
      </c>
      <c r="BD129" s="212">
        <f t="shared" si="97"/>
        <v>8.7499999999999994E-2</v>
      </c>
      <c r="BE129" s="211">
        <f t="shared" si="98"/>
        <v>8.7499999999999994E-2</v>
      </c>
      <c r="BF129" s="211">
        <f t="shared" si="99"/>
        <v>8.7499999999999994E-2</v>
      </c>
      <c r="BG129" s="211">
        <f t="shared" si="100"/>
        <v>8.7499999999999994E-2</v>
      </c>
      <c r="BH129" s="211">
        <f t="shared" si="101"/>
        <v>8.7499999999999994E-2</v>
      </c>
      <c r="BI129" s="212">
        <f t="shared" si="102"/>
        <v>8.7499999999999994E-2</v>
      </c>
    </row>
    <row r="130" spans="1:61" s="26" customFormat="1">
      <c r="A130" s="3" t="s">
        <v>403</v>
      </c>
      <c r="B130" s="211"/>
      <c r="C130" s="211"/>
      <c r="D130" s="211"/>
      <c r="E130" s="32"/>
      <c r="F130" s="212"/>
      <c r="G130" s="211"/>
      <c r="H130" s="211"/>
      <c r="I130" s="211"/>
      <c r="J130" s="32"/>
      <c r="K130" s="212"/>
      <c r="L130" s="211"/>
      <c r="M130" s="211"/>
      <c r="N130" s="211"/>
      <c r="O130" s="32"/>
      <c r="P130" s="212">
        <v>1.985E-2</v>
      </c>
      <c r="Q130" s="32">
        <f t="shared" si="126"/>
        <v>1.985E-2</v>
      </c>
      <c r="R130" s="32">
        <f t="shared" si="126"/>
        <v>1.985E-2</v>
      </c>
      <c r="S130" s="32">
        <f t="shared" si="126"/>
        <v>1.985E-2</v>
      </c>
      <c r="T130" s="32">
        <f t="shared" si="126"/>
        <v>1.985E-2</v>
      </c>
      <c r="U130" s="212">
        <v>1.985E-2</v>
      </c>
      <c r="V130" s="32">
        <f t="shared" si="127"/>
        <v>1.985E-2</v>
      </c>
      <c r="W130" s="32">
        <f t="shared" si="127"/>
        <v>1.985E-2</v>
      </c>
      <c r="X130" s="32">
        <f t="shared" si="127"/>
        <v>1.985E-2</v>
      </c>
      <c r="Y130" s="32">
        <f t="shared" si="127"/>
        <v>1.985E-2</v>
      </c>
      <c r="Z130" s="212">
        <v>1.985E-2</v>
      </c>
      <c r="AA130" s="211">
        <f>AA137+(AVERAGE(0.75%,1.25%))</f>
        <v>2.5336666666666667E-2</v>
      </c>
      <c r="AB130" s="211">
        <f t="shared" ref="AB130:AJ130" si="140">AB137+(AVERAGE(0.75%,1.25%))</f>
        <v>1.6058866666666664E-2</v>
      </c>
      <c r="AC130" s="211">
        <f t="shared" si="140"/>
        <v>1.6058866666666664E-2</v>
      </c>
      <c r="AD130" s="211">
        <f t="shared" si="140"/>
        <v>1.6058866666666664E-2</v>
      </c>
      <c r="AE130" s="212">
        <f t="shared" si="140"/>
        <v>1.8378316666666665E-2</v>
      </c>
      <c r="AF130" s="211">
        <f t="shared" si="140"/>
        <v>1.8378316666666665E-2</v>
      </c>
      <c r="AG130" s="211">
        <f t="shared" si="140"/>
        <v>1.8378316666666665E-2</v>
      </c>
      <c r="AH130" s="211">
        <f t="shared" si="140"/>
        <v>1.8378316666666665E-2</v>
      </c>
      <c r="AI130" s="211">
        <f t="shared" si="140"/>
        <v>1.8378316666666665E-2</v>
      </c>
      <c r="AJ130" s="212">
        <f t="shared" si="140"/>
        <v>1.8378316666666665E-2</v>
      </c>
      <c r="AK130" s="211">
        <f t="shared" ref="AK130:AT130" si="141">AK137+(AVERAGE(0.75%,1.25%))</f>
        <v>1.8378316666666665E-2</v>
      </c>
      <c r="AL130" s="211">
        <f t="shared" si="141"/>
        <v>1.8378316666666665E-2</v>
      </c>
      <c r="AM130" s="211">
        <f t="shared" si="141"/>
        <v>1.8378316666666665E-2</v>
      </c>
      <c r="AN130" s="211">
        <f t="shared" si="141"/>
        <v>1.8378316666666665E-2</v>
      </c>
      <c r="AO130" s="212">
        <f t="shared" si="141"/>
        <v>1.8378316666666665E-2</v>
      </c>
      <c r="AP130" s="211">
        <f t="shared" si="141"/>
        <v>1.8378316666666665E-2</v>
      </c>
      <c r="AQ130" s="211">
        <f t="shared" si="141"/>
        <v>1.8378316666666665E-2</v>
      </c>
      <c r="AR130" s="211">
        <f t="shared" si="141"/>
        <v>6.3E-2</v>
      </c>
      <c r="AS130" s="211">
        <f t="shared" si="141"/>
        <v>6.3E-2</v>
      </c>
      <c r="AT130" s="212">
        <f t="shared" si="141"/>
        <v>4.0689158333333336E-2</v>
      </c>
      <c r="AU130" s="211">
        <f t="shared" si="117"/>
        <v>4.0689158333333336E-2</v>
      </c>
      <c r="AV130" s="211">
        <f t="shared" si="118"/>
        <v>4.0689158333333336E-2</v>
      </c>
      <c r="AW130" s="211">
        <f t="shared" si="119"/>
        <v>4.0689158333333336E-2</v>
      </c>
      <c r="AX130" s="211">
        <f t="shared" si="120"/>
        <v>4.0689158333333336E-2</v>
      </c>
      <c r="AY130" s="212">
        <f t="shared" si="121"/>
        <v>4.0689158333333336E-2</v>
      </c>
      <c r="AZ130" s="211">
        <f t="shared" si="115"/>
        <v>4.0689158333333336E-2</v>
      </c>
      <c r="BA130" s="211">
        <f t="shared" si="94"/>
        <v>4.0689158333333336E-2</v>
      </c>
      <c r="BB130" s="211">
        <f t="shared" si="95"/>
        <v>4.0689158333333336E-2</v>
      </c>
      <c r="BC130" s="211">
        <f t="shared" si="96"/>
        <v>4.0689158333333336E-2</v>
      </c>
      <c r="BD130" s="212">
        <f t="shared" si="97"/>
        <v>4.0689158333333336E-2</v>
      </c>
      <c r="BE130" s="211">
        <f t="shared" si="98"/>
        <v>4.0689158333333336E-2</v>
      </c>
      <c r="BF130" s="211">
        <f t="shared" si="99"/>
        <v>4.0689158333333336E-2</v>
      </c>
      <c r="BG130" s="211">
        <f t="shared" si="100"/>
        <v>4.0689158333333336E-2</v>
      </c>
      <c r="BH130" s="211">
        <f t="shared" si="101"/>
        <v>4.0689158333333336E-2</v>
      </c>
      <c r="BI130" s="212">
        <f t="shared" si="102"/>
        <v>4.0689158333333336E-2</v>
      </c>
    </row>
    <row r="131" spans="1:61" s="26" customFormat="1">
      <c r="A131" s="3" t="s">
        <v>228</v>
      </c>
      <c r="B131" s="211"/>
      <c r="C131" s="211"/>
      <c r="D131" s="211"/>
      <c r="E131" s="32"/>
      <c r="F131" s="212"/>
      <c r="G131" s="211"/>
      <c r="H131" s="211"/>
      <c r="I131" s="211"/>
      <c r="J131" s="32"/>
      <c r="K131" s="212"/>
      <c r="L131" s="211"/>
      <c r="M131" s="211"/>
      <c r="N131" s="211"/>
      <c r="O131" s="32"/>
      <c r="P131" s="212">
        <v>0.02</v>
      </c>
      <c r="Q131" s="32">
        <f t="shared" si="126"/>
        <v>0.02</v>
      </c>
      <c r="R131" s="32">
        <f t="shared" si="126"/>
        <v>0.02</v>
      </c>
      <c r="S131" s="32">
        <f t="shared" si="126"/>
        <v>0.02</v>
      </c>
      <c r="T131" s="32">
        <f t="shared" si="126"/>
        <v>0.02</v>
      </c>
      <c r="U131" s="212">
        <v>0.02</v>
      </c>
      <c r="V131" s="32">
        <f t="shared" si="127"/>
        <v>0.02</v>
      </c>
      <c r="W131" s="32">
        <f t="shared" si="127"/>
        <v>0.02</v>
      </c>
      <c r="X131" s="32">
        <f t="shared" si="127"/>
        <v>0.02</v>
      </c>
      <c r="Y131" s="32">
        <f t="shared" si="127"/>
        <v>0.02</v>
      </c>
      <c r="Z131" s="212">
        <v>0.02</v>
      </c>
      <c r="AA131" s="32">
        <f t="shared" ref="AA131:AJ131" si="142">Z131</f>
        <v>0.02</v>
      </c>
      <c r="AB131" s="211">
        <f t="shared" si="142"/>
        <v>0.02</v>
      </c>
      <c r="AC131" s="211">
        <f t="shared" si="142"/>
        <v>0.02</v>
      </c>
      <c r="AD131" s="211">
        <f t="shared" si="142"/>
        <v>0.02</v>
      </c>
      <c r="AE131" s="212">
        <f t="shared" si="142"/>
        <v>0.02</v>
      </c>
      <c r="AF131" s="211">
        <f t="shared" si="142"/>
        <v>0.02</v>
      </c>
      <c r="AG131" s="211">
        <f t="shared" si="142"/>
        <v>0.02</v>
      </c>
      <c r="AH131" s="211">
        <f t="shared" si="142"/>
        <v>0.02</v>
      </c>
      <c r="AI131" s="211">
        <f t="shared" si="142"/>
        <v>0.02</v>
      </c>
      <c r="AJ131" s="212">
        <f t="shared" si="142"/>
        <v>0.02</v>
      </c>
      <c r="AK131" s="211">
        <f t="shared" ref="AK131:AM134" si="143">AJ131</f>
        <v>0.02</v>
      </c>
      <c r="AL131" s="211">
        <f t="shared" si="143"/>
        <v>0.02</v>
      </c>
      <c r="AM131" s="211">
        <f t="shared" si="143"/>
        <v>0.02</v>
      </c>
      <c r="AN131" s="211">
        <f t="shared" ref="AN131:AO135" si="144">AM131</f>
        <v>0.02</v>
      </c>
      <c r="AO131" s="212">
        <f t="shared" si="144"/>
        <v>0.02</v>
      </c>
      <c r="AP131" s="211">
        <f t="shared" ref="AP131:AP134" si="145">AO131</f>
        <v>0.02</v>
      </c>
      <c r="AQ131" s="211">
        <f t="shared" ref="AQ131:AQ134" si="146">AP131</f>
        <v>0.02</v>
      </c>
      <c r="AR131" s="211">
        <f t="shared" ref="AR131:AR134" si="147">AQ131</f>
        <v>0.02</v>
      </c>
      <c r="AS131" s="211">
        <f t="shared" ref="AS131:AS134" si="148">AR131</f>
        <v>0.02</v>
      </c>
      <c r="AT131" s="212">
        <f t="shared" ref="AT131:AT135" si="149">AS131</f>
        <v>0.02</v>
      </c>
      <c r="AU131" s="211">
        <f t="shared" si="117"/>
        <v>0.02</v>
      </c>
      <c r="AV131" s="211">
        <f t="shared" si="118"/>
        <v>0.02</v>
      </c>
      <c r="AW131" s="211">
        <f t="shared" si="119"/>
        <v>0.02</v>
      </c>
      <c r="AX131" s="211">
        <f t="shared" si="120"/>
        <v>0.02</v>
      </c>
      <c r="AY131" s="212">
        <f t="shared" si="121"/>
        <v>0.02</v>
      </c>
      <c r="AZ131" s="211">
        <f t="shared" si="115"/>
        <v>0.02</v>
      </c>
      <c r="BA131" s="211">
        <f t="shared" si="94"/>
        <v>0.02</v>
      </c>
      <c r="BB131" s="211">
        <f t="shared" si="95"/>
        <v>0.02</v>
      </c>
      <c r="BC131" s="211">
        <f t="shared" si="96"/>
        <v>0.02</v>
      </c>
      <c r="BD131" s="212">
        <f t="shared" si="97"/>
        <v>0.02</v>
      </c>
      <c r="BE131" s="211">
        <f t="shared" si="98"/>
        <v>0.02</v>
      </c>
      <c r="BF131" s="211">
        <f t="shared" si="99"/>
        <v>0.02</v>
      </c>
      <c r="BG131" s="211">
        <f t="shared" si="100"/>
        <v>0.02</v>
      </c>
      <c r="BH131" s="211">
        <f t="shared" si="101"/>
        <v>0.02</v>
      </c>
      <c r="BI131" s="212">
        <f t="shared" si="102"/>
        <v>0.02</v>
      </c>
    </row>
    <row r="132" spans="1:61" s="26" customFormat="1">
      <c r="A132" s="3" t="s">
        <v>404</v>
      </c>
      <c r="B132" s="211"/>
      <c r="C132" s="211"/>
      <c r="D132" s="211"/>
      <c r="E132" s="32"/>
      <c r="F132" s="212"/>
      <c r="G132" s="211"/>
      <c r="H132" s="211"/>
      <c r="I132" s="211"/>
      <c r="J132" s="32"/>
      <c r="K132" s="212"/>
      <c r="L132" s="211"/>
      <c r="M132" s="211"/>
      <c r="N132" s="211"/>
      <c r="O132" s="32"/>
      <c r="P132" s="212">
        <f>AVERAGE(6.98%,7.38%)</f>
        <v>7.1800000000000003E-2</v>
      </c>
      <c r="Q132" s="32">
        <f t="shared" si="126"/>
        <v>6.9800000000000001E-2</v>
      </c>
      <c r="R132" s="32">
        <f t="shared" si="126"/>
        <v>6.9800000000000001E-2</v>
      </c>
      <c r="S132" s="32">
        <f t="shared" si="126"/>
        <v>6.9800000000000001E-2</v>
      </c>
      <c r="T132" s="32">
        <f t="shared" si="126"/>
        <v>6.9800000000000001E-2</v>
      </c>
      <c r="U132" s="212">
        <v>6.9800000000000001E-2</v>
      </c>
      <c r="V132" s="32">
        <f t="shared" si="127"/>
        <v>6.9800000000000001E-2</v>
      </c>
      <c r="W132" s="32">
        <f t="shared" si="127"/>
        <v>6.9800000000000001E-2</v>
      </c>
      <c r="X132" s="32">
        <f t="shared" si="127"/>
        <v>6.9800000000000001E-2</v>
      </c>
      <c r="Y132" s="32">
        <f t="shared" si="127"/>
        <v>6.9800000000000001E-2</v>
      </c>
      <c r="Z132" s="212">
        <v>6.9800000000000001E-2</v>
      </c>
      <c r="AA132" s="32">
        <f t="shared" ref="AA132:AJ132" si="150">Z132</f>
        <v>6.9800000000000001E-2</v>
      </c>
      <c r="AB132" s="211">
        <f t="shared" si="150"/>
        <v>6.9800000000000001E-2</v>
      </c>
      <c r="AC132" s="211">
        <f t="shared" si="150"/>
        <v>6.9800000000000001E-2</v>
      </c>
      <c r="AD132" s="211">
        <f t="shared" si="150"/>
        <v>6.9800000000000001E-2</v>
      </c>
      <c r="AE132" s="212">
        <f t="shared" si="150"/>
        <v>6.9800000000000001E-2</v>
      </c>
      <c r="AF132" s="211">
        <f t="shared" si="150"/>
        <v>6.9800000000000001E-2</v>
      </c>
      <c r="AG132" s="211">
        <f t="shared" si="150"/>
        <v>6.9800000000000001E-2</v>
      </c>
      <c r="AH132" s="211">
        <f t="shared" si="150"/>
        <v>6.9800000000000001E-2</v>
      </c>
      <c r="AI132" s="211">
        <f t="shared" si="150"/>
        <v>6.9800000000000001E-2</v>
      </c>
      <c r="AJ132" s="212">
        <f t="shared" si="150"/>
        <v>6.9800000000000001E-2</v>
      </c>
      <c r="AK132" s="211">
        <f t="shared" si="143"/>
        <v>6.9800000000000001E-2</v>
      </c>
      <c r="AL132" s="211">
        <f t="shared" si="143"/>
        <v>6.9800000000000001E-2</v>
      </c>
      <c r="AM132" s="211">
        <f t="shared" si="143"/>
        <v>6.9800000000000001E-2</v>
      </c>
      <c r="AN132" s="211">
        <f t="shared" si="144"/>
        <v>6.9800000000000001E-2</v>
      </c>
      <c r="AO132" s="212">
        <f t="shared" si="144"/>
        <v>6.9800000000000001E-2</v>
      </c>
      <c r="AP132" s="211">
        <f t="shared" si="145"/>
        <v>6.9800000000000001E-2</v>
      </c>
      <c r="AQ132" s="211">
        <f t="shared" si="146"/>
        <v>6.9800000000000001E-2</v>
      </c>
      <c r="AR132" s="211">
        <f t="shared" si="147"/>
        <v>6.9800000000000001E-2</v>
      </c>
      <c r="AS132" s="211">
        <f t="shared" si="148"/>
        <v>6.9800000000000001E-2</v>
      </c>
      <c r="AT132" s="212">
        <f t="shared" si="149"/>
        <v>6.9800000000000001E-2</v>
      </c>
      <c r="AU132" s="211">
        <f t="shared" si="117"/>
        <v>6.9800000000000001E-2</v>
      </c>
      <c r="AV132" s="211">
        <f t="shared" si="118"/>
        <v>6.9800000000000001E-2</v>
      </c>
      <c r="AW132" s="211">
        <f t="shared" si="119"/>
        <v>6.9800000000000001E-2</v>
      </c>
      <c r="AX132" s="211">
        <f t="shared" si="120"/>
        <v>6.9800000000000001E-2</v>
      </c>
      <c r="AY132" s="212">
        <f t="shared" si="121"/>
        <v>6.9800000000000001E-2</v>
      </c>
      <c r="AZ132" s="211">
        <f t="shared" si="115"/>
        <v>6.9800000000000001E-2</v>
      </c>
      <c r="BA132" s="211">
        <f t="shared" si="94"/>
        <v>6.9800000000000001E-2</v>
      </c>
      <c r="BB132" s="211">
        <f t="shared" si="95"/>
        <v>6.9800000000000001E-2</v>
      </c>
      <c r="BC132" s="211">
        <f t="shared" si="96"/>
        <v>6.9800000000000001E-2</v>
      </c>
      <c r="BD132" s="212">
        <f t="shared" si="97"/>
        <v>6.9800000000000001E-2</v>
      </c>
      <c r="BE132" s="211">
        <f t="shared" si="98"/>
        <v>6.9800000000000001E-2</v>
      </c>
      <c r="BF132" s="211">
        <f t="shared" si="99"/>
        <v>6.9800000000000001E-2</v>
      </c>
      <c r="BG132" s="211">
        <f t="shared" si="100"/>
        <v>6.9800000000000001E-2</v>
      </c>
      <c r="BH132" s="211">
        <f t="shared" si="101"/>
        <v>6.9800000000000001E-2</v>
      </c>
      <c r="BI132" s="212">
        <f t="shared" si="102"/>
        <v>6.9800000000000001E-2</v>
      </c>
    </row>
    <row r="133" spans="1:61" s="26" customFormat="1">
      <c r="A133" s="3" t="s">
        <v>405</v>
      </c>
      <c r="B133" s="211"/>
      <c r="C133" s="211"/>
      <c r="D133" s="211"/>
      <c r="E133" s="32"/>
      <c r="F133" s="212"/>
      <c r="G133" s="211"/>
      <c r="H133" s="211"/>
      <c r="I133" s="211"/>
      <c r="J133" s="32"/>
      <c r="K133" s="212"/>
      <c r="L133" s="211"/>
      <c r="M133" s="211"/>
      <c r="N133" s="211"/>
      <c r="O133" s="32"/>
      <c r="P133" s="212">
        <v>4.4999999999999998E-2</v>
      </c>
      <c r="Q133" s="32">
        <f t="shared" si="126"/>
        <v>4.4999999999999998E-2</v>
      </c>
      <c r="R133" s="32">
        <f t="shared" si="126"/>
        <v>4.4999999999999998E-2</v>
      </c>
      <c r="S133" s="32">
        <f t="shared" si="126"/>
        <v>4.4999999999999998E-2</v>
      </c>
      <c r="T133" s="32">
        <f t="shared" si="126"/>
        <v>4.4999999999999998E-2</v>
      </c>
      <c r="U133" s="212">
        <v>4.4999999999999998E-2</v>
      </c>
      <c r="V133" s="32">
        <f t="shared" si="127"/>
        <v>4.4999999999999998E-2</v>
      </c>
      <c r="W133" s="32">
        <f t="shared" si="127"/>
        <v>4.4999999999999998E-2</v>
      </c>
      <c r="X133" s="32">
        <f t="shared" si="127"/>
        <v>4.4999999999999998E-2</v>
      </c>
      <c r="Y133" s="32">
        <f t="shared" si="127"/>
        <v>4.4999999999999998E-2</v>
      </c>
      <c r="Z133" s="212">
        <v>4.4999999999999998E-2</v>
      </c>
      <c r="AA133" s="32">
        <f t="shared" ref="AA133:AJ133" si="151">Z133</f>
        <v>4.4999999999999998E-2</v>
      </c>
      <c r="AB133" s="211">
        <f t="shared" si="151"/>
        <v>4.4999999999999998E-2</v>
      </c>
      <c r="AC133" s="211">
        <f t="shared" si="151"/>
        <v>4.4999999999999998E-2</v>
      </c>
      <c r="AD133" s="211">
        <f t="shared" si="151"/>
        <v>4.4999999999999998E-2</v>
      </c>
      <c r="AE133" s="212">
        <f t="shared" si="151"/>
        <v>4.4999999999999998E-2</v>
      </c>
      <c r="AF133" s="211">
        <f t="shared" si="151"/>
        <v>4.4999999999999998E-2</v>
      </c>
      <c r="AG133" s="211">
        <f t="shared" si="151"/>
        <v>4.4999999999999998E-2</v>
      </c>
      <c r="AH133" s="211">
        <f t="shared" si="151"/>
        <v>4.4999999999999998E-2</v>
      </c>
      <c r="AI133" s="211">
        <f t="shared" si="151"/>
        <v>4.4999999999999998E-2</v>
      </c>
      <c r="AJ133" s="212">
        <f t="shared" si="151"/>
        <v>4.4999999999999998E-2</v>
      </c>
      <c r="AK133" s="211">
        <f t="shared" si="143"/>
        <v>4.4999999999999998E-2</v>
      </c>
      <c r="AL133" s="211">
        <f t="shared" si="143"/>
        <v>4.4999999999999998E-2</v>
      </c>
      <c r="AM133" s="211">
        <f t="shared" si="143"/>
        <v>4.4999999999999998E-2</v>
      </c>
      <c r="AN133" s="211">
        <f t="shared" si="144"/>
        <v>4.4999999999999998E-2</v>
      </c>
      <c r="AO133" s="212">
        <f t="shared" si="144"/>
        <v>4.4999999999999998E-2</v>
      </c>
      <c r="AP133" s="211">
        <f t="shared" si="145"/>
        <v>4.4999999999999998E-2</v>
      </c>
      <c r="AQ133" s="211">
        <f t="shared" si="146"/>
        <v>4.4999999999999998E-2</v>
      </c>
      <c r="AR133" s="211">
        <f t="shared" si="147"/>
        <v>4.4999999999999998E-2</v>
      </c>
      <c r="AS133" s="211">
        <f t="shared" si="148"/>
        <v>4.4999999999999998E-2</v>
      </c>
      <c r="AT133" s="212">
        <f t="shared" si="149"/>
        <v>4.4999999999999998E-2</v>
      </c>
      <c r="AU133" s="211">
        <f t="shared" si="117"/>
        <v>4.4999999999999998E-2</v>
      </c>
      <c r="AV133" s="211">
        <f t="shared" si="118"/>
        <v>4.4999999999999998E-2</v>
      </c>
      <c r="AW133" s="211">
        <f t="shared" si="119"/>
        <v>4.4999999999999998E-2</v>
      </c>
      <c r="AX133" s="211">
        <f t="shared" si="120"/>
        <v>4.4999999999999998E-2</v>
      </c>
      <c r="AY133" s="212">
        <f t="shared" si="121"/>
        <v>4.4999999999999998E-2</v>
      </c>
      <c r="AZ133" s="211">
        <f t="shared" si="115"/>
        <v>4.4999999999999998E-2</v>
      </c>
      <c r="BA133" s="211">
        <f t="shared" si="94"/>
        <v>4.4999999999999998E-2</v>
      </c>
      <c r="BB133" s="211">
        <f t="shared" si="95"/>
        <v>4.4999999999999998E-2</v>
      </c>
      <c r="BC133" s="211">
        <f t="shared" si="96"/>
        <v>4.4999999999999998E-2</v>
      </c>
      <c r="BD133" s="212">
        <f t="shared" si="97"/>
        <v>4.4999999999999998E-2</v>
      </c>
      <c r="BE133" s="211">
        <f t="shared" si="98"/>
        <v>4.4999999999999998E-2</v>
      </c>
      <c r="BF133" s="211">
        <f t="shared" si="99"/>
        <v>4.4999999999999998E-2</v>
      </c>
      <c r="BG133" s="211">
        <f t="shared" si="100"/>
        <v>4.4999999999999998E-2</v>
      </c>
      <c r="BH133" s="211">
        <f t="shared" si="101"/>
        <v>4.4999999999999998E-2</v>
      </c>
      <c r="BI133" s="212">
        <f t="shared" si="102"/>
        <v>4.4999999999999998E-2</v>
      </c>
    </row>
    <row r="134" spans="1:61" s="26" customFormat="1">
      <c r="A134" s="3" t="s">
        <v>226</v>
      </c>
      <c r="B134" s="211"/>
      <c r="C134" s="211"/>
      <c r="D134" s="211"/>
      <c r="E134" s="32"/>
      <c r="F134" s="212"/>
      <c r="G134" s="211"/>
      <c r="H134" s="211"/>
      <c r="I134" s="211"/>
      <c r="J134" s="32"/>
      <c r="K134" s="212"/>
      <c r="L134" s="211"/>
      <c r="M134" s="211"/>
      <c r="N134" s="211"/>
      <c r="O134" s="32"/>
      <c r="P134" s="212">
        <v>0.02</v>
      </c>
      <c r="Q134" s="32">
        <f t="shared" si="126"/>
        <v>0.02</v>
      </c>
      <c r="R134" s="32">
        <f t="shared" si="126"/>
        <v>0.02</v>
      </c>
      <c r="S134" s="32">
        <f t="shared" si="126"/>
        <v>0.02</v>
      </c>
      <c r="T134" s="32">
        <f t="shared" si="126"/>
        <v>0.02</v>
      </c>
      <c r="U134" s="212">
        <v>0.02</v>
      </c>
      <c r="V134" s="32">
        <f t="shared" si="127"/>
        <v>0.02</v>
      </c>
      <c r="W134" s="32">
        <f t="shared" si="127"/>
        <v>0.02</v>
      </c>
      <c r="X134" s="32">
        <f t="shared" si="127"/>
        <v>0.02</v>
      </c>
      <c r="Y134" s="32">
        <f t="shared" si="127"/>
        <v>0.02</v>
      </c>
      <c r="Z134" s="212">
        <v>0.02</v>
      </c>
      <c r="AA134" s="32">
        <f t="shared" ref="AA134:AJ134" si="152">Z134</f>
        <v>0.02</v>
      </c>
      <c r="AB134" s="211">
        <f t="shared" si="152"/>
        <v>0.02</v>
      </c>
      <c r="AC134" s="211">
        <f t="shared" si="152"/>
        <v>0.02</v>
      </c>
      <c r="AD134" s="211">
        <f t="shared" si="152"/>
        <v>0.02</v>
      </c>
      <c r="AE134" s="212">
        <f t="shared" si="152"/>
        <v>0.02</v>
      </c>
      <c r="AF134" s="211">
        <f t="shared" si="152"/>
        <v>0.02</v>
      </c>
      <c r="AG134" s="211">
        <f t="shared" si="152"/>
        <v>0.02</v>
      </c>
      <c r="AH134" s="211">
        <f t="shared" si="152"/>
        <v>0.02</v>
      </c>
      <c r="AI134" s="211">
        <f t="shared" si="152"/>
        <v>0.02</v>
      </c>
      <c r="AJ134" s="212">
        <f t="shared" si="152"/>
        <v>0.02</v>
      </c>
      <c r="AK134" s="211">
        <f t="shared" si="143"/>
        <v>0.02</v>
      </c>
      <c r="AL134" s="211">
        <f t="shared" si="143"/>
        <v>0.02</v>
      </c>
      <c r="AM134" s="211">
        <f t="shared" si="143"/>
        <v>0.02</v>
      </c>
      <c r="AN134" s="211">
        <f t="shared" si="144"/>
        <v>0.02</v>
      </c>
      <c r="AO134" s="212">
        <f t="shared" si="144"/>
        <v>0.02</v>
      </c>
      <c r="AP134" s="211">
        <f t="shared" si="145"/>
        <v>0.02</v>
      </c>
      <c r="AQ134" s="211">
        <f t="shared" si="146"/>
        <v>0.02</v>
      </c>
      <c r="AR134" s="211">
        <f t="shared" si="147"/>
        <v>0.02</v>
      </c>
      <c r="AS134" s="211">
        <f t="shared" si="148"/>
        <v>0.02</v>
      </c>
      <c r="AT134" s="212">
        <f t="shared" si="149"/>
        <v>0.02</v>
      </c>
      <c r="AU134" s="211">
        <f t="shared" si="117"/>
        <v>0.02</v>
      </c>
      <c r="AV134" s="211">
        <f t="shared" si="118"/>
        <v>0.02</v>
      </c>
      <c r="AW134" s="211">
        <f t="shared" si="119"/>
        <v>0.02</v>
      </c>
      <c r="AX134" s="211">
        <f t="shared" si="120"/>
        <v>0.02</v>
      </c>
      <c r="AY134" s="212">
        <f t="shared" si="121"/>
        <v>0.02</v>
      </c>
      <c r="AZ134" s="211">
        <f t="shared" si="115"/>
        <v>0.02</v>
      </c>
      <c r="BA134" s="211">
        <f t="shared" si="94"/>
        <v>0.02</v>
      </c>
      <c r="BB134" s="211">
        <f t="shared" si="95"/>
        <v>0.02</v>
      </c>
      <c r="BC134" s="211">
        <f t="shared" si="96"/>
        <v>0.02</v>
      </c>
      <c r="BD134" s="212">
        <f t="shared" si="97"/>
        <v>0.02</v>
      </c>
      <c r="BE134" s="211">
        <f t="shared" si="98"/>
        <v>0.02</v>
      </c>
      <c r="BF134" s="211">
        <f t="shared" si="99"/>
        <v>0.02</v>
      </c>
      <c r="BG134" s="211">
        <f t="shared" si="100"/>
        <v>0.02</v>
      </c>
      <c r="BH134" s="211">
        <f t="shared" si="101"/>
        <v>0.02</v>
      </c>
      <c r="BI134" s="212">
        <f t="shared" si="102"/>
        <v>0.02</v>
      </c>
    </row>
    <row r="135" spans="1:61" s="26" customFormat="1">
      <c r="A135" s="3" t="s">
        <v>227</v>
      </c>
      <c r="B135" s="211"/>
      <c r="C135" s="211"/>
      <c r="D135" s="211"/>
      <c r="E135" s="32"/>
      <c r="F135" s="212"/>
      <c r="G135" s="211"/>
      <c r="H135" s="211"/>
      <c r="I135" s="211"/>
      <c r="J135" s="32"/>
      <c r="K135" s="212"/>
      <c r="L135" s="211"/>
      <c r="M135" s="211"/>
      <c r="N135" s="211"/>
      <c r="O135" s="32"/>
      <c r="P135" s="212">
        <v>0</v>
      </c>
      <c r="Q135" s="32">
        <f t="shared" si="126"/>
        <v>0</v>
      </c>
      <c r="R135" s="32">
        <f t="shared" si="126"/>
        <v>0</v>
      </c>
      <c r="S135" s="32">
        <f t="shared" si="126"/>
        <v>0</v>
      </c>
      <c r="T135" s="32">
        <f t="shared" si="126"/>
        <v>0</v>
      </c>
      <c r="U135" s="212">
        <v>0</v>
      </c>
      <c r="V135" s="32">
        <f t="shared" si="127"/>
        <v>0</v>
      </c>
      <c r="W135" s="32">
        <f t="shared" si="127"/>
        <v>0</v>
      </c>
      <c r="X135" s="32">
        <f t="shared" si="127"/>
        <v>0</v>
      </c>
      <c r="Y135" s="32">
        <f t="shared" si="127"/>
        <v>0</v>
      </c>
      <c r="Z135" s="212">
        <v>0</v>
      </c>
      <c r="AA135" s="32">
        <f t="shared" ref="AA135:AJ135" si="153">Z135</f>
        <v>0</v>
      </c>
      <c r="AB135" s="400">
        <v>5.5E-2</v>
      </c>
      <c r="AC135" s="211">
        <f t="shared" si="153"/>
        <v>5.5E-2</v>
      </c>
      <c r="AD135" s="211">
        <f t="shared" si="153"/>
        <v>5.5E-2</v>
      </c>
      <c r="AE135" s="212">
        <f t="shared" si="153"/>
        <v>5.5E-2</v>
      </c>
      <c r="AF135" s="211">
        <f t="shared" si="153"/>
        <v>5.5E-2</v>
      </c>
      <c r="AG135" s="211">
        <f t="shared" si="153"/>
        <v>5.5E-2</v>
      </c>
      <c r="AH135" s="211">
        <f t="shared" si="153"/>
        <v>5.5E-2</v>
      </c>
      <c r="AI135" s="211">
        <f t="shared" si="153"/>
        <v>5.5E-2</v>
      </c>
      <c r="AJ135" s="212">
        <f t="shared" si="153"/>
        <v>5.5E-2</v>
      </c>
      <c r="AK135" s="211">
        <v>5.0500000000000003E-2</v>
      </c>
      <c r="AL135" s="211">
        <f>AK135</f>
        <v>5.0500000000000003E-2</v>
      </c>
      <c r="AM135" s="211">
        <f>AL135</f>
        <v>5.0500000000000003E-2</v>
      </c>
      <c r="AN135" s="211">
        <f t="shared" si="144"/>
        <v>5.0500000000000003E-2</v>
      </c>
      <c r="AO135" s="212">
        <f t="shared" si="144"/>
        <v>5.0500000000000003E-2</v>
      </c>
      <c r="AP135" s="211">
        <v>5.0500000000000003E-2</v>
      </c>
      <c r="AQ135" s="211">
        <v>5.0999999999999997E-2</v>
      </c>
      <c r="AR135" s="211">
        <v>5.0999999999999997E-2</v>
      </c>
      <c r="AS135" s="211">
        <v>5.0999999999999997E-2</v>
      </c>
      <c r="AT135" s="212">
        <f t="shared" si="149"/>
        <v>5.0999999999999997E-2</v>
      </c>
      <c r="AU135" s="211">
        <f t="shared" si="117"/>
        <v>5.0999999999999997E-2</v>
      </c>
      <c r="AV135" s="211">
        <v>6.5000000000000002E-2</v>
      </c>
      <c r="AW135" s="211">
        <f t="shared" si="119"/>
        <v>6.5000000000000002E-2</v>
      </c>
      <c r="AX135" s="211">
        <f t="shared" si="120"/>
        <v>6.5000000000000002E-2</v>
      </c>
      <c r="AY135" s="212">
        <f t="shared" si="121"/>
        <v>6.5000000000000002E-2</v>
      </c>
      <c r="AZ135" s="211">
        <f>AY135-0.0025</f>
        <v>6.25E-2</v>
      </c>
      <c r="BA135" s="211">
        <f t="shared" si="94"/>
        <v>6.25E-2</v>
      </c>
      <c r="BB135" s="211">
        <f t="shared" si="95"/>
        <v>6.25E-2</v>
      </c>
      <c r="BC135" s="211">
        <f t="shared" si="96"/>
        <v>6.25E-2</v>
      </c>
      <c r="BD135" s="212">
        <f t="shared" si="97"/>
        <v>6.25E-2</v>
      </c>
      <c r="BE135" s="211">
        <f t="shared" si="98"/>
        <v>6.25E-2</v>
      </c>
      <c r="BF135" s="211">
        <f t="shared" si="99"/>
        <v>6.25E-2</v>
      </c>
      <c r="BG135" s="211">
        <f t="shared" si="100"/>
        <v>6.25E-2</v>
      </c>
      <c r="BH135" s="211">
        <f t="shared" si="101"/>
        <v>6.25E-2</v>
      </c>
      <c r="BI135" s="212">
        <f t="shared" si="102"/>
        <v>6.25E-2</v>
      </c>
    </row>
    <row r="136" spans="1:61" s="26" customFormat="1">
      <c r="A136" s="3"/>
      <c r="B136" s="41"/>
      <c r="C136" s="41"/>
      <c r="D136" s="41"/>
      <c r="E136" s="42"/>
      <c r="F136" s="43"/>
      <c r="G136" s="41"/>
      <c r="H136" s="41"/>
      <c r="I136" s="41"/>
      <c r="J136" s="42"/>
      <c r="K136" s="43"/>
      <c r="L136" s="41"/>
      <c r="M136" s="41"/>
      <c r="N136" s="41"/>
      <c r="O136" s="42"/>
      <c r="P136" s="212"/>
      <c r="Q136" s="32"/>
      <c r="R136" s="32"/>
      <c r="S136" s="32"/>
      <c r="T136" s="32"/>
      <c r="U136" s="212"/>
      <c r="V136" s="211"/>
      <c r="W136" s="211"/>
      <c r="X136" s="211"/>
      <c r="Y136" s="211"/>
      <c r="Z136" s="212"/>
      <c r="AA136" s="32"/>
      <c r="AB136" s="32"/>
      <c r="AC136" s="32"/>
      <c r="AD136" s="32"/>
      <c r="AE136" s="214"/>
      <c r="AF136" s="32"/>
      <c r="AG136" s="32"/>
      <c r="AH136" s="32"/>
      <c r="AI136" s="32"/>
      <c r="AJ136" s="214"/>
      <c r="AK136" s="32"/>
      <c r="AL136" s="32"/>
      <c r="AM136" s="32"/>
      <c r="AN136" s="32"/>
      <c r="AO136" s="214"/>
      <c r="AP136" s="32"/>
      <c r="AQ136" s="32"/>
      <c r="AR136" s="32"/>
      <c r="AS136" s="32"/>
      <c r="AT136" s="214"/>
      <c r="AU136" s="32"/>
      <c r="AV136" s="32"/>
      <c r="AW136" s="32"/>
      <c r="AX136" s="32"/>
      <c r="AY136" s="214"/>
      <c r="AZ136" s="32"/>
      <c r="BA136" s="32"/>
      <c r="BB136" s="32"/>
      <c r="BC136" s="211"/>
      <c r="BD136" s="214"/>
      <c r="BE136" s="32"/>
      <c r="BF136" s="32"/>
      <c r="BG136" s="32"/>
      <c r="BH136" s="32"/>
      <c r="BI136" s="214"/>
    </row>
    <row r="137" spans="1:61" s="26" customFormat="1">
      <c r="A137" s="3" t="s">
        <v>408</v>
      </c>
      <c r="B137" s="41"/>
      <c r="C137" s="41"/>
      <c r="D137" s="41"/>
      <c r="E137" s="42"/>
      <c r="F137" s="43"/>
      <c r="G137" s="41"/>
      <c r="H137" s="41"/>
      <c r="I137" s="41"/>
      <c r="J137" s="42"/>
      <c r="K137" s="43"/>
      <c r="L137" s="41"/>
      <c r="M137" s="41"/>
      <c r="N137" s="41"/>
      <c r="O137" s="42"/>
      <c r="P137" s="212">
        <v>2.0490000000000001E-2</v>
      </c>
      <c r="Q137" s="211">
        <f>AVERAGE(1.732%,1.875%,2.18%)</f>
        <v>1.9289999999999998E-2</v>
      </c>
      <c r="R137" s="211">
        <f>AVERAGE(2.348%,2.336%,2.33%)</f>
        <v>2.3379999999999998E-2</v>
      </c>
      <c r="S137" s="211">
        <f>AVERAGE(2.339%,2.323%,2.349%)</f>
        <v>2.3370000000000002E-2</v>
      </c>
      <c r="T137" s="211">
        <f>AVERAGE(2.461%,2.649%,2.79%)</f>
        <v>2.6333333333333334E-2</v>
      </c>
      <c r="U137" s="214">
        <f>AVERAGE(Q137:T137)</f>
        <v>2.3093333333333334E-2</v>
      </c>
      <c r="V137" s="211">
        <f>AVERAGE(2.776%,2.677%,2.606%)</f>
        <v>2.6863333333333333E-2</v>
      </c>
      <c r="W137" s="211">
        <f>AVERAGE(2.589%,2.533%,2.398%)</f>
        <v>2.5066666666666668E-2</v>
      </c>
      <c r="X137" s="211">
        <f>AVERAGE(2.294%,2.164%,2.125%)</f>
        <v>2.1943333333333339E-2</v>
      </c>
      <c r="Y137" s="211">
        <f>AVERAGE(1.977%,1.905%,1.912%)</f>
        <v>1.9313333333333332E-2</v>
      </c>
      <c r="Z137" s="214">
        <f>AVERAGE(V137:Y137)</f>
        <v>2.329666666666667E-2</v>
      </c>
      <c r="AA137" s="211">
        <f>AVERAGE(1.82%,1.679%,1.102%)</f>
        <v>1.5336666666666667E-2</v>
      </c>
      <c r="AB137" s="211">
        <f>AVERAGE(1.1034%,0.404%,0.31026%)</f>
        <v>6.0588666666666659E-3</v>
      </c>
      <c r="AC137" s="211">
        <f>AB137</f>
        <v>6.0588666666666659E-3</v>
      </c>
      <c r="AD137" s="211">
        <f>AC137</f>
        <v>6.0588666666666659E-3</v>
      </c>
      <c r="AE137" s="214">
        <f>AVERAGE(AA137:AD137)</f>
        <v>8.3783166666666666E-3</v>
      </c>
      <c r="AF137" s="211">
        <f>AE137</f>
        <v>8.3783166666666666E-3</v>
      </c>
      <c r="AG137" s="211">
        <f>AF137</f>
        <v>8.3783166666666666E-3</v>
      </c>
      <c r="AH137" s="211">
        <f>AG137</f>
        <v>8.3783166666666666E-3</v>
      </c>
      <c r="AI137" s="211">
        <f>AH137</f>
        <v>8.3783166666666666E-3</v>
      </c>
      <c r="AJ137" s="214">
        <f>AVERAGE(AF137:AI137)</f>
        <v>8.3783166666666666E-3</v>
      </c>
      <c r="AK137" s="211">
        <f>AJ137</f>
        <v>8.3783166666666666E-3</v>
      </c>
      <c r="AL137" s="211">
        <f>AK137</f>
        <v>8.3783166666666666E-3</v>
      </c>
      <c r="AM137" s="211">
        <f>AL137</f>
        <v>8.3783166666666666E-3</v>
      </c>
      <c r="AN137" s="211">
        <f>AM137</f>
        <v>8.3783166666666666E-3</v>
      </c>
      <c r="AO137" s="214">
        <f>AVERAGE(AK137:AN137)</f>
        <v>8.3783166666666666E-3</v>
      </c>
      <c r="AP137" s="211">
        <f>AO137</f>
        <v>8.3783166666666666E-3</v>
      </c>
      <c r="AQ137" s="211">
        <f>AP137</f>
        <v>8.3783166666666666E-3</v>
      </c>
      <c r="AR137" s="211">
        <v>5.2999999999999999E-2</v>
      </c>
      <c r="AS137" s="211">
        <f>AR137</f>
        <v>5.2999999999999999E-2</v>
      </c>
      <c r="AT137" s="214">
        <f>AVERAGE(AP137:AS137)</f>
        <v>3.0689158333333334E-2</v>
      </c>
      <c r="AU137" s="211">
        <f>AT137</f>
        <v>3.0689158333333334E-2</v>
      </c>
      <c r="AV137" s="211">
        <f t="shared" ref="AV137:AX137" si="154">AU137</f>
        <v>3.0689158333333334E-2</v>
      </c>
      <c r="AW137" s="211">
        <f t="shared" si="154"/>
        <v>3.0689158333333334E-2</v>
      </c>
      <c r="AX137" s="211">
        <f t="shared" si="154"/>
        <v>3.0689158333333334E-2</v>
      </c>
      <c r="AY137" s="214">
        <f>AVERAGE(AU137:AX137)</f>
        <v>3.0689158333333334E-2</v>
      </c>
      <c r="AZ137" s="211">
        <f>AY137</f>
        <v>3.0689158333333334E-2</v>
      </c>
      <c r="BA137" s="211">
        <f t="shared" ref="BA137" si="155">AZ137</f>
        <v>3.0689158333333334E-2</v>
      </c>
      <c r="BB137" s="211">
        <f t="shared" ref="BB137" si="156">BA137</f>
        <v>3.0689158333333334E-2</v>
      </c>
      <c r="BC137" s="211">
        <f t="shared" ref="BC137" si="157">BB137</f>
        <v>3.0689158333333334E-2</v>
      </c>
      <c r="BD137" s="214">
        <f>AVERAGE(AZ137:BC137)</f>
        <v>3.0689158333333334E-2</v>
      </c>
      <c r="BE137" s="211">
        <f t="shared" ref="BE137" si="158">BD137</f>
        <v>3.0689158333333334E-2</v>
      </c>
      <c r="BF137" s="211">
        <f t="shared" ref="BF137" si="159">BE137</f>
        <v>3.0689158333333334E-2</v>
      </c>
      <c r="BG137" s="211">
        <f t="shared" ref="BG137" si="160">BF137</f>
        <v>3.0689158333333334E-2</v>
      </c>
      <c r="BH137" s="211">
        <f t="shared" ref="BH137" si="161">BG137</f>
        <v>3.0689158333333334E-2</v>
      </c>
      <c r="BI137" s="214">
        <f>AVERAGE(BE137:BH137)</f>
        <v>3.0689158333333334E-2</v>
      </c>
    </row>
    <row r="138" spans="1:61" s="26" customFormat="1">
      <c r="A138" s="3"/>
      <c r="B138" s="41"/>
      <c r="C138" s="41"/>
      <c r="D138" s="41"/>
      <c r="E138" s="42"/>
      <c r="F138" s="43"/>
      <c r="G138" s="41"/>
      <c r="H138" s="41"/>
      <c r="I138" s="41"/>
      <c r="J138" s="42"/>
      <c r="K138" s="43"/>
      <c r="L138" s="41"/>
      <c r="M138" s="41"/>
      <c r="N138" s="41"/>
      <c r="O138" s="42"/>
      <c r="P138" s="43"/>
      <c r="Q138" s="41"/>
      <c r="R138" s="41"/>
      <c r="S138" s="41"/>
      <c r="T138" s="42"/>
      <c r="U138" s="43"/>
      <c r="V138" s="41"/>
      <c r="W138" s="41"/>
      <c r="X138" s="41"/>
      <c r="Y138" s="42"/>
      <c r="Z138" s="212"/>
      <c r="AA138" s="41"/>
      <c r="AB138" s="41"/>
      <c r="AC138" s="41"/>
      <c r="AD138" s="42"/>
      <c r="AE138" s="27"/>
      <c r="AF138" s="41"/>
      <c r="AG138" s="41"/>
      <c r="AH138" s="41"/>
      <c r="AI138" s="42"/>
      <c r="AJ138" s="27"/>
      <c r="AK138" s="42"/>
      <c r="AL138" s="42"/>
      <c r="AM138" s="42"/>
      <c r="AN138" s="42"/>
      <c r="AO138" s="27"/>
      <c r="AP138" s="42"/>
      <c r="AQ138" s="42"/>
      <c r="AR138" s="42"/>
      <c r="AS138" s="42"/>
      <c r="AT138" s="27"/>
      <c r="AU138" s="42"/>
      <c r="AV138" s="42"/>
      <c r="AW138" s="42"/>
      <c r="AX138" s="42"/>
      <c r="AY138" s="27"/>
      <c r="AZ138" s="42"/>
      <c r="BA138" s="42"/>
      <c r="BB138" s="42"/>
      <c r="BC138" s="42"/>
      <c r="BD138" s="27"/>
      <c r="BE138" s="42"/>
      <c r="BF138" s="42"/>
      <c r="BG138" s="42"/>
      <c r="BH138" s="42"/>
      <c r="BI138" s="27"/>
    </row>
    <row r="139" spans="1:61" s="26" customFormat="1">
      <c r="A139" s="9" t="s">
        <v>46</v>
      </c>
      <c r="B139" s="120"/>
      <c r="C139" s="120"/>
      <c r="D139" s="120"/>
      <c r="E139" s="120"/>
      <c r="F139" s="121"/>
      <c r="G139" s="120"/>
      <c r="H139" s="120"/>
      <c r="I139" s="120"/>
      <c r="J139" s="120"/>
      <c r="K139" s="121"/>
      <c r="L139" s="120"/>
      <c r="M139" s="120"/>
      <c r="N139" s="120"/>
      <c r="O139" s="120"/>
      <c r="P139" s="121"/>
      <c r="Q139" s="120"/>
      <c r="R139" s="120"/>
      <c r="S139" s="120"/>
      <c r="T139" s="120"/>
      <c r="U139" s="121"/>
      <c r="V139" s="120"/>
      <c r="W139" s="120"/>
      <c r="X139" s="120"/>
      <c r="Y139" s="120"/>
      <c r="Z139" s="121"/>
      <c r="AA139" s="120"/>
      <c r="AB139" s="120"/>
      <c r="AC139" s="120"/>
      <c r="AD139" s="120"/>
      <c r="AE139" s="121"/>
      <c r="AF139" s="120"/>
      <c r="AG139" s="120"/>
      <c r="AH139" s="120"/>
      <c r="AI139" s="120"/>
      <c r="AJ139" s="121"/>
      <c r="AK139" s="120"/>
      <c r="AL139" s="120"/>
      <c r="AM139" s="120"/>
      <c r="AN139" s="120"/>
      <c r="AO139" s="121"/>
      <c r="AP139" s="120"/>
      <c r="AQ139" s="120"/>
      <c r="AR139" s="120"/>
      <c r="AS139" s="120"/>
      <c r="AT139" s="121"/>
      <c r="AU139" s="120"/>
      <c r="AV139" s="120"/>
      <c r="AW139" s="120"/>
      <c r="AX139" s="120"/>
      <c r="AY139" s="121"/>
      <c r="AZ139" s="120"/>
      <c r="BA139" s="120"/>
      <c r="BB139" s="120"/>
      <c r="BC139" s="120"/>
      <c r="BD139" s="121"/>
      <c r="BE139" s="120"/>
      <c r="BF139" s="120"/>
      <c r="BG139" s="120"/>
      <c r="BH139" s="120"/>
      <c r="BI139" s="121"/>
    </row>
    <row r="140" spans="1:61" s="26" customFormat="1">
      <c r="A140" s="3" t="s">
        <v>354</v>
      </c>
      <c r="B140" s="41"/>
      <c r="C140" s="41"/>
      <c r="D140" s="41"/>
      <c r="E140" s="42"/>
      <c r="F140" s="43"/>
      <c r="G140" s="41"/>
      <c r="H140" s="41"/>
      <c r="I140" s="41"/>
      <c r="J140" s="42"/>
      <c r="K140" s="43"/>
      <c r="L140" s="41"/>
      <c r="M140" s="41"/>
      <c r="N140" s="41"/>
      <c r="O140" s="42"/>
      <c r="P140" s="72">
        <f t="shared" ref="P140:P155" si="162">P4*P75</f>
        <v>3.3249999999999997</v>
      </c>
      <c r="Q140" s="42">
        <f t="shared" ref="Q140:T155" si="163">+AVERAGE(Q4,P4)*Q75/4</f>
        <v>0.83124999999999993</v>
      </c>
      <c r="R140" s="42">
        <f t="shared" si="163"/>
        <v>0.41562499999999997</v>
      </c>
      <c r="S140" s="42">
        <f t="shared" si="163"/>
        <v>0</v>
      </c>
      <c r="T140" s="42">
        <f t="shared" si="163"/>
        <v>0</v>
      </c>
      <c r="U140" s="72">
        <f>SUM(Q140:T140)</f>
        <v>1.246875</v>
      </c>
      <c r="V140" s="42">
        <f t="shared" ref="V140:Y155" si="164">+AVERAGE(V4,U4)*V75/4</f>
        <v>0</v>
      </c>
      <c r="W140" s="42">
        <f t="shared" si="164"/>
        <v>0</v>
      </c>
      <c r="X140" s="42">
        <f t="shared" si="164"/>
        <v>0</v>
      </c>
      <c r="Y140" s="42">
        <f t="shared" si="164"/>
        <v>0</v>
      </c>
      <c r="Z140" s="72">
        <f>SUM(V140:Y140)</f>
        <v>0</v>
      </c>
      <c r="AA140" s="42">
        <f>+AVERAGE(AA4,Z4)*AA75/4</f>
        <v>0</v>
      </c>
      <c r="AB140" s="42">
        <f>+AVERAGE(AB4,AA4)*AB75/4</f>
        <v>0</v>
      </c>
      <c r="AC140" s="42">
        <f>+AVERAGE(AC4,AB4)*AC75/4</f>
        <v>0</v>
      </c>
      <c r="AD140" s="42">
        <f>+AVERAGE(AD4,AC4)*AD75/4</f>
        <v>0</v>
      </c>
      <c r="AE140" s="72">
        <f>SUM(AA140:AD140)</f>
        <v>0</v>
      </c>
      <c r="AF140" s="42">
        <f t="shared" ref="AF140:AI159" si="165">+AVERAGE(AF4,AE4)*AF75/4</f>
        <v>0</v>
      </c>
      <c r="AG140" s="42">
        <f t="shared" si="165"/>
        <v>0</v>
      </c>
      <c r="AH140" s="42">
        <f t="shared" si="165"/>
        <v>0</v>
      </c>
      <c r="AI140" s="42">
        <f t="shared" si="165"/>
        <v>0</v>
      </c>
      <c r="AJ140" s="72">
        <f>SUM(AF140:AI140)</f>
        <v>0</v>
      </c>
      <c r="AK140" s="42">
        <f t="shared" ref="AK140:AL200" si="166">+AVERAGE(AK4,AJ4)*AK75/4</f>
        <v>0</v>
      </c>
      <c r="AL140" s="42">
        <f t="shared" ref="AL140:AL199" si="167">+AVERAGE(AL4,AK4)*AL75/4</f>
        <v>0</v>
      </c>
      <c r="AM140" s="42">
        <f t="shared" ref="AM140:AM200" si="168">+AVERAGE(AM4,AL4)*AM75/4</f>
        <v>0</v>
      </c>
      <c r="AN140" s="42">
        <f t="shared" ref="AN140:AN200" si="169">+AVERAGE(AN4,AM4)*AN75/4</f>
        <v>0</v>
      </c>
      <c r="AO140" s="72">
        <f>SUM(AK140:AN140)</f>
        <v>0</v>
      </c>
      <c r="AP140" s="42">
        <f t="shared" ref="AP140:AP199" si="170">+AVERAGE(AP4,AO4)*AP75/4</f>
        <v>0</v>
      </c>
      <c r="AQ140" s="42">
        <f t="shared" ref="AQ140:AQ200" si="171">+AVERAGE(AQ4,AP4)*AQ75/4</f>
        <v>0</v>
      </c>
      <c r="AR140" s="42">
        <f t="shared" ref="AR140:AR200" si="172">+AVERAGE(AR4,AQ4)*AR75/4</f>
        <v>0</v>
      </c>
      <c r="AS140" s="42">
        <f t="shared" ref="AS140:AS200" si="173">+AVERAGE(AS4,AR4)*AS75/4</f>
        <v>0</v>
      </c>
      <c r="AT140" s="72">
        <f>SUM(AP140:AS140)</f>
        <v>0</v>
      </c>
      <c r="AU140" s="42">
        <f t="shared" ref="AU140:AU200" si="174">+AVERAGE(AU4,AT4)*AU75/4</f>
        <v>0</v>
      </c>
      <c r="AV140" s="42">
        <f t="shared" ref="AV140:AV200" si="175">+AVERAGE(AV4,AU4)*AV75/4</f>
        <v>0</v>
      </c>
      <c r="AW140" s="42">
        <f t="shared" ref="AW140:AW200" si="176">+AVERAGE(AW4,AV4)*AW75/4</f>
        <v>0</v>
      </c>
      <c r="AX140" s="42">
        <f t="shared" ref="AX140:AX200" si="177">+AVERAGE(AX4,AW4)*AX75/4</f>
        <v>0</v>
      </c>
      <c r="AY140" s="72">
        <f>SUM(AU140:AX140)</f>
        <v>0</v>
      </c>
      <c r="AZ140" s="42">
        <f t="shared" ref="AZ140:AZ200" si="178">+AVERAGE(AZ4,AY4)*AZ75/4</f>
        <v>0</v>
      </c>
      <c r="BA140" s="42">
        <f t="shared" ref="BA140:BA200" si="179">+AVERAGE(BA4,AZ4)*BA75/4</f>
        <v>0</v>
      </c>
      <c r="BB140" s="42">
        <f t="shared" ref="BB140:BB200" si="180">+AVERAGE(BB4,BA4)*BB75/4</f>
        <v>0</v>
      </c>
      <c r="BC140" s="42">
        <f t="shared" ref="BC140:BC200" si="181">+AVERAGE(BC4,BB4)*BC75/4</f>
        <v>0</v>
      </c>
      <c r="BD140" s="72">
        <f>SUM(AZ140:BC140)</f>
        <v>0</v>
      </c>
      <c r="BE140" s="42">
        <f t="shared" ref="BE140:BE200" si="182">+AVERAGE(BE4,BD4)*BE75/4</f>
        <v>0</v>
      </c>
      <c r="BF140" s="42">
        <f t="shared" ref="BF140:BF200" si="183">+AVERAGE(BF4,BE4)*BF75/4</f>
        <v>0</v>
      </c>
      <c r="BG140" s="42">
        <f t="shared" ref="BG140:BG200" si="184">+AVERAGE(BG4,BF4)*BG75/4</f>
        <v>0</v>
      </c>
      <c r="BH140" s="42">
        <f t="shared" ref="BH140:BH200" si="185">+AVERAGE(BH4,BG4)*BH75/4</f>
        <v>0</v>
      </c>
      <c r="BI140" s="72">
        <f>SUM(BE140:BH140)</f>
        <v>0</v>
      </c>
    </row>
    <row r="141" spans="1:61" s="26" customFormat="1">
      <c r="A141" s="3" t="s">
        <v>585</v>
      </c>
      <c r="B141" s="41"/>
      <c r="C141" s="41"/>
      <c r="D141" s="41"/>
      <c r="E141" s="42"/>
      <c r="F141" s="43"/>
      <c r="G141" s="41"/>
      <c r="H141" s="41"/>
      <c r="I141" s="41"/>
      <c r="J141" s="42"/>
      <c r="K141" s="43"/>
      <c r="L141" s="41"/>
      <c r="M141" s="41"/>
      <c r="N141" s="41"/>
      <c r="O141" s="42"/>
      <c r="P141" s="72">
        <f t="shared" si="162"/>
        <v>0</v>
      </c>
      <c r="Q141" s="42" t="e">
        <f t="shared" si="163"/>
        <v>#DIV/0!</v>
      </c>
      <c r="R141" s="42" t="e">
        <f t="shared" si="163"/>
        <v>#DIV/0!</v>
      </c>
      <c r="S141" s="42" t="e">
        <f t="shared" si="163"/>
        <v>#DIV/0!</v>
      </c>
      <c r="T141" s="42" t="e">
        <f t="shared" si="163"/>
        <v>#DIV/0!</v>
      </c>
      <c r="U141" s="72"/>
      <c r="V141" s="42" t="e">
        <f t="shared" si="164"/>
        <v>#DIV/0!</v>
      </c>
      <c r="W141" s="42" t="e">
        <f t="shared" si="164"/>
        <v>#DIV/0!</v>
      </c>
      <c r="X141" s="42" t="e">
        <f t="shared" si="164"/>
        <v>#DIV/0!</v>
      </c>
      <c r="Y141" s="42" t="e">
        <f t="shared" si="164"/>
        <v>#DIV/0!</v>
      </c>
      <c r="Z141" s="72"/>
      <c r="AA141" s="42"/>
      <c r="AB141" s="42"/>
      <c r="AC141" s="42"/>
      <c r="AD141" s="42"/>
      <c r="AE141" s="72"/>
      <c r="AF141" s="42">
        <f t="shared" si="165"/>
        <v>10.7475</v>
      </c>
      <c r="AG141" s="42">
        <f t="shared" si="165"/>
        <v>10.7475</v>
      </c>
      <c r="AH141" s="42">
        <f t="shared" si="165"/>
        <v>10.7475</v>
      </c>
      <c r="AI141" s="42">
        <f t="shared" si="165"/>
        <v>10.7475</v>
      </c>
      <c r="AJ141" s="72">
        <f>SUM(AF141:AI141)</f>
        <v>42.99</v>
      </c>
      <c r="AK141" s="42">
        <f t="shared" si="166"/>
        <v>10.7475</v>
      </c>
      <c r="AL141" s="42">
        <f t="shared" si="167"/>
        <v>10.7475</v>
      </c>
      <c r="AM141" s="42">
        <f t="shared" si="168"/>
        <v>10.7475</v>
      </c>
      <c r="AN141" s="42">
        <f t="shared" si="169"/>
        <v>10.7475</v>
      </c>
      <c r="AO141" s="72">
        <f>SUM(AK141:AN141)</f>
        <v>42.99</v>
      </c>
      <c r="AP141" s="42">
        <f t="shared" si="170"/>
        <v>10.7475</v>
      </c>
      <c r="AQ141" s="42">
        <f t="shared" si="171"/>
        <v>10.7475</v>
      </c>
      <c r="AR141" s="42">
        <f t="shared" si="172"/>
        <v>10.7475</v>
      </c>
      <c r="AS141" s="42">
        <f t="shared" si="173"/>
        <v>5.3737500000000002</v>
      </c>
      <c r="AT141" s="72">
        <f>SUM(AP141:AS141)</f>
        <v>37.616250000000001</v>
      </c>
      <c r="AU141" s="42">
        <f t="shared" si="174"/>
        <v>0</v>
      </c>
      <c r="AV141" s="42">
        <f t="shared" si="175"/>
        <v>0</v>
      </c>
      <c r="AW141" s="42">
        <f t="shared" si="176"/>
        <v>0</v>
      </c>
      <c r="AX141" s="42">
        <f t="shared" si="177"/>
        <v>0</v>
      </c>
      <c r="AY141" s="72">
        <f>SUM(AU141:AX141)</f>
        <v>0</v>
      </c>
      <c r="AZ141" s="42">
        <f t="shared" si="178"/>
        <v>0</v>
      </c>
      <c r="BA141" s="42">
        <f t="shared" si="179"/>
        <v>0</v>
      </c>
      <c r="BB141" s="42">
        <f t="shared" si="180"/>
        <v>0</v>
      </c>
      <c r="BC141" s="42">
        <f t="shared" si="181"/>
        <v>0</v>
      </c>
      <c r="BD141" s="72">
        <f>SUM(AZ141:BC141)</f>
        <v>0</v>
      </c>
      <c r="BE141" s="42">
        <f t="shared" si="182"/>
        <v>0</v>
      </c>
      <c r="BF141" s="42">
        <f t="shared" si="183"/>
        <v>0</v>
      </c>
      <c r="BG141" s="42">
        <f t="shared" si="184"/>
        <v>0</v>
      </c>
      <c r="BH141" s="42">
        <f t="shared" si="185"/>
        <v>0</v>
      </c>
      <c r="BI141" s="72">
        <f>SUM(BE141:BH141)</f>
        <v>0</v>
      </c>
    </row>
    <row r="142" spans="1:61" s="26" customFormat="1">
      <c r="A142" s="3" t="s">
        <v>355</v>
      </c>
      <c r="B142" s="41"/>
      <c r="C142" s="41"/>
      <c r="D142" s="41"/>
      <c r="E142" s="42"/>
      <c r="F142" s="43"/>
      <c r="G142" s="41"/>
      <c r="H142" s="41"/>
      <c r="I142" s="41"/>
      <c r="J142" s="42"/>
      <c r="K142" s="43"/>
      <c r="L142" s="41"/>
      <c r="M142" s="41"/>
      <c r="N142" s="41"/>
      <c r="O142" s="42"/>
      <c r="P142" s="72">
        <f t="shared" si="162"/>
        <v>5.7750000000000004</v>
      </c>
      <c r="Q142" s="42">
        <f t="shared" si="163"/>
        <v>1.4437500000000001</v>
      </c>
      <c r="R142" s="42">
        <f t="shared" si="163"/>
        <v>1.4437500000000001</v>
      </c>
      <c r="S142" s="42">
        <f t="shared" si="163"/>
        <v>1.4437500000000001</v>
      </c>
      <c r="T142" s="42">
        <f t="shared" si="163"/>
        <v>1.4437500000000001</v>
      </c>
      <c r="U142" s="72">
        <f>SUM(Q142:T142)</f>
        <v>5.7750000000000004</v>
      </c>
      <c r="V142" s="42">
        <f t="shared" si="164"/>
        <v>1.4437500000000001</v>
      </c>
      <c r="W142" s="42">
        <f t="shared" si="164"/>
        <v>1.4437500000000001</v>
      </c>
      <c r="X142" s="42">
        <f t="shared" si="164"/>
        <v>1.4437500000000001</v>
      </c>
      <c r="Y142" s="42">
        <f t="shared" si="164"/>
        <v>1.4437500000000001</v>
      </c>
      <c r="Z142" s="72">
        <f>SUM(V142:Y142)</f>
        <v>5.7750000000000004</v>
      </c>
      <c r="AA142" s="42">
        <f>+AVERAGE(AA6,Z6)*AA77/4</f>
        <v>1.4437500000000001</v>
      </c>
      <c r="AB142" s="42">
        <f>+AVERAGE(AB6,AA6)*AB77/4</f>
        <v>1.4437500000000001</v>
      </c>
      <c r="AC142" s="42">
        <f>+AVERAGE(AC6,AB6)*AC77/4</f>
        <v>1.4437500000000001</v>
      </c>
      <c r="AD142" s="42">
        <f>+AVERAGE(AD6,AC6)*AD77/4</f>
        <v>0.72187500000000004</v>
      </c>
      <c r="AE142" s="72">
        <f>SUM(AA142:AD142)</f>
        <v>5.0531250000000005</v>
      </c>
      <c r="AF142" s="42">
        <f t="shared" si="165"/>
        <v>0</v>
      </c>
      <c r="AG142" s="42">
        <f t="shared" si="165"/>
        <v>0</v>
      </c>
      <c r="AH142" s="42">
        <f t="shared" si="165"/>
        <v>0</v>
      </c>
      <c r="AI142" s="42">
        <f t="shared" si="165"/>
        <v>0</v>
      </c>
      <c r="AJ142" s="72">
        <f>SUM(AF142:AI142)</f>
        <v>0</v>
      </c>
      <c r="AK142" s="42">
        <f t="shared" si="166"/>
        <v>0</v>
      </c>
      <c r="AL142" s="42">
        <f t="shared" si="167"/>
        <v>0</v>
      </c>
      <c r="AM142" s="42">
        <f t="shared" si="168"/>
        <v>0</v>
      </c>
      <c r="AN142" s="42">
        <f t="shared" si="169"/>
        <v>0</v>
      </c>
      <c r="AO142" s="72">
        <f>SUM(AK142:AN142)</f>
        <v>0</v>
      </c>
      <c r="AP142" s="42">
        <f t="shared" si="170"/>
        <v>0</v>
      </c>
      <c r="AQ142" s="42">
        <f t="shared" si="171"/>
        <v>0</v>
      </c>
      <c r="AR142" s="42">
        <f t="shared" si="172"/>
        <v>0</v>
      </c>
      <c r="AS142" s="42">
        <f t="shared" si="173"/>
        <v>0</v>
      </c>
      <c r="AT142" s="72">
        <f>SUM(AP142:AS142)</f>
        <v>0</v>
      </c>
      <c r="AU142" s="42">
        <f t="shared" si="174"/>
        <v>0</v>
      </c>
      <c r="AV142" s="42">
        <f t="shared" si="175"/>
        <v>0</v>
      </c>
      <c r="AW142" s="42">
        <f t="shared" si="176"/>
        <v>0</v>
      </c>
      <c r="AX142" s="42">
        <f t="shared" si="177"/>
        <v>0</v>
      </c>
      <c r="AY142" s="72">
        <f>SUM(AU142:AX142)</f>
        <v>0</v>
      </c>
      <c r="AZ142" s="42">
        <f t="shared" si="178"/>
        <v>0</v>
      </c>
      <c r="BA142" s="42">
        <f t="shared" si="179"/>
        <v>0</v>
      </c>
      <c r="BB142" s="42">
        <f t="shared" si="180"/>
        <v>0</v>
      </c>
      <c r="BC142" s="42">
        <f t="shared" si="181"/>
        <v>0</v>
      </c>
      <c r="BD142" s="72">
        <f>SUM(AZ142:BC142)</f>
        <v>0</v>
      </c>
      <c r="BE142" s="42">
        <f t="shared" si="182"/>
        <v>0</v>
      </c>
      <c r="BF142" s="42">
        <f t="shared" si="183"/>
        <v>0</v>
      </c>
      <c r="BG142" s="42">
        <f t="shared" si="184"/>
        <v>0</v>
      </c>
      <c r="BH142" s="42">
        <f t="shared" si="185"/>
        <v>0</v>
      </c>
      <c r="BI142" s="72">
        <f>SUM(BE142:BH142)</f>
        <v>0</v>
      </c>
    </row>
    <row r="143" spans="1:61" s="26" customFormat="1">
      <c r="A143" s="428" t="s">
        <v>586</v>
      </c>
      <c r="B143" s="41"/>
      <c r="C143" s="41"/>
      <c r="D143" s="41"/>
      <c r="E143" s="42"/>
      <c r="F143" s="43"/>
      <c r="G143" s="41"/>
      <c r="H143" s="41"/>
      <c r="I143" s="41"/>
      <c r="J143" s="42"/>
      <c r="K143" s="43"/>
      <c r="L143" s="41"/>
      <c r="M143" s="41"/>
      <c r="N143" s="41"/>
      <c r="O143" s="42"/>
      <c r="P143" s="72">
        <f t="shared" si="162"/>
        <v>0</v>
      </c>
      <c r="Q143" s="42" t="e">
        <f t="shared" si="163"/>
        <v>#DIV/0!</v>
      </c>
      <c r="R143" s="42" t="e">
        <f t="shared" si="163"/>
        <v>#DIV/0!</v>
      </c>
      <c r="S143" s="42" t="e">
        <f t="shared" si="163"/>
        <v>#DIV/0!</v>
      </c>
      <c r="T143" s="42" t="e">
        <f t="shared" si="163"/>
        <v>#DIV/0!</v>
      </c>
      <c r="U143" s="72"/>
      <c r="V143" s="42" t="e">
        <f t="shared" si="164"/>
        <v>#DIV/0!</v>
      </c>
      <c r="W143" s="42" t="e">
        <f t="shared" si="164"/>
        <v>#DIV/0!</v>
      </c>
      <c r="X143" s="42" t="e">
        <f t="shared" si="164"/>
        <v>#DIV/0!</v>
      </c>
      <c r="Y143" s="42" t="e">
        <f t="shared" si="164"/>
        <v>#DIV/0!</v>
      </c>
      <c r="Z143" s="72"/>
      <c r="AA143" s="42"/>
      <c r="AB143" s="42"/>
      <c r="AC143" s="42"/>
      <c r="AD143" s="42"/>
      <c r="AE143" s="72"/>
      <c r="AF143" s="42">
        <f t="shared" si="165"/>
        <v>3.8656874999999999</v>
      </c>
      <c r="AG143" s="42">
        <f t="shared" si="165"/>
        <v>3.8656874999999999</v>
      </c>
      <c r="AH143" s="42">
        <f t="shared" si="165"/>
        <v>3.8656874999999999</v>
      </c>
      <c r="AI143" s="42">
        <f t="shared" si="165"/>
        <v>3.8656874999999999</v>
      </c>
      <c r="AJ143" s="72">
        <f>SUM(AF143:AI143)</f>
        <v>15.46275</v>
      </c>
      <c r="AK143" s="42">
        <f t="shared" si="166"/>
        <v>3.8656874999999999</v>
      </c>
      <c r="AL143" s="42">
        <f t="shared" si="167"/>
        <v>3.8656874999999999</v>
      </c>
      <c r="AM143" s="42">
        <f t="shared" si="168"/>
        <v>3.8656874999999999</v>
      </c>
      <c r="AN143" s="42">
        <f t="shared" si="169"/>
        <v>3.8656874999999999</v>
      </c>
      <c r="AO143" s="72">
        <f>SUM(AK143:AN143)</f>
        <v>15.46275</v>
      </c>
      <c r="AP143" s="42">
        <f t="shared" si="170"/>
        <v>1.93284375</v>
      </c>
      <c r="AQ143" s="42">
        <f t="shared" si="171"/>
        <v>0</v>
      </c>
      <c r="AR143" s="42">
        <f t="shared" si="172"/>
        <v>0</v>
      </c>
      <c r="AS143" s="42">
        <f t="shared" si="173"/>
        <v>0</v>
      </c>
      <c r="AT143" s="72">
        <f>SUM(AP143:AS143)</f>
        <v>1.93284375</v>
      </c>
      <c r="AU143" s="42">
        <f t="shared" si="174"/>
        <v>0</v>
      </c>
      <c r="AV143" s="42">
        <f t="shared" si="175"/>
        <v>0</v>
      </c>
      <c r="AW143" s="42">
        <f t="shared" si="176"/>
        <v>0</v>
      </c>
      <c r="AX143" s="42">
        <f t="shared" si="177"/>
        <v>0</v>
      </c>
      <c r="AY143" s="72">
        <f>SUM(AU143:AX143)</f>
        <v>0</v>
      </c>
      <c r="AZ143" s="42">
        <f t="shared" si="178"/>
        <v>0</v>
      </c>
      <c r="BA143" s="42">
        <f t="shared" si="179"/>
        <v>0</v>
      </c>
      <c r="BB143" s="42">
        <f t="shared" si="180"/>
        <v>0</v>
      </c>
      <c r="BC143" s="42">
        <f t="shared" si="181"/>
        <v>0</v>
      </c>
      <c r="BD143" s="72">
        <f>SUM(AZ143:BC143)</f>
        <v>0</v>
      </c>
      <c r="BE143" s="42">
        <f t="shared" si="182"/>
        <v>0</v>
      </c>
      <c r="BF143" s="42">
        <f t="shared" si="183"/>
        <v>0</v>
      </c>
      <c r="BG143" s="42">
        <f t="shared" si="184"/>
        <v>0</v>
      </c>
      <c r="BH143" s="42">
        <f t="shared" si="185"/>
        <v>0</v>
      </c>
      <c r="BI143" s="72">
        <f>SUM(BE143:BH143)</f>
        <v>0</v>
      </c>
    </row>
    <row r="144" spans="1:61" s="26" customFormat="1">
      <c r="A144" s="3" t="s">
        <v>356</v>
      </c>
      <c r="B144" s="41"/>
      <c r="C144" s="41"/>
      <c r="D144" s="41"/>
      <c r="E144" s="42"/>
      <c r="F144" s="43"/>
      <c r="G144" s="41"/>
      <c r="H144" s="41"/>
      <c r="I144" s="41"/>
      <c r="J144" s="42"/>
      <c r="K144" s="43"/>
      <c r="L144" s="41"/>
      <c r="M144" s="41"/>
      <c r="N144" s="41"/>
      <c r="O144" s="42"/>
      <c r="P144" s="72">
        <f t="shared" si="162"/>
        <v>7.5</v>
      </c>
      <c r="Q144" s="42">
        <f t="shared" si="163"/>
        <v>1.875</v>
      </c>
      <c r="R144" s="42">
        <f t="shared" si="163"/>
        <v>1.875</v>
      </c>
      <c r="S144" s="42">
        <f t="shared" si="163"/>
        <v>1.875</v>
      </c>
      <c r="T144" s="42">
        <f t="shared" si="163"/>
        <v>1.875</v>
      </c>
      <c r="U144" s="72">
        <f t="shared" ref="U144:U200" si="186">SUM(Q144:T144)</f>
        <v>7.5</v>
      </c>
      <c r="V144" s="42">
        <f t="shared" si="164"/>
        <v>1.875</v>
      </c>
      <c r="W144" s="42">
        <f t="shared" si="164"/>
        <v>1.875</v>
      </c>
      <c r="X144" s="42">
        <f t="shared" si="164"/>
        <v>1.875</v>
      </c>
      <c r="Y144" s="42">
        <f t="shared" si="164"/>
        <v>1.875</v>
      </c>
      <c r="Z144" s="72">
        <f t="shared" ref="Z144:Z200" si="187">SUM(V144:Y144)</f>
        <v>7.5</v>
      </c>
      <c r="AA144" s="42">
        <f t="shared" ref="AA144:AD145" si="188">+AVERAGE(AA8,Z8)*AA79/4</f>
        <v>1.875</v>
      </c>
      <c r="AB144" s="42">
        <f t="shared" si="188"/>
        <v>1.875</v>
      </c>
      <c r="AC144" s="42">
        <f t="shared" si="188"/>
        <v>1.875</v>
      </c>
      <c r="AD144" s="42">
        <f t="shared" si="188"/>
        <v>1.875</v>
      </c>
      <c r="AE144" s="72">
        <f t="shared" ref="AE144:AE201" si="189">SUM(AA144:AD144)</f>
        <v>7.5</v>
      </c>
      <c r="AF144" s="42">
        <f t="shared" si="165"/>
        <v>1.875</v>
      </c>
      <c r="AG144" s="42">
        <f t="shared" si="165"/>
        <v>1.875</v>
      </c>
      <c r="AH144" s="42">
        <f t="shared" si="165"/>
        <v>1.875</v>
      </c>
      <c r="AI144" s="42">
        <f t="shared" si="165"/>
        <v>1.875</v>
      </c>
      <c r="AJ144" s="72">
        <f t="shared" ref="AJ144:AJ199" si="190">SUM(AF144:AI144)</f>
        <v>7.5</v>
      </c>
      <c r="AK144" s="42">
        <f t="shared" si="166"/>
        <v>1.875</v>
      </c>
      <c r="AL144" s="42">
        <f t="shared" si="167"/>
        <v>1.875</v>
      </c>
      <c r="AM144" s="42">
        <f t="shared" si="168"/>
        <v>1.875</v>
      </c>
      <c r="AN144" s="42">
        <f t="shared" si="169"/>
        <v>1.875</v>
      </c>
      <c r="AO144" s="72">
        <f t="shared" ref="AO144:AO199" si="191">SUM(AK144:AN144)</f>
        <v>7.5</v>
      </c>
      <c r="AP144" s="42">
        <f t="shared" si="170"/>
        <v>1.875</v>
      </c>
      <c r="AQ144" s="42">
        <f t="shared" si="171"/>
        <v>1.40625</v>
      </c>
      <c r="AR144" s="42">
        <f t="shared" si="172"/>
        <v>0.46875</v>
      </c>
      <c r="AS144" s="42">
        <f t="shared" si="173"/>
        <v>0</v>
      </c>
      <c r="AT144" s="72">
        <f t="shared" ref="AT144:AT145" si="192">SUM(AP144:AS144)</f>
        <v>3.75</v>
      </c>
      <c r="AU144" s="42">
        <f t="shared" si="174"/>
        <v>0</v>
      </c>
      <c r="AV144" s="42">
        <f t="shared" si="175"/>
        <v>0</v>
      </c>
      <c r="AW144" s="42">
        <f t="shared" si="176"/>
        <v>0</v>
      </c>
      <c r="AX144" s="42">
        <f t="shared" si="177"/>
        <v>0</v>
      </c>
      <c r="AY144" s="72">
        <f t="shared" ref="AY144:AY145" si="193">SUM(AU144:AX144)</f>
        <v>0</v>
      </c>
      <c r="AZ144" s="42">
        <f t="shared" si="178"/>
        <v>0</v>
      </c>
      <c r="BA144" s="42">
        <f t="shared" si="179"/>
        <v>0</v>
      </c>
      <c r="BB144" s="42">
        <f t="shared" si="180"/>
        <v>0</v>
      </c>
      <c r="BC144" s="42">
        <f t="shared" si="181"/>
        <v>0</v>
      </c>
      <c r="BD144" s="72">
        <f t="shared" ref="BD144:BD145" si="194">SUM(AZ144:BC144)</f>
        <v>0</v>
      </c>
      <c r="BE144" s="42">
        <f t="shared" si="182"/>
        <v>0</v>
      </c>
      <c r="BF144" s="42">
        <f t="shared" si="183"/>
        <v>0</v>
      </c>
      <c r="BG144" s="42">
        <f t="shared" si="184"/>
        <v>0</v>
      </c>
      <c r="BH144" s="42">
        <f t="shared" si="185"/>
        <v>0</v>
      </c>
      <c r="BI144" s="72">
        <f t="shared" ref="BI144:BI145" si="195">SUM(BE144:BH144)</f>
        <v>0</v>
      </c>
    </row>
    <row r="145" spans="1:63" s="26" customFormat="1">
      <c r="A145" s="3" t="s">
        <v>357</v>
      </c>
      <c r="B145" s="41"/>
      <c r="C145" s="41"/>
      <c r="D145" s="41"/>
      <c r="E145" s="42"/>
      <c r="F145" s="43"/>
      <c r="G145" s="41"/>
      <c r="H145" s="41"/>
      <c r="I145" s="41"/>
      <c r="J145" s="42"/>
      <c r="K145" s="43"/>
      <c r="L145" s="41"/>
      <c r="M145" s="41"/>
      <c r="N145" s="41"/>
      <c r="O145" s="42"/>
      <c r="P145" s="72">
        <f t="shared" si="162"/>
        <v>6.3750000000000009</v>
      </c>
      <c r="Q145" s="42">
        <f t="shared" si="163"/>
        <v>1.5937500000000002</v>
      </c>
      <c r="R145" s="42">
        <f t="shared" si="163"/>
        <v>1.5937500000000002</v>
      </c>
      <c r="S145" s="42">
        <f t="shared" si="163"/>
        <v>1.5937500000000002</v>
      </c>
      <c r="T145" s="42">
        <f t="shared" si="163"/>
        <v>1.5937500000000002</v>
      </c>
      <c r="U145" s="72">
        <f t="shared" si="186"/>
        <v>6.3750000000000009</v>
      </c>
      <c r="V145" s="42">
        <f t="shared" si="164"/>
        <v>1.5937500000000002</v>
      </c>
      <c r="W145" s="42">
        <f t="shared" si="164"/>
        <v>1.5937500000000002</v>
      </c>
      <c r="X145" s="42">
        <f t="shared" si="164"/>
        <v>1.5937500000000002</v>
      </c>
      <c r="Y145" s="42">
        <f t="shared" si="164"/>
        <v>1.5937500000000002</v>
      </c>
      <c r="Z145" s="72">
        <f t="shared" si="187"/>
        <v>6.3750000000000009</v>
      </c>
      <c r="AA145" s="42">
        <f t="shared" si="188"/>
        <v>1.5937500000000002</v>
      </c>
      <c r="AB145" s="42">
        <f t="shared" si="188"/>
        <v>1.5937500000000002</v>
      </c>
      <c r="AC145" s="42">
        <f t="shared" si="188"/>
        <v>1.5937500000000002</v>
      </c>
      <c r="AD145" s="42">
        <f t="shared" si="188"/>
        <v>1.5937500000000002</v>
      </c>
      <c r="AE145" s="72">
        <f t="shared" si="189"/>
        <v>6.3750000000000009</v>
      </c>
      <c r="AF145" s="42">
        <f t="shared" si="165"/>
        <v>1.5937500000000002</v>
      </c>
      <c r="AG145" s="42">
        <f t="shared" si="165"/>
        <v>1.5937500000000002</v>
      </c>
      <c r="AH145" s="42">
        <f t="shared" si="165"/>
        <v>1.5937500000000002</v>
      </c>
      <c r="AI145" s="42">
        <f t="shared" si="165"/>
        <v>1.5937500000000002</v>
      </c>
      <c r="AJ145" s="72">
        <f t="shared" si="190"/>
        <v>6.3750000000000009</v>
      </c>
      <c r="AK145" s="42">
        <f t="shared" si="166"/>
        <v>0.79687500000000011</v>
      </c>
      <c r="AL145" s="42">
        <f t="shared" si="167"/>
        <v>0</v>
      </c>
      <c r="AM145" s="42">
        <f t="shared" si="168"/>
        <v>0</v>
      </c>
      <c r="AN145" s="42">
        <f t="shared" si="169"/>
        <v>0</v>
      </c>
      <c r="AO145" s="72">
        <f t="shared" si="191"/>
        <v>0.79687500000000011</v>
      </c>
      <c r="AP145" s="42">
        <f t="shared" si="170"/>
        <v>0</v>
      </c>
      <c r="AQ145" s="42">
        <f t="shared" si="171"/>
        <v>0</v>
      </c>
      <c r="AR145" s="42">
        <f t="shared" si="172"/>
        <v>0</v>
      </c>
      <c r="AS145" s="42">
        <f t="shared" si="173"/>
        <v>0</v>
      </c>
      <c r="AT145" s="72">
        <f t="shared" si="192"/>
        <v>0</v>
      </c>
      <c r="AU145" s="42">
        <f t="shared" si="174"/>
        <v>0</v>
      </c>
      <c r="AV145" s="42">
        <f t="shared" si="175"/>
        <v>0</v>
      </c>
      <c r="AW145" s="42">
        <f t="shared" si="176"/>
        <v>0</v>
      </c>
      <c r="AX145" s="42">
        <f t="shared" si="177"/>
        <v>0</v>
      </c>
      <c r="AY145" s="72">
        <f t="shared" si="193"/>
        <v>0</v>
      </c>
      <c r="AZ145" s="42">
        <f t="shared" si="178"/>
        <v>0</v>
      </c>
      <c r="BA145" s="42">
        <f t="shared" si="179"/>
        <v>0</v>
      </c>
      <c r="BB145" s="42">
        <f t="shared" si="180"/>
        <v>0</v>
      </c>
      <c r="BC145" s="42">
        <f t="shared" si="181"/>
        <v>0</v>
      </c>
      <c r="BD145" s="72">
        <f t="shared" si="194"/>
        <v>0</v>
      </c>
      <c r="BE145" s="42">
        <f t="shared" si="182"/>
        <v>0</v>
      </c>
      <c r="BF145" s="42">
        <f t="shared" si="183"/>
        <v>0</v>
      </c>
      <c r="BG145" s="42">
        <f t="shared" si="184"/>
        <v>0</v>
      </c>
      <c r="BH145" s="42">
        <f t="shared" si="185"/>
        <v>0</v>
      </c>
      <c r="BI145" s="72">
        <f t="shared" si="195"/>
        <v>0</v>
      </c>
    </row>
    <row r="146" spans="1:63" s="26" customFormat="1">
      <c r="A146" s="3" t="s">
        <v>587</v>
      </c>
      <c r="B146" s="41"/>
      <c r="C146" s="41"/>
      <c r="D146" s="41"/>
      <c r="E146" s="42"/>
      <c r="F146" s="43"/>
      <c r="G146" s="41"/>
      <c r="H146" s="41"/>
      <c r="I146" s="41"/>
      <c r="J146" s="42"/>
      <c r="K146" s="43"/>
      <c r="L146" s="41"/>
      <c r="M146" s="41"/>
      <c r="N146" s="41"/>
      <c r="O146" s="42"/>
      <c r="P146" s="72">
        <f t="shared" si="162"/>
        <v>0</v>
      </c>
      <c r="Q146" s="42" t="e">
        <f t="shared" si="163"/>
        <v>#DIV/0!</v>
      </c>
      <c r="R146" s="42" t="e">
        <f t="shared" si="163"/>
        <v>#DIV/0!</v>
      </c>
      <c r="S146" s="42" t="e">
        <f t="shared" si="163"/>
        <v>#DIV/0!</v>
      </c>
      <c r="T146" s="42" t="e">
        <f t="shared" si="163"/>
        <v>#DIV/0!</v>
      </c>
      <c r="U146" s="72"/>
      <c r="V146" s="42" t="e">
        <f t="shared" si="164"/>
        <v>#DIV/0!</v>
      </c>
      <c r="W146" s="42" t="e">
        <f t="shared" si="164"/>
        <v>#DIV/0!</v>
      </c>
      <c r="X146" s="42" t="e">
        <f t="shared" si="164"/>
        <v>#DIV/0!</v>
      </c>
      <c r="Y146" s="42" t="e">
        <f t="shared" si="164"/>
        <v>#DIV/0!</v>
      </c>
      <c r="Z146" s="72"/>
      <c r="AA146" s="42"/>
      <c r="AB146" s="42"/>
      <c r="AC146" s="42"/>
      <c r="AD146" s="42"/>
      <c r="AE146" s="72"/>
      <c r="AF146" s="42">
        <f t="shared" si="165"/>
        <v>30.195</v>
      </c>
      <c r="AG146" s="42">
        <f t="shared" si="165"/>
        <v>30.195</v>
      </c>
      <c r="AH146" s="42">
        <f t="shared" si="165"/>
        <v>30.195</v>
      </c>
      <c r="AI146" s="42">
        <f t="shared" si="165"/>
        <v>30.195</v>
      </c>
      <c r="AJ146" s="72">
        <f>SUM(AF146:AI146)</f>
        <v>120.78</v>
      </c>
      <c r="AK146" s="42">
        <f t="shared" si="166"/>
        <v>30.195</v>
      </c>
      <c r="AL146" s="42">
        <f t="shared" si="167"/>
        <v>30.195</v>
      </c>
      <c r="AM146" s="42">
        <f t="shared" si="168"/>
        <v>30.195</v>
      </c>
      <c r="AN146" s="42">
        <f t="shared" si="169"/>
        <v>30.195</v>
      </c>
      <c r="AO146" s="72">
        <f>SUM(AK146:AN146)</f>
        <v>120.78</v>
      </c>
      <c r="AP146" s="42">
        <f t="shared" si="170"/>
        <v>30.195</v>
      </c>
      <c r="AQ146" s="42">
        <f t="shared" si="171"/>
        <v>30.195</v>
      </c>
      <c r="AR146" s="42">
        <f t="shared" si="172"/>
        <v>30.195</v>
      </c>
      <c r="AS146" s="42">
        <f t="shared" si="173"/>
        <v>30.195</v>
      </c>
      <c r="AT146" s="72">
        <f>SUM(AP146:AS146)</f>
        <v>120.78</v>
      </c>
      <c r="AU146" s="42">
        <f t="shared" si="174"/>
        <v>30.195</v>
      </c>
      <c r="AV146" s="42">
        <f t="shared" si="175"/>
        <v>30.195</v>
      </c>
      <c r="AW146" s="42">
        <f t="shared" si="176"/>
        <v>30.195</v>
      </c>
      <c r="AX146" s="42">
        <f t="shared" si="177"/>
        <v>30.195</v>
      </c>
      <c r="AY146" s="72">
        <f>SUM(AU146:AX146)</f>
        <v>120.78</v>
      </c>
      <c r="AZ146" s="42">
        <f t="shared" si="178"/>
        <v>30.195</v>
      </c>
      <c r="BA146" s="42">
        <f t="shared" si="179"/>
        <v>30.195</v>
      </c>
      <c r="BB146" s="42">
        <f t="shared" si="180"/>
        <v>30.195</v>
      </c>
      <c r="BC146" s="42">
        <f t="shared" si="181"/>
        <v>30.195</v>
      </c>
      <c r="BD146" s="72">
        <f>SUM(AZ146:BC146)</f>
        <v>120.78</v>
      </c>
      <c r="BE146" s="42">
        <f t="shared" si="182"/>
        <v>30.195</v>
      </c>
      <c r="BF146" s="42">
        <f t="shared" si="183"/>
        <v>24.705000000000002</v>
      </c>
      <c r="BG146" s="42">
        <f t="shared" si="184"/>
        <v>19.215</v>
      </c>
      <c r="BH146" s="42">
        <f t="shared" si="185"/>
        <v>19.215</v>
      </c>
      <c r="BI146" s="72">
        <f>SUM(BE146:BH146)</f>
        <v>93.330000000000013</v>
      </c>
      <c r="BK146" s="500"/>
    </row>
    <row r="147" spans="1:63" s="26" customFormat="1">
      <c r="A147" s="3" t="s">
        <v>358</v>
      </c>
      <c r="B147" s="41"/>
      <c r="C147" s="41"/>
      <c r="D147" s="41"/>
      <c r="E147" s="42"/>
      <c r="F147" s="43"/>
      <c r="G147" s="41"/>
      <c r="H147" s="41"/>
      <c r="I147" s="41"/>
      <c r="J147" s="42"/>
      <c r="K147" s="43"/>
      <c r="L147" s="41"/>
      <c r="M147" s="41"/>
      <c r="N147" s="41"/>
      <c r="O147" s="42"/>
      <c r="P147" s="72">
        <f t="shared" si="162"/>
        <v>5.5</v>
      </c>
      <c r="Q147" s="42">
        <f t="shared" si="163"/>
        <v>1.375</v>
      </c>
      <c r="R147" s="42">
        <f t="shared" si="163"/>
        <v>1.375</v>
      </c>
      <c r="S147" s="42">
        <f t="shared" si="163"/>
        <v>1.375</v>
      </c>
      <c r="T147" s="42">
        <f t="shared" si="163"/>
        <v>1.375</v>
      </c>
      <c r="U147" s="72">
        <f t="shared" si="186"/>
        <v>5.5</v>
      </c>
      <c r="V147" s="42">
        <f t="shared" si="164"/>
        <v>1.375</v>
      </c>
      <c r="W147" s="42">
        <f t="shared" si="164"/>
        <v>1.375</v>
      </c>
      <c r="X147" s="42">
        <f t="shared" si="164"/>
        <v>1.375</v>
      </c>
      <c r="Y147" s="42">
        <f t="shared" si="164"/>
        <v>1.375</v>
      </c>
      <c r="Z147" s="72">
        <f t="shared" si="187"/>
        <v>5.5</v>
      </c>
      <c r="AA147" s="42">
        <f t="shared" ref="AA147:AD155" si="196">+AVERAGE(AA11,Z11)*AA82/4</f>
        <v>1.375</v>
      </c>
      <c r="AB147" s="42">
        <f t="shared" si="196"/>
        <v>1.375</v>
      </c>
      <c r="AC147" s="42">
        <f t="shared" si="196"/>
        <v>1.375</v>
      </c>
      <c r="AD147" s="42">
        <f t="shared" si="196"/>
        <v>1.375</v>
      </c>
      <c r="AE147" s="72">
        <f t="shared" si="189"/>
        <v>5.5</v>
      </c>
      <c r="AF147" s="42">
        <f t="shared" si="165"/>
        <v>1.375</v>
      </c>
      <c r="AG147" s="42">
        <f t="shared" si="165"/>
        <v>1.375</v>
      </c>
      <c r="AH147" s="42">
        <f t="shared" si="165"/>
        <v>1.375</v>
      </c>
      <c r="AI147" s="42">
        <f t="shared" si="165"/>
        <v>1.375</v>
      </c>
      <c r="AJ147" s="72">
        <f t="shared" si="190"/>
        <v>5.5</v>
      </c>
      <c r="AK147" s="42">
        <f t="shared" si="166"/>
        <v>1.375</v>
      </c>
      <c r="AL147" s="42">
        <f t="shared" si="167"/>
        <v>1.375</v>
      </c>
      <c r="AM147" s="42">
        <f t="shared" si="168"/>
        <v>1.375</v>
      </c>
      <c r="AN147" s="42">
        <f t="shared" si="169"/>
        <v>0.6875</v>
      </c>
      <c r="AO147" s="72">
        <f t="shared" si="191"/>
        <v>4.8125</v>
      </c>
      <c r="AP147" s="42">
        <f t="shared" si="170"/>
        <v>0</v>
      </c>
      <c r="AQ147" s="42">
        <f t="shared" si="171"/>
        <v>0</v>
      </c>
      <c r="AR147" s="42">
        <f t="shared" si="172"/>
        <v>0</v>
      </c>
      <c r="AS147" s="42">
        <f t="shared" si="173"/>
        <v>0</v>
      </c>
      <c r="AT147" s="72">
        <f t="shared" ref="AT147:AT155" si="197">SUM(AP147:AS147)</f>
        <v>0</v>
      </c>
      <c r="AU147" s="42">
        <f t="shared" si="174"/>
        <v>0</v>
      </c>
      <c r="AV147" s="42">
        <f t="shared" si="175"/>
        <v>0</v>
      </c>
      <c r="AW147" s="42">
        <f t="shared" si="176"/>
        <v>0</v>
      </c>
      <c r="AX147" s="42">
        <f t="shared" si="177"/>
        <v>0</v>
      </c>
      <c r="AY147" s="72">
        <f t="shared" ref="AY147:AY155" si="198">SUM(AU147:AX147)</f>
        <v>0</v>
      </c>
      <c r="AZ147" s="42">
        <f t="shared" si="178"/>
        <v>0</v>
      </c>
      <c r="BA147" s="42">
        <f t="shared" si="179"/>
        <v>0</v>
      </c>
      <c r="BB147" s="42">
        <f t="shared" si="180"/>
        <v>0</v>
      </c>
      <c r="BC147" s="42">
        <f t="shared" si="181"/>
        <v>0</v>
      </c>
      <c r="BD147" s="72">
        <f t="shared" ref="BD147:BD155" si="199">SUM(AZ147:BC147)</f>
        <v>0</v>
      </c>
      <c r="BE147" s="42">
        <f t="shared" si="182"/>
        <v>0</v>
      </c>
      <c r="BF147" s="42">
        <f t="shared" si="183"/>
        <v>0</v>
      </c>
      <c r="BG147" s="42">
        <f t="shared" si="184"/>
        <v>0</v>
      </c>
      <c r="BH147" s="42">
        <f t="shared" si="185"/>
        <v>0</v>
      </c>
      <c r="BI147" s="72">
        <f t="shared" ref="BI147:BI155" si="200">SUM(BE147:BH147)</f>
        <v>0</v>
      </c>
    </row>
    <row r="148" spans="1:63" s="26" customFormat="1">
      <c r="A148" s="3" t="s">
        <v>359</v>
      </c>
      <c r="B148" s="41"/>
      <c r="C148" s="41"/>
      <c r="D148" s="41"/>
      <c r="E148" s="42"/>
      <c r="F148" s="43"/>
      <c r="G148" s="41"/>
      <c r="H148" s="41"/>
      <c r="I148" s="41"/>
      <c r="J148" s="42"/>
      <c r="K148" s="43"/>
      <c r="L148" s="41"/>
      <c r="M148" s="41"/>
      <c r="N148" s="41"/>
      <c r="O148" s="42"/>
      <c r="P148" s="72">
        <f t="shared" si="162"/>
        <v>9</v>
      </c>
      <c r="Q148" s="42">
        <f t="shared" si="163"/>
        <v>2.25</v>
      </c>
      <c r="R148" s="42">
        <f t="shared" si="163"/>
        <v>2.25</v>
      </c>
      <c r="S148" s="42">
        <f t="shared" si="163"/>
        <v>2.25</v>
      </c>
      <c r="T148" s="42">
        <f t="shared" si="163"/>
        <v>2.25</v>
      </c>
      <c r="U148" s="72">
        <f t="shared" si="186"/>
        <v>9</v>
      </c>
      <c r="V148" s="42">
        <f t="shared" si="164"/>
        <v>2.25</v>
      </c>
      <c r="W148" s="42">
        <f t="shared" si="164"/>
        <v>2.25</v>
      </c>
      <c r="X148" s="42">
        <f t="shared" si="164"/>
        <v>2.25</v>
      </c>
      <c r="Y148" s="42">
        <f t="shared" si="164"/>
        <v>2.25</v>
      </c>
      <c r="Z148" s="72">
        <f t="shared" si="187"/>
        <v>9</v>
      </c>
      <c r="AA148" s="42">
        <f t="shared" si="196"/>
        <v>2.25</v>
      </c>
      <c r="AB148" s="42">
        <f t="shared" si="196"/>
        <v>2.25</v>
      </c>
      <c r="AC148" s="42">
        <f t="shared" si="196"/>
        <v>2.25</v>
      </c>
      <c r="AD148" s="42">
        <f t="shared" si="196"/>
        <v>2.25</v>
      </c>
      <c r="AE148" s="72">
        <f t="shared" si="189"/>
        <v>9</v>
      </c>
      <c r="AF148" s="42">
        <f t="shared" si="165"/>
        <v>2.25</v>
      </c>
      <c r="AG148" s="42">
        <f t="shared" si="165"/>
        <v>2.25</v>
      </c>
      <c r="AH148" s="42">
        <f t="shared" si="165"/>
        <v>2.25</v>
      </c>
      <c r="AI148" s="42">
        <f t="shared" si="165"/>
        <v>2.25</v>
      </c>
      <c r="AJ148" s="72">
        <f t="shared" si="190"/>
        <v>9</v>
      </c>
      <c r="AK148" s="42">
        <f t="shared" si="166"/>
        <v>2.25</v>
      </c>
      <c r="AL148" s="42">
        <f t="shared" si="167"/>
        <v>2.25</v>
      </c>
      <c r="AM148" s="42">
        <f t="shared" si="168"/>
        <v>2.25</v>
      </c>
      <c r="AN148" s="42">
        <f t="shared" si="169"/>
        <v>2.25</v>
      </c>
      <c r="AO148" s="72">
        <f t="shared" si="191"/>
        <v>9</v>
      </c>
      <c r="AP148" s="42">
        <f t="shared" si="170"/>
        <v>2.25</v>
      </c>
      <c r="AQ148" s="42">
        <f t="shared" si="171"/>
        <v>2.25</v>
      </c>
      <c r="AR148" s="42">
        <f t="shared" si="172"/>
        <v>2.25</v>
      </c>
      <c r="AS148" s="42">
        <f t="shared" si="173"/>
        <v>2.25</v>
      </c>
      <c r="AT148" s="72">
        <f t="shared" si="197"/>
        <v>9</v>
      </c>
      <c r="AU148" s="42">
        <f t="shared" si="174"/>
        <v>2.25</v>
      </c>
      <c r="AV148" s="42">
        <f t="shared" si="175"/>
        <v>2.25</v>
      </c>
      <c r="AW148" s="42">
        <f t="shared" si="176"/>
        <v>2.25</v>
      </c>
      <c r="AX148" s="42">
        <f t="shared" si="177"/>
        <v>2.25</v>
      </c>
      <c r="AY148" s="72">
        <f t="shared" si="198"/>
        <v>9</v>
      </c>
      <c r="AZ148" s="42">
        <f t="shared" si="178"/>
        <v>2.25</v>
      </c>
      <c r="BA148" s="42">
        <f t="shared" si="179"/>
        <v>2.25</v>
      </c>
      <c r="BB148" s="42">
        <f t="shared" si="180"/>
        <v>2.25</v>
      </c>
      <c r="BC148" s="42">
        <f t="shared" si="181"/>
        <v>2.25</v>
      </c>
      <c r="BD148" s="72">
        <f t="shared" si="199"/>
        <v>9</v>
      </c>
      <c r="BE148" s="42">
        <f t="shared" si="182"/>
        <v>2.25</v>
      </c>
      <c r="BF148" s="42">
        <f t="shared" si="183"/>
        <v>2.25</v>
      </c>
      <c r="BG148" s="42">
        <f t="shared" si="184"/>
        <v>1.125</v>
      </c>
      <c r="BH148" s="42">
        <f t="shared" si="185"/>
        <v>0</v>
      </c>
      <c r="BI148" s="72">
        <f t="shared" si="200"/>
        <v>5.625</v>
      </c>
    </row>
    <row r="149" spans="1:63" s="26" customFormat="1">
      <c r="A149" s="3" t="s">
        <v>360</v>
      </c>
      <c r="B149" s="41"/>
      <c r="C149" s="41"/>
      <c r="D149" s="41"/>
      <c r="E149" s="42"/>
      <c r="F149" s="43"/>
      <c r="G149" s="41"/>
      <c r="H149" s="41"/>
      <c r="I149" s="41"/>
      <c r="J149" s="42"/>
      <c r="K149" s="43"/>
      <c r="L149" s="41"/>
      <c r="M149" s="41"/>
      <c r="N149" s="41"/>
      <c r="O149" s="42"/>
      <c r="P149" s="72">
        <f t="shared" si="162"/>
        <v>0</v>
      </c>
      <c r="Q149" s="42">
        <f t="shared" si="163"/>
        <v>0</v>
      </c>
      <c r="R149" s="42">
        <f t="shared" si="163"/>
        <v>0</v>
      </c>
      <c r="S149" s="42">
        <f t="shared" si="163"/>
        <v>0</v>
      </c>
      <c r="T149" s="42">
        <f t="shared" si="163"/>
        <v>0</v>
      </c>
      <c r="U149" s="72">
        <f t="shared" si="186"/>
        <v>0</v>
      </c>
      <c r="V149" s="42">
        <f t="shared" si="164"/>
        <v>0</v>
      </c>
      <c r="W149" s="42">
        <f t="shared" si="164"/>
        <v>0</v>
      </c>
      <c r="X149" s="42">
        <f t="shared" si="164"/>
        <v>2.15625</v>
      </c>
      <c r="Y149" s="42">
        <f t="shared" si="164"/>
        <v>4.3125</v>
      </c>
      <c r="Z149" s="72">
        <f t="shared" si="187"/>
        <v>6.46875</v>
      </c>
      <c r="AA149" s="42">
        <f t="shared" si="196"/>
        <v>4.3125</v>
      </c>
      <c r="AB149" s="42">
        <f t="shared" si="196"/>
        <v>4.3125</v>
      </c>
      <c r="AC149" s="42">
        <f t="shared" si="196"/>
        <v>4.3125</v>
      </c>
      <c r="AD149" s="42">
        <f t="shared" si="196"/>
        <v>4.3125</v>
      </c>
      <c r="AE149" s="72">
        <f t="shared" si="189"/>
        <v>17.25</v>
      </c>
      <c r="AF149" s="42">
        <f t="shared" si="165"/>
        <v>4.3125</v>
      </c>
      <c r="AG149" s="42">
        <f t="shared" si="165"/>
        <v>4.3125</v>
      </c>
      <c r="AH149" s="42">
        <f t="shared" si="165"/>
        <v>2.15625</v>
      </c>
      <c r="AI149" s="42">
        <f t="shared" si="165"/>
        <v>0</v>
      </c>
      <c r="AJ149" s="72">
        <f t="shared" si="190"/>
        <v>10.78125</v>
      </c>
      <c r="AK149" s="42">
        <f t="shared" si="166"/>
        <v>0</v>
      </c>
      <c r="AL149" s="42">
        <f t="shared" si="167"/>
        <v>0</v>
      </c>
      <c r="AM149" s="42">
        <f t="shared" si="168"/>
        <v>0</v>
      </c>
      <c r="AN149" s="42">
        <f t="shared" si="169"/>
        <v>0</v>
      </c>
      <c r="AO149" s="72">
        <f t="shared" si="191"/>
        <v>0</v>
      </c>
      <c r="AP149" s="42">
        <f t="shared" si="170"/>
        <v>0</v>
      </c>
      <c r="AQ149" s="42">
        <f t="shared" si="171"/>
        <v>0</v>
      </c>
      <c r="AR149" s="42">
        <f t="shared" si="172"/>
        <v>0</v>
      </c>
      <c r="AS149" s="42">
        <f t="shared" si="173"/>
        <v>0</v>
      </c>
      <c r="AT149" s="72">
        <f t="shared" si="197"/>
        <v>0</v>
      </c>
      <c r="AU149" s="42">
        <f t="shared" si="174"/>
        <v>0</v>
      </c>
      <c r="AV149" s="42">
        <f t="shared" si="175"/>
        <v>0</v>
      </c>
      <c r="AW149" s="42">
        <f t="shared" si="176"/>
        <v>0</v>
      </c>
      <c r="AX149" s="42">
        <f t="shared" si="177"/>
        <v>0</v>
      </c>
      <c r="AY149" s="72">
        <f t="shared" si="198"/>
        <v>0</v>
      </c>
      <c r="AZ149" s="42">
        <f t="shared" si="178"/>
        <v>0</v>
      </c>
      <c r="BA149" s="42">
        <f t="shared" si="179"/>
        <v>0</v>
      </c>
      <c r="BB149" s="42">
        <f t="shared" si="180"/>
        <v>0</v>
      </c>
      <c r="BC149" s="42">
        <f t="shared" si="181"/>
        <v>0</v>
      </c>
      <c r="BD149" s="72">
        <f t="shared" si="199"/>
        <v>0</v>
      </c>
      <c r="BE149" s="42">
        <f t="shared" si="182"/>
        <v>0</v>
      </c>
      <c r="BF149" s="42">
        <f t="shared" si="183"/>
        <v>0</v>
      </c>
      <c r="BG149" s="42">
        <f t="shared" si="184"/>
        <v>0</v>
      </c>
      <c r="BH149" s="42">
        <f t="shared" si="185"/>
        <v>0</v>
      </c>
      <c r="BI149" s="72">
        <f t="shared" si="200"/>
        <v>0</v>
      </c>
    </row>
    <row r="150" spans="1:63" s="26" customFormat="1">
      <c r="A150" s="3" t="s">
        <v>361</v>
      </c>
      <c r="B150" s="41"/>
      <c r="C150" s="41"/>
      <c r="D150" s="41"/>
      <c r="E150" s="42"/>
      <c r="F150" s="43"/>
      <c r="G150" s="41"/>
      <c r="H150" s="41"/>
      <c r="I150" s="41"/>
      <c r="J150" s="42"/>
      <c r="K150" s="43"/>
      <c r="L150" s="41"/>
      <c r="M150" s="41"/>
      <c r="N150" s="41"/>
      <c r="O150" s="42"/>
      <c r="P150" s="72">
        <f t="shared" si="162"/>
        <v>7.05</v>
      </c>
      <c r="Q150" s="42">
        <f t="shared" si="163"/>
        <v>1.7625</v>
      </c>
      <c r="R150" s="42">
        <f t="shared" si="163"/>
        <v>1.7625</v>
      </c>
      <c r="S150" s="42">
        <f t="shared" si="163"/>
        <v>1.7625</v>
      </c>
      <c r="T150" s="42">
        <f t="shared" si="163"/>
        <v>1.7625</v>
      </c>
      <c r="U150" s="72">
        <f t="shared" si="186"/>
        <v>7.05</v>
      </c>
      <c r="V150" s="42">
        <f t="shared" si="164"/>
        <v>1.7625</v>
      </c>
      <c r="W150" s="42">
        <f t="shared" si="164"/>
        <v>1.7625</v>
      </c>
      <c r="X150" s="42">
        <f t="shared" si="164"/>
        <v>1.7625</v>
      </c>
      <c r="Y150" s="42">
        <f t="shared" si="164"/>
        <v>1.7625</v>
      </c>
      <c r="Z150" s="72">
        <f t="shared" si="187"/>
        <v>7.05</v>
      </c>
      <c r="AA150" s="42">
        <f t="shared" si="196"/>
        <v>1.7625</v>
      </c>
      <c r="AB150" s="42">
        <f t="shared" si="196"/>
        <v>1.7625</v>
      </c>
      <c r="AC150" s="42">
        <f t="shared" si="196"/>
        <v>1.7625</v>
      </c>
      <c r="AD150" s="42">
        <f t="shared" si="196"/>
        <v>1.7625</v>
      </c>
      <c r="AE150" s="72">
        <f t="shared" si="189"/>
        <v>7.05</v>
      </c>
      <c r="AF150" s="42">
        <f t="shared" si="165"/>
        <v>1.7625</v>
      </c>
      <c r="AG150" s="42">
        <f t="shared" si="165"/>
        <v>1.7625</v>
      </c>
      <c r="AH150" s="42">
        <f t="shared" si="165"/>
        <v>1.7625</v>
      </c>
      <c r="AI150" s="42">
        <f t="shared" si="165"/>
        <v>0.88124999999999998</v>
      </c>
      <c r="AJ150" s="72">
        <f t="shared" si="190"/>
        <v>6.1687499999999993</v>
      </c>
      <c r="AK150" s="42">
        <f t="shared" si="166"/>
        <v>0</v>
      </c>
      <c r="AL150" s="42">
        <f t="shared" si="167"/>
        <v>0</v>
      </c>
      <c r="AM150" s="42">
        <f t="shared" si="168"/>
        <v>0</v>
      </c>
      <c r="AN150" s="42">
        <f t="shared" si="169"/>
        <v>0</v>
      </c>
      <c r="AO150" s="72">
        <f t="shared" si="191"/>
        <v>0</v>
      </c>
      <c r="AP150" s="42">
        <f t="shared" si="170"/>
        <v>0</v>
      </c>
      <c r="AQ150" s="42">
        <f t="shared" si="171"/>
        <v>0</v>
      </c>
      <c r="AR150" s="42">
        <f t="shared" si="172"/>
        <v>0</v>
      </c>
      <c r="AS150" s="42">
        <f t="shared" si="173"/>
        <v>0</v>
      </c>
      <c r="AT150" s="72">
        <f t="shared" si="197"/>
        <v>0</v>
      </c>
      <c r="AU150" s="42">
        <f t="shared" si="174"/>
        <v>0</v>
      </c>
      <c r="AV150" s="42">
        <f t="shared" si="175"/>
        <v>0</v>
      </c>
      <c r="AW150" s="42">
        <f t="shared" si="176"/>
        <v>0</v>
      </c>
      <c r="AX150" s="42">
        <f t="shared" si="177"/>
        <v>0</v>
      </c>
      <c r="AY150" s="72">
        <f t="shared" si="198"/>
        <v>0</v>
      </c>
      <c r="AZ150" s="42">
        <f t="shared" si="178"/>
        <v>0</v>
      </c>
      <c r="BA150" s="42">
        <f t="shared" si="179"/>
        <v>0</v>
      </c>
      <c r="BB150" s="42">
        <f t="shared" si="180"/>
        <v>0</v>
      </c>
      <c r="BC150" s="42">
        <f t="shared" si="181"/>
        <v>0</v>
      </c>
      <c r="BD150" s="72">
        <f t="shared" si="199"/>
        <v>0</v>
      </c>
      <c r="BE150" s="42">
        <f t="shared" si="182"/>
        <v>0</v>
      </c>
      <c r="BF150" s="42">
        <f t="shared" si="183"/>
        <v>0</v>
      </c>
      <c r="BG150" s="42">
        <f t="shared" si="184"/>
        <v>0</v>
      </c>
      <c r="BH150" s="42">
        <f t="shared" si="185"/>
        <v>0</v>
      </c>
      <c r="BI150" s="72">
        <f t="shared" si="200"/>
        <v>0</v>
      </c>
    </row>
    <row r="151" spans="1:63" s="26" customFormat="1">
      <c r="A151" s="3" t="s">
        <v>362</v>
      </c>
      <c r="B151" s="41"/>
      <c r="C151" s="41"/>
      <c r="D151" s="41"/>
      <c r="E151" s="42"/>
      <c r="F151" s="43"/>
      <c r="G151" s="41"/>
      <c r="H151" s="41"/>
      <c r="I151" s="41"/>
      <c r="J151" s="42"/>
      <c r="K151" s="43"/>
      <c r="L151" s="41"/>
      <c r="M151" s="41"/>
      <c r="N151" s="41"/>
      <c r="O151" s="42"/>
      <c r="P151" s="72">
        <f t="shared" si="162"/>
        <v>6.25</v>
      </c>
      <c r="Q151" s="42">
        <f t="shared" si="163"/>
        <v>1.5625</v>
      </c>
      <c r="R151" s="42">
        <f t="shared" si="163"/>
        <v>1.5625</v>
      </c>
      <c r="S151" s="42">
        <f t="shared" si="163"/>
        <v>1.5625</v>
      </c>
      <c r="T151" s="42">
        <f t="shared" si="163"/>
        <v>1.5625</v>
      </c>
      <c r="U151" s="72">
        <f t="shared" si="186"/>
        <v>6.25</v>
      </c>
      <c r="V151" s="42">
        <f t="shared" si="164"/>
        <v>1.5625</v>
      </c>
      <c r="W151" s="42">
        <f t="shared" si="164"/>
        <v>1.5625</v>
      </c>
      <c r="X151" s="42">
        <f t="shared" si="164"/>
        <v>1.5625</v>
      </c>
      <c r="Y151" s="42">
        <f t="shared" si="164"/>
        <v>1.5625</v>
      </c>
      <c r="Z151" s="72">
        <f t="shared" si="187"/>
        <v>6.25</v>
      </c>
      <c r="AA151" s="42">
        <f t="shared" si="196"/>
        <v>1.5625</v>
      </c>
      <c r="AB151" s="42">
        <f t="shared" si="196"/>
        <v>1.5625</v>
      </c>
      <c r="AC151" s="42">
        <f t="shared" si="196"/>
        <v>1.5625</v>
      </c>
      <c r="AD151" s="42">
        <f t="shared" si="196"/>
        <v>1.5625</v>
      </c>
      <c r="AE151" s="72">
        <f t="shared" si="189"/>
        <v>6.25</v>
      </c>
      <c r="AF151" s="42">
        <f t="shared" si="165"/>
        <v>1.5625</v>
      </c>
      <c r="AG151" s="42">
        <f t="shared" si="165"/>
        <v>1.5625</v>
      </c>
      <c r="AH151" s="42">
        <f t="shared" si="165"/>
        <v>1.5625</v>
      </c>
      <c r="AI151" s="42">
        <f t="shared" si="165"/>
        <v>1.5625</v>
      </c>
      <c r="AJ151" s="72">
        <f t="shared" si="190"/>
        <v>6.25</v>
      </c>
      <c r="AK151" s="42">
        <f t="shared" si="166"/>
        <v>1.5625</v>
      </c>
      <c r="AL151" s="42">
        <f t="shared" si="167"/>
        <v>1.5625</v>
      </c>
      <c r="AM151" s="42">
        <f t="shared" si="168"/>
        <v>1.5625</v>
      </c>
      <c r="AN151" s="42">
        <f t="shared" si="169"/>
        <v>1.5625</v>
      </c>
      <c r="AO151" s="72">
        <f t="shared" si="191"/>
        <v>6.25</v>
      </c>
      <c r="AP151" s="42">
        <f t="shared" si="170"/>
        <v>1.5625</v>
      </c>
      <c r="AQ151" s="42">
        <f t="shared" si="171"/>
        <v>1.5625</v>
      </c>
      <c r="AR151" s="42">
        <f t="shared" si="172"/>
        <v>1.5625</v>
      </c>
      <c r="AS151" s="42">
        <f t="shared" si="173"/>
        <v>1.5625</v>
      </c>
      <c r="AT151" s="72">
        <f t="shared" si="197"/>
        <v>6.25</v>
      </c>
      <c r="AU151" s="42">
        <f t="shared" si="174"/>
        <v>1.5625</v>
      </c>
      <c r="AV151" s="42">
        <f t="shared" si="175"/>
        <v>1.5625</v>
      </c>
      <c r="AW151" s="42">
        <f t="shared" si="176"/>
        <v>1.5625</v>
      </c>
      <c r="AX151" s="42">
        <f t="shared" si="177"/>
        <v>1.5625</v>
      </c>
      <c r="AY151" s="72">
        <f t="shared" si="198"/>
        <v>6.25</v>
      </c>
      <c r="AZ151" s="42">
        <f t="shared" si="178"/>
        <v>1.5625</v>
      </c>
      <c r="BA151" s="42">
        <f t="shared" si="179"/>
        <v>1.5625</v>
      </c>
      <c r="BB151" s="42">
        <f t="shared" si="180"/>
        <v>1.5625</v>
      </c>
      <c r="BC151" s="42">
        <f t="shared" si="181"/>
        <v>1.5625</v>
      </c>
      <c r="BD151" s="72">
        <f t="shared" si="199"/>
        <v>6.25</v>
      </c>
      <c r="BE151" s="42">
        <f t="shared" si="182"/>
        <v>0.78125</v>
      </c>
      <c r="BF151" s="42">
        <f t="shared" si="183"/>
        <v>0</v>
      </c>
      <c r="BG151" s="42">
        <f t="shared" si="184"/>
        <v>0</v>
      </c>
      <c r="BH151" s="42">
        <f t="shared" si="185"/>
        <v>0</v>
      </c>
      <c r="BI151" s="72">
        <f t="shared" si="200"/>
        <v>0.78125</v>
      </c>
    </row>
    <row r="152" spans="1:63" s="26" customFormat="1">
      <c r="A152" s="3" t="s">
        <v>363</v>
      </c>
      <c r="B152" s="41"/>
      <c r="C152" s="41"/>
      <c r="D152" s="41"/>
      <c r="E152" s="42"/>
      <c r="F152" s="43"/>
      <c r="G152" s="41"/>
      <c r="H152" s="41"/>
      <c r="I152" s="41"/>
      <c r="J152" s="42"/>
      <c r="K152" s="43"/>
      <c r="L152" s="41"/>
      <c r="M152" s="41"/>
      <c r="N152" s="41"/>
      <c r="O152" s="42"/>
      <c r="P152" s="72">
        <f t="shared" si="162"/>
        <v>7.8</v>
      </c>
      <c r="Q152" s="42">
        <f t="shared" si="163"/>
        <v>1.95</v>
      </c>
      <c r="R152" s="42">
        <f t="shared" si="163"/>
        <v>1.95</v>
      </c>
      <c r="S152" s="42">
        <f t="shared" si="163"/>
        <v>1.95</v>
      </c>
      <c r="T152" s="42">
        <f t="shared" si="163"/>
        <v>1.95</v>
      </c>
      <c r="U152" s="72">
        <f t="shared" si="186"/>
        <v>7.8</v>
      </c>
      <c r="V152" s="42">
        <f t="shared" si="164"/>
        <v>1.95</v>
      </c>
      <c r="W152" s="42">
        <f t="shared" si="164"/>
        <v>1.95</v>
      </c>
      <c r="X152" s="42">
        <f t="shared" si="164"/>
        <v>1.95</v>
      </c>
      <c r="Y152" s="42">
        <f t="shared" si="164"/>
        <v>1.95</v>
      </c>
      <c r="Z152" s="72">
        <f t="shared" si="187"/>
        <v>7.8</v>
      </c>
      <c r="AA152" s="42">
        <f t="shared" si="196"/>
        <v>1.95</v>
      </c>
      <c r="AB152" s="42">
        <f t="shared" si="196"/>
        <v>1.95</v>
      </c>
      <c r="AC152" s="42">
        <f t="shared" si="196"/>
        <v>1.95</v>
      </c>
      <c r="AD152" s="42">
        <f t="shared" si="196"/>
        <v>1.95</v>
      </c>
      <c r="AE152" s="72">
        <f t="shared" si="189"/>
        <v>7.8</v>
      </c>
      <c r="AF152" s="42">
        <f t="shared" si="165"/>
        <v>1.95</v>
      </c>
      <c r="AG152" s="42">
        <f t="shared" si="165"/>
        <v>1.95</v>
      </c>
      <c r="AH152" s="42">
        <f t="shared" si="165"/>
        <v>1.95</v>
      </c>
      <c r="AI152" s="42">
        <f t="shared" si="165"/>
        <v>1.95</v>
      </c>
      <c r="AJ152" s="72">
        <f t="shared" si="190"/>
        <v>7.8</v>
      </c>
      <c r="AK152" s="42">
        <f t="shared" si="166"/>
        <v>1.95</v>
      </c>
      <c r="AL152" s="42">
        <f t="shared" si="167"/>
        <v>1.95</v>
      </c>
      <c r="AM152" s="42">
        <f t="shared" si="168"/>
        <v>1.95</v>
      </c>
      <c r="AN152" s="42">
        <f t="shared" si="169"/>
        <v>1.95</v>
      </c>
      <c r="AO152" s="72">
        <f t="shared" si="191"/>
        <v>7.8</v>
      </c>
      <c r="AP152" s="42">
        <f t="shared" si="170"/>
        <v>1.95</v>
      </c>
      <c r="AQ152" s="42">
        <f t="shared" si="171"/>
        <v>1.95</v>
      </c>
      <c r="AR152" s="42">
        <f t="shared" si="172"/>
        <v>1.95</v>
      </c>
      <c r="AS152" s="42">
        <f t="shared" si="173"/>
        <v>1.95</v>
      </c>
      <c r="AT152" s="72">
        <f t="shared" si="197"/>
        <v>7.8</v>
      </c>
      <c r="AU152" s="42">
        <f t="shared" si="174"/>
        <v>1.95</v>
      </c>
      <c r="AV152" s="42">
        <f t="shared" si="175"/>
        <v>1.95</v>
      </c>
      <c r="AW152" s="42">
        <f t="shared" si="176"/>
        <v>1.95</v>
      </c>
      <c r="AX152" s="42">
        <f t="shared" si="177"/>
        <v>1.95</v>
      </c>
      <c r="AY152" s="72">
        <f t="shared" si="198"/>
        <v>7.8</v>
      </c>
      <c r="AZ152" s="42">
        <f t="shared" si="178"/>
        <v>1.95</v>
      </c>
      <c r="BA152" s="42">
        <f t="shared" si="179"/>
        <v>1.95</v>
      </c>
      <c r="BB152" s="42">
        <f t="shared" si="180"/>
        <v>1.95</v>
      </c>
      <c r="BC152" s="42">
        <f t="shared" si="181"/>
        <v>1.95</v>
      </c>
      <c r="BD152" s="72">
        <f t="shared" si="199"/>
        <v>7.8</v>
      </c>
      <c r="BE152" s="42">
        <f t="shared" si="182"/>
        <v>0.97499999999999998</v>
      </c>
      <c r="BF152" s="42">
        <f t="shared" si="183"/>
        <v>0</v>
      </c>
      <c r="BG152" s="42">
        <f t="shared" si="184"/>
        <v>0</v>
      </c>
      <c r="BH152" s="42">
        <f t="shared" si="185"/>
        <v>0</v>
      </c>
      <c r="BI152" s="72">
        <f t="shared" si="200"/>
        <v>0.97499999999999998</v>
      </c>
    </row>
    <row r="153" spans="1:63" s="26" customFormat="1">
      <c r="A153" s="3" t="s">
        <v>364</v>
      </c>
      <c r="B153" s="41"/>
      <c r="C153" s="41"/>
      <c r="D153" s="41"/>
      <c r="E153" s="42"/>
      <c r="F153" s="43"/>
      <c r="G153" s="41"/>
      <c r="H153" s="41"/>
      <c r="I153" s="41"/>
      <c r="J153" s="42"/>
      <c r="K153" s="43"/>
      <c r="L153" s="41"/>
      <c r="M153" s="41"/>
      <c r="N153" s="41"/>
      <c r="O153" s="42"/>
      <c r="P153" s="72">
        <f t="shared" si="162"/>
        <v>0</v>
      </c>
      <c r="Q153" s="42">
        <f t="shared" si="163"/>
        <v>0</v>
      </c>
      <c r="R153" s="42">
        <f t="shared" si="163"/>
        <v>0</v>
      </c>
      <c r="S153" s="42">
        <f t="shared" si="163"/>
        <v>0</v>
      </c>
      <c r="T153" s="42">
        <f t="shared" si="163"/>
        <v>0</v>
      </c>
      <c r="U153" s="72">
        <f t="shared" si="186"/>
        <v>0</v>
      </c>
      <c r="V153" s="42">
        <f t="shared" si="164"/>
        <v>0</v>
      </c>
      <c r="W153" s="42">
        <f t="shared" si="164"/>
        <v>0</v>
      </c>
      <c r="X153" s="42">
        <f t="shared" si="164"/>
        <v>3.375</v>
      </c>
      <c r="Y153" s="42">
        <f t="shared" si="164"/>
        <v>6.75</v>
      </c>
      <c r="Z153" s="72">
        <f t="shared" si="187"/>
        <v>10.125</v>
      </c>
      <c r="AA153" s="42">
        <f t="shared" si="196"/>
        <v>6.75</v>
      </c>
      <c r="AB153" s="42">
        <f t="shared" si="196"/>
        <v>6.75</v>
      </c>
      <c r="AC153" s="42">
        <f t="shared" si="196"/>
        <v>6.75</v>
      </c>
      <c r="AD153" s="42">
        <f t="shared" si="196"/>
        <v>6.75</v>
      </c>
      <c r="AE153" s="72">
        <f t="shared" si="189"/>
        <v>27</v>
      </c>
      <c r="AF153" s="42">
        <f t="shared" si="165"/>
        <v>6.75</v>
      </c>
      <c r="AG153" s="42">
        <f t="shared" si="165"/>
        <v>6.75</v>
      </c>
      <c r="AH153" s="42">
        <f t="shared" si="165"/>
        <v>6.75</v>
      </c>
      <c r="AI153" s="42">
        <f t="shared" si="165"/>
        <v>6.75</v>
      </c>
      <c r="AJ153" s="72">
        <f t="shared" si="190"/>
        <v>27</v>
      </c>
      <c r="AK153" s="42">
        <f t="shared" si="166"/>
        <v>6.75</v>
      </c>
      <c r="AL153" s="42">
        <f t="shared" si="167"/>
        <v>6.75</v>
      </c>
      <c r="AM153" s="42">
        <f t="shared" si="168"/>
        <v>6.75</v>
      </c>
      <c r="AN153" s="42">
        <f t="shared" si="169"/>
        <v>6.75</v>
      </c>
      <c r="AO153" s="72">
        <f t="shared" si="191"/>
        <v>27</v>
      </c>
      <c r="AP153" s="42">
        <f t="shared" si="170"/>
        <v>6.75</v>
      </c>
      <c r="AQ153" s="42">
        <f t="shared" si="171"/>
        <v>6.75</v>
      </c>
      <c r="AR153" s="42">
        <f t="shared" si="172"/>
        <v>6.75</v>
      </c>
      <c r="AS153" s="42">
        <f t="shared" si="173"/>
        <v>6.75</v>
      </c>
      <c r="AT153" s="72">
        <f t="shared" si="197"/>
        <v>27</v>
      </c>
      <c r="AU153" s="42">
        <f t="shared" si="174"/>
        <v>6.75</v>
      </c>
      <c r="AV153" s="42">
        <f t="shared" si="175"/>
        <v>6.75</v>
      </c>
      <c r="AW153" s="42">
        <f t="shared" si="176"/>
        <v>6.75</v>
      </c>
      <c r="AX153" s="42">
        <f t="shared" si="177"/>
        <v>6.75</v>
      </c>
      <c r="AY153" s="72">
        <f t="shared" si="198"/>
        <v>27</v>
      </c>
      <c r="AZ153" s="42">
        <f t="shared" si="178"/>
        <v>6.75</v>
      </c>
      <c r="BA153" s="42">
        <f t="shared" si="179"/>
        <v>6.75</v>
      </c>
      <c r="BB153" s="42">
        <f t="shared" si="180"/>
        <v>6.75</v>
      </c>
      <c r="BC153" s="42">
        <f t="shared" si="181"/>
        <v>6.75</v>
      </c>
      <c r="BD153" s="72">
        <f t="shared" si="199"/>
        <v>27</v>
      </c>
      <c r="BE153" s="42">
        <f t="shared" si="182"/>
        <v>6.75</v>
      </c>
      <c r="BF153" s="42">
        <f t="shared" si="183"/>
        <v>6.75</v>
      </c>
      <c r="BG153" s="42">
        <f t="shared" si="184"/>
        <v>6.75</v>
      </c>
      <c r="BH153" s="42">
        <f t="shared" si="185"/>
        <v>6.75</v>
      </c>
      <c r="BI153" s="72">
        <f t="shared" si="200"/>
        <v>27</v>
      </c>
    </row>
    <row r="154" spans="1:63" s="26" customFormat="1">
      <c r="A154" s="3" t="s">
        <v>365</v>
      </c>
      <c r="B154" s="41"/>
      <c r="C154" s="41"/>
      <c r="D154" s="41"/>
      <c r="E154" s="42"/>
      <c r="F154" s="43"/>
      <c r="G154" s="41"/>
      <c r="H154" s="41"/>
      <c r="I154" s="41"/>
      <c r="J154" s="42"/>
      <c r="K154" s="43"/>
      <c r="L154" s="41"/>
      <c r="M154" s="41"/>
      <c r="N154" s="41"/>
      <c r="O154" s="42"/>
      <c r="P154" s="72">
        <f t="shared" si="162"/>
        <v>0</v>
      </c>
      <c r="Q154" s="42">
        <f t="shared" si="163"/>
        <v>0</v>
      </c>
      <c r="R154" s="42">
        <f t="shared" si="163"/>
        <v>0</v>
      </c>
      <c r="S154" s="42">
        <f t="shared" si="163"/>
        <v>0</v>
      </c>
      <c r="T154" s="42">
        <f t="shared" si="163"/>
        <v>0</v>
      </c>
      <c r="U154" s="72">
        <f t="shared" si="186"/>
        <v>0</v>
      </c>
      <c r="V154" s="42">
        <f t="shared" si="164"/>
        <v>0</v>
      </c>
      <c r="W154" s="42">
        <f t="shared" si="164"/>
        <v>2.0249999999999999</v>
      </c>
      <c r="X154" s="42">
        <f t="shared" si="164"/>
        <v>4.05</v>
      </c>
      <c r="Y154" s="42">
        <f t="shared" si="164"/>
        <v>4.05</v>
      </c>
      <c r="Z154" s="72">
        <f t="shared" si="187"/>
        <v>10.125</v>
      </c>
      <c r="AA154" s="42">
        <f t="shared" si="196"/>
        <v>4.05</v>
      </c>
      <c r="AB154" s="42">
        <f t="shared" si="196"/>
        <v>4.05</v>
      </c>
      <c r="AC154" s="42">
        <f t="shared" si="196"/>
        <v>4.05</v>
      </c>
      <c r="AD154" s="42">
        <f t="shared" si="196"/>
        <v>4.05</v>
      </c>
      <c r="AE154" s="72">
        <f t="shared" si="189"/>
        <v>16.2</v>
      </c>
      <c r="AF154" s="42">
        <f t="shared" si="165"/>
        <v>4.05</v>
      </c>
      <c r="AG154" s="42">
        <f t="shared" si="165"/>
        <v>4.05</v>
      </c>
      <c r="AH154" s="42">
        <f t="shared" si="165"/>
        <v>4.05</v>
      </c>
      <c r="AI154" s="42">
        <f t="shared" si="165"/>
        <v>4.05</v>
      </c>
      <c r="AJ154" s="72">
        <f t="shared" si="190"/>
        <v>16.2</v>
      </c>
      <c r="AK154" s="42">
        <f t="shared" si="166"/>
        <v>4.05</v>
      </c>
      <c r="AL154" s="42">
        <f t="shared" si="167"/>
        <v>2.0249999999999999</v>
      </c>
      <c r="AM154" s="42">
        <f t="shared" si="168"/>
        <v>0</v>
      </c>
      <c r="AN154" s="42">
        <f t="shared" si="169"/>
        <v>0</v>
      </c>
      <c r="AO154" s="72">
        <f t="shared" si="191"/>
        <v>6.0749999999999993</v>
      </c>
      <c r="AP154" s="42">
        <f t="shared" si="170"/>
        <v>0</v>
      </c>
      <c r="AQ154" s="42">
        <f t="shared" si="171"/>
        <v>0</v>
      </c>
      <c r="AR154" s="42">
        <f t="shared" si="172"/>
        <v>0</v>
      </c>
      <c r="AS154" s="42">
        <f t="shared" si="173"/>
        <v>0</v>
      </c>
      <c r="AT154" s="72">
        <f t="shared" si="197"/>
        <v>0</v>
      </c>
      <c r="AU154" s="42">
        <f t="shared" si="174"/>
        <v>0</v>
      </c>
      <c r="AV154" s="42">
        <f t="shared" si="175"/>
        <v>0</v>
      </c>
      <c r="AW154" s="42">
        <f t="shared" si="176"/>
        <v>0</v>
      </c>
      <c r="AX154" s="42">
        <f t="shared" si="177"/>
        <v>0</v>
      </c>
      <c r="AY154" s="72">
        <f t="shared" si="198"/>
        <v>0</v>
      </c>
      <c r="AZ154" s="42">
        <f t="shared" si="178"/>
        <v>0</v>
      </c>
      <c r="BA154" s="42">
        <f t="shared" si="179"/>
        <v>0</v>
      </c>
      <c r="BB154" s="42">
        <f t="shared" si="180"/>
        <v>0</v>
      </c>
      <c r="BC154" s="42">
        <f t="shared" si="181"/>
        <v>0</v>
      </c>
      <c r="BD154" s="72">
        <f t="shared" si="199"/>
        <v>0</v>
      </c>
      <c r="BE154" s="42">
        <f t="shared" si="182"/>
        <v>0</v>
      </c>
      <c r="BF154" s="42">
        <f t="shared" si="183"/>
        <v>0</v>
      </c>
      <c r="BG154" s="42">
        <f t="shared" si="184"/>
        <v>0</v>
      </c>
      <c r="BH154" s="42">
        <f t="shared" si="185"/>
        <v>0</v>
      </c>
      <c r="BI154" s="72">
        <f t="shared" si="200"/>
        <v>0</v>
      </c>
    </row>
    <row r="155" spans="1:63" s="26" customFormat="1">
      <c r="A155" s="3" t="s">
        <v>366</v>
      </c>
      <c r="B155" s="41"/>
      <c r="C155" s="41"/>
      <c r="D155" s="41"/>
      <c r="E155" s="42"/>
      <c r="F155" s="43"/>
      <c r="G155" s="41"/>
      <c r="H155" s="41"/>
      <c r="I155" s="41"/>
      <c r="J155" s="42"/>
      <c r="K155" s="43"/>
      <c r="L155" s="41"/>
      <c r="M155" s="41"/>
      <c r="N155" s="41"/>
      <c r="O155" s="42"/>
      <c r="P155" s="72">
        <f t="shared" si="162"/>
        <v>0</v>
      </c>
      <c r="Q155" s="42">
        <f t="shared" si="163"/>
        <v>0</v>
      </c>
      <c r="R155" s="42">
        <f t="shared" si="163"/>
        <v>0</v>
      </c>
      <c r="S155" s="42">
        <f t="shared" si="163"/>
        <v>0</v>
      </c>
      <c r="T155" s="42">
        <f t="shared" si="163"/>
        <v>0</v>
      </c>
      <c r="U155" s="72">
        <f t="shared" si="186"/>
        <v>0</v>
      </c>
      <c r="V155" s="42">
        <f t="shared" si="164"/>
        <v>1.4000000000000001</v>
      </c>
      <c r="W155" s="42">
        <f t="shared" si="164"/>
        <v>2.8000000000000003</v>
      </c>
      <c r="X155" s="42">
        <f t="shared" si="164"/>
        <v>2.8000000000000003</v>
      </c>
      <c r="Y155" s="42">
        <f t="shared" si="164"/>
        <v>2.8000000000000003</v>
      </c>
      <c r="Z155" s="72">
        <f t="shared" si="187"/>
        <v>9.8000000000000007</v>
      </c>
      <c r="AA155" s="42">
        <f t="shared" si="196"/>
        <v>2.8000000000000003</v>
      </c>
      <c r="AB155" s="42">
        <f t="shared" si="196"/>
        <v>2.8000000000000003</v>
      </c>
      <c r="AC155" s="42">
        <f t="shared" si="196"/>
        <v>2.8000000000000003</v>
      </c>
      <c r="AD155" s="42">
        <f t="shared" si="196"/>
        <v>2.8000000000000003</v>
      </c>
      <c r="AE155" s="72">
        <f t="shared" si="189"/>
        <v>11.200000000000001</v>
      </c>
      <c r="AF155" s="42">
        <f t="shared" si="165"/>
        <v>2.8000000000000003</v>
      </c>
      <c r="AG155" s="42">
        <f t="shared" si="165"/>
        <v>2.8000000000000003</v>
      </c>
      <c r="AH155" s="42">
        <f t="shared" si="165"/>
        <v>2.8000000000000003</v>
      </c>
      <c r="AI155" s="42">
        <f t="shared" si="165"/>
        <v>2.8000000000000003</v>
      </c>
      <c r="AJ155" s="72">
        <f t="shared" si="190"/>
        <v>11.200000000000001</v>
      </c>
      <c r="AK155" s="42">
        <f t="shared" si="166"/>
        <v>2.8000000000000003</v>
      </c>
      <c r="AL155" s="42">
        <f t="shared" si="167"/>
        <v>2.8000000000000003</v>
      </c>
      <c r="AM155" s="42">
        <f t="shared" si="168"/>
        <v>2.8000000000000003</v>
      </c>
      <c r="AN155" s="42">
        <f t="shared" si="169"/>
        <v>2.8000000000000003</v>
      </c>
      <c r="AO155" s="72">
        <f t="shared" si="191"/>
        <v>11.200000000000001</v>
      </c>
      <c r="AP155" s="42">
        <f t="shared" si="170"/>
        <v>2.8000000000000003</v>
      </c>
      <c r="AQ155" s="42">
        <f t="shared" si="171"/>
        <v>2.8000000000000003</v>
      </c>
      <c r="AR155" s="42">
        <f t="shared" si="172"/>
        <v>2.8000000000000003</v>
      </c>
      <c r="AS155" s="42">
        <f t="shared" si="173"/>
        <v>2.8000000000000003</v>
      </c>
      <c r="AT155" s="72">
        <f t="shared" si="197"/>
        <v>11.200000000000001</v>
      </c>
      <c r="AU155" s="42">
        <f t="shared" si="174"/>
        <v>1.4000000000000001</v>
      </c>
      <c r="AV155" s="42">
        <f t="shared" si="175"/>
        <v>0</v>
      </c>
      <c r="AW155" s="42">
        <f t="shared" si="176"/>
        <v>0</v>
      </c>
      <c r="AX155" s="42">
        <f t="shared" si="177"/>
        <v>0</v>
      </c>
      <c r="AY155" s="72">
        <f t="shared" si="198"/>
        <v>1.4000000000000001</v>
      </c>
      <c r="AZ155" s="42">
        <f t="shared" si="178"/>
        <v>0</v>
      </c>
      <c r="BA155" s="42">
        <f t="shared" si="179"/>
        <v>0</v>
      </c>
      <c r="BB155" s="42">
        <f t="shared" si="180"/>
        <v>0</v>
      </c>
      <c r="BC155" s="42">
        <f t="shared" si="181"/>
        <v>0</v>
      </c>
      <c r="BD155" s="72">
        <f t="shared" si="199"/>
        <v>0</v>
      </c>
      <c r="BE155" s="42">
        <f t="shared" si="182"/>
        <v>0</v>
      </c>
      <c r="BF155" s="42">
        <f t="shared" si="183"/>
        <v>0</v>
      </c>
      <c r="BG155" s="42">
        <f t="shared" si="184"/>
        <v>0</v>
      </c>
      <c r="BH155" s="42">
        <f t="shared" si="185"/>
        <v>0</v>
      </c>
      <c r="BI155" s="72">
        <f t="shared" si="200"/>
        <v>0</v>
      </c>
    </row>
    <row r="156" spans="1:63" s="26" customFormat="1">
      <c r="A156" s="3" t="s">
        <v>589</v>
      </c>
      <c r="B156" s="41"/>
      <c r="C156" s="41"/>
      <c r="D156" s="41"/>
      <c r="E156" s="42"/>
      <c r="F156" s="43"/>
      <c r="G156" s="41"/>
      <c r="H156" s="41"/>
      <c r="I156" s="41"/>
      <c r="J156" s="42"/>
      <c r="K156" s="43"/>
      <c r="L156" s="41"/>
      <c r="M156" s="41"/>
      <c r="N156" s="41"/>
      <c r="O156" s="42"/>
      <c r="P156" s="72"/>
      <c r="Q156" s="42"/>
      <c r="R156" s="42"/>
      <c r="S156" s="42"/>
      <c r="T156" s="42"/>
      <c r="U156" s="72"/>
      <c r="V156" s="42"/>
      <c r="W156" s="42"/>
      <c r="X156" s="42"/>
      <c r="Y156" s="42"/>
      <c r="Z156" s="72"/>
      <c r="AA156" s="42"/>
      <c r="AB156" s="42"/>
      <c r="AC156" s="42"/>
      <c r="AD156" s="42"/>
      <c r="AE156" s="72"/>
      <c r="AF156" s="42">
        <f t="shared" si="165"/>
        <v>3.8656874999999999</v>
      </c>
      <c r="AG156" s="42">
        <f t="shared" si="165"/>
        <v>3.8656874999999999</v>
      </c>
      <c r="AH156" s="42">
        <f t="shared" si="165"/>
        <v>3.8656874999999999</v>
      </c>
      <c r="AI156" s="42">
        <f t="shared" si="165"/>
        <v>3.8656874999999999</v>
      </c>
      <c r="AJ156" s="72">
        <f>SUM(AF156:AI156)</f>
        <v>15.46275</v>
      </c>
      <c r="AK156" s="42">
        <f t="shared" si="166"/>
        <v>3.8656874999999999</v>
      </c>
      <c r="AL156" s="42">
        <f t="shared" si="167"/>
        <v>3.8656874999999999</v>
      </c>
      <c r="AM156" s="42">
        <f t="shared" si="168"/>
        <v>3.8656874999999999</v>
      </c>
      <c r="AN156" s="42">
        <f t="shared" si="169"/>
        <v>3.8656874999999999</v>
      </c>
      <c r="AO156" s="72">
        <f>SUM(AK156:AN156)</f>
        <v>15.46275</v>
      </c>
      <c r="AP156" s="42">
        <f t="shared" si="170"/>
        <v>1.93284375</v>
      </c>
      <c r="AQ156" s="42">
        <f t="shared" si="171"/>
        <v>0</v>
      </c>
      <c r="AR156" s="42">
        <f t="shared" si="172"/>
        <v>0</v>
      </c>
      <c r="AS156" s="42">
        <f t="shared" si="173"/>
        <v>0</v>
      </c>
      <c r="AT156" s="72">
        <f>SUM(AP156:AS156)</f>
        <v>1.93284375</v>
      </c>
      <c r="AU156" s="42">
        <f t="shared" si="174"/>
        <v>0</v>
      </c>
      <c r="AV156" s="42">
        <f t="shared" si="175"/>
        <v>0</v>
      </c>
      <c r="AW156" s="42">
        <f t="shared" si="176"/>
        <v>0</v>
      </c>
      <c r="AX156" s="42">
        <f t="shared" si="177"/>
        <v>0</v>
      </c>
      <c r="AY156" s="72">
        <f>SUM(AU156:AX156)</f>
        <v>0</v>
      </c>
      <c r="AZ156" s="42">
        <f t="shared" si="178"/>
        <v>0</v>
      </c>
      <c r="BA156" s="42">
        <f t="shared" si="179"/>
        <v>0</v>
      </c>
      <c r="BB156" s="42">
        <f t="shared" si="180"/>
        <v>0</v>
      </c>
      <c r="BC156" s="42">
        <f t="shared" si="181"/>
        <v>0</v>
      </c>
      <c r="BD156" s="72">
        <f>SUM(AZ156:BC156)</f>
        <v>0</v>
      </c>
      <c r="BE156" s="42">
        <f t="shared" si="182"/>
        <v>0</v>
      </c>
      <c r="BF156" s="42">
        <f t="shared" si="183"/>
        <v>0</v>
      </c>
      <c r="BG156" s="42">
        <f t="shared" si="184"/>
        <v>0</v>
      </c>
      <c r="BH156" s="42">
        <f t="shared" si="185"/>
        <v>0</v>
      </c>
      <c r="BI156" s="72">
        <f>SUM(BE156:BH156)</f>
        <v>0</v>
      </c>
    </row>
    <row r="157" spans="1:63" s="26" customFormat="1">
      <c r="A157" s="3" t="s">
        <v>592</v>
      </c>
      <c r="B157" s="41"/>
      <c r="C157" s="41"/>
      <c r="D157" s="41"/>
      <c r="E157" s="42"/>
      <c r="F157" s="43"/>
      <c r="G157" s="41"/>
      <c r="H157" s="41"/>
      <c r="I157" s="41"/>
      <c r="J157" s="42"/>
      <c r="K157" s="43"/>
      <c r="L157" s="41"/>
      <c r="M157" s="41"/>
      <c r="N157" s="41"/>
      <c r="O157" s="42"/>
      <c r="P157" s="72"/>
      <c r="Q157" s="42"/>
      <c r="R157" s="42"/>
      <c r="S157" s="42"/>
      <c r="T157" s="42"/>
      <c r="U157" s="72"/>
      <c r="V157" s="42"/>
      <c r="W157" s="42"/>
      <c r="X157" s="42"/>
      <c r="Y157" s="42"/>
      <c r="Z157" s="72"/>
      <c r="AA157" s="42"/>
      <c r="AB157" s="42"/>
      <c r="AC157" s="42"/>
      <c r="AD157" s="42"/>
      <c r="AE157" s="72"/>
      <c r="AF157" s="42">
        <f t="shared" si="165"/>
        <v>10.7475</v>
      </c>
      <c r="AG157" s="42">
        <f t="shared" si="165"/>
        <v>10.7475</v>
      </c>
      <c r="AH157" s="42">
        <f t="shared" si="165"/>
        <v>10.7475</v>
      </c>
      <c r="AI157" s="42">
        <f t="shared" si="165"/>
        <v>10.7475</v>
      </c>
      <c r="AJ157" s="72">
        <f>SUM(AF157:AI157)</f>
        <v>42.99</v>
      </c>
      <c r="AK157" s="42">
        <f t="shared" si="166"/>
        <v>10.7475</v>
      </c>
      <c r="AL157" s="42">
        <f t="shared" si="167"/>
        <v>10.7475</v>
      </c>
      <c r="AM157" s="42">
        <f t="shared" si="168"/>
        <v>10.7475</v>
      </c>
      <c r="AN157" s="42">
        <f t="shared" si="169"/>
        <v>10.7475</v>
      </c>
      <c r="AO157" s="72">
        <f>SUM(AK157:AN157)</f>
        <v>42.99</v>
      </c>
      <c r="AP157" s="42">
        <f t="shared" si="170"/>
        <v>10.7475</v>
      </c>
      <c r="AQ157" s="42">
        <f t="shared" si="171"/>
        <v>10.7475</v>
      </c>
      <c r="AR157" s="42">
        <f t="shared" si="172"/>
        <v>10.7475</v>
      </c>
      <c r="AS157" s="42">
        <f t="shared" si="173"/>
        <v>10.7475</v>
      </c>
      <c r="AT157" s="72">
        <f>SUM(AP157:AS157)</f>
        <v>42.99</v>
      </c>
      <c r="AU157" s="42">
        <f t="shared" si="174"/>
        <v>5.3737500000000002</v>
      </c>
      <c r="AV157" s="42">
        <f t="shared" si="175"/>
        <v>0</v>
      </c>
      <c r="AW157" s="42">
        <f t="shared" si="176"/>
        <v>0</v>
      </c>
      <c r="AX157" s="42">
        <f t="shared" si="177"/>
        <v>0</v>
      </c>
      <c r="AY157" s="72">
        <f>SUM(AU157:AX157)</f>
        <v>5.3737500000000002</v>
      </c>
      <c r="AZ157" s="42">
        <f t="shared" si="178"/>
        <v>0</v>
      </c>
      <c r="BA157" s="42">
        <f t="shared" si="179"/>
        <v>0</v>
      </c>
      <c r="BB157" s="42">
        <f t="shared" si="180"/>
        <v>0</v>
      </c>
      <c r="BC157" s="42">
        <f t="shared" si="181"/>
        <v>0</v>
      </c>
      <c r="BD157" s="72">
        <f>SUM(AZ157:BC157)</f>
        <v>0</v>
      </c>
      <c r="BE157" s="42">
        <f t="shared" si="182"/>
        <v>0</v>
      </c>
      <c r="BF157" s="42">
        <f t="shared" si="183"/>
        <v>0</v>
      </c>
      <c r="BG157" s="42">
        <f t="shared" si="184"/>
        <v>0</v>
      </c>
      <c r="BH157" s="42">
        <f t="shared" si="185"/>
        <v>0</v>
      </c>
      <c r="BI157" s="72">
        <f>SUM(BE157:BH157)</f>
        <v>0</v>
      </c>
    </row>
    <row r="158" spans="1:63" s="26" customFormat="1">
      <c r="A158" s="3" t="s">
        <v>591</v>
      </c>
      <c r="B158" s="41"/>
      <c r="C158" s="41"/>
      <c r="D158" s="41"/>
      <c r="E158" s="42"/>
      <c r="F158" s="43"/>
      <c r="G158" s="41"/>
      <c r="H158" s="41"/>
      <c r="I158" s="41"/>
      <c r="J158" s="42"/>
      <c r="K158" s="43"/>
      <c r="L158" s="41"/>
      <c r="M158" s="41"/>
      <c r="N158" s="41"/>
      <c r="O158" s="42"/>
      <c r="P158" s="72"/>
      <c r="Q158" s="42"/>
      <c r="R158" s="42"/>
      <c r="S158" s="42"/>
      <c r="T158" s="42"/>
      <c r="U158" s="72"/>
      <c r="V158" s="42"/>
      <c r="W158" s="42"/>
      <c r="X158" s="42"/>
      <c r="Y158" s="42"/>
      <c r="Z158" s="72"/>
      <c r="AA158" s="42"/>
      <c r="AB158" s="42"/>
      <c r="AC158" s="42"/>
      <c r="AD158" s="42"/>
      <c r="AE158" s="72"/>
      <c r="AF158" s="42">
        <f t="shared" si="165"/>
        <v>30.195</v>
      </c>
      <c r="AG158" s="42">
        <f t="shared" si="165"/>
        <v>30.195</v>
      </c>
      <c r="AH158" s="42">
        <f t="shared" si="165"/>
        <v>30.195</v>
      </c>
      <c r="AI158" s="42">
        <f t="shared" si="165"/>
        <v>30.195</v>
      </c>
      <c r="AJ158" s="72">
        <f>SUM(AF158:AI158)</f>
        <v>120.78</v>
      </c>
      <c r="AK158" s="42">
        <f t="shared" si="166"/>
        <v>30.195</v>
      </c>
      <c r="AL158" s="42">
        <f t="shared" si="167"/>
        <v>30.195</v>
      </c>
      <c r="AM158" s="42">
        <f t="shared" si="168"/>
        <v>30.195</v>
      </c>
      <c r="AN158" s="42">
        <f t="shared" si="169"/>
        <v>30.195</v>
      </c>
      <c r="AO158" s="72">
        <f>SUM(AK158:AN158)</f>
        <v>120.78</v>
      </c>
      <c r="AP158" s="42">
        <f t="shared" si="170"/>
        <v>30.195</v>
      </c>
      <c r="AQ158" s="42">
        <f t="shared" si="171"/>
        <v>30.195</v>
      </c>
      <c r="AR158" s="42">
        <f t="shared" si="172"/>
        <v>30.195</v>
      </c>
      <c r="AS158" s="42">
        <f t="shared" si="173"/>
        <v>30.195</v>
      </c>
      <c r="AT158" s="72">
        <f>SUM(AP158:AS158)</f>
        <v>120.78</v>
      </c>
      <c r="AU158" s="42">
        <f t="shared" si="174"/>
        <v>30.195</v>
      </c>
      <c r="AV158" s="42">
        <f t="shared" si="175"/>
        <v>30.195</v>
      </c>
      <c r="AW158" s="42">
        <f t="shared" si="176"/>
        <v>30.195</v>
      </c>
      <c r="AX158" s="42">
        <f t="shared" si="177"/>
        <v>30.195</v>
      </c>
      <c r="AY158" s="72">
        <f>SUM(AU158:AX158)</f>
        <v>120.78</v>
      </c>
      <c r="AZ158" s="42">
        <f t="shared" si="178"/>
        <v>30.195</v>
      </c>
      <c r="BA158" s="42">
        <f t="shared" si="179"/>
        <v>30.195</v>
      </c>
      <c r="BB158" s="42">
        <f t="shared" si="180"/>
        <v>30.195</v>
      </c>
      <c r="BC158" s="42">
        <f t="shared" si="181"/>
        <v>30.195</v>
      </c>
      <c r="BD158" s="72">
        <f>SUM(AZ158:BC158)</f>
        <v>120.78</v>
      </c>
      <c r="BE158" s="42">
        <f t="shared" si="182"/>
        <v>30.195</v>
      </c>
      <c r="BF158" s="42">
        <f t="shared" si="183"/>
        <v>28.548000000000002</v>
      </c>
      <c r="BG158" s="42">
        <f t="shared" si="184"/>
        <v>26.901</v>
      </c>
      <c r="BH158" s="42">
        <f t="shared" si="185"/>
        <v>26.901</v>
      </c>
      <c r="BI158" s="72">
        <f>SUM(BE158:BH158)</f>
        <v>112.545</v>
      </c>
    </row>
    <row r="159" spans="1:63" s="26" customFormat="1">
      <c r="A159" s="3" t="s">
        <v>367</v>
      </c>
      <c r="B159" s="41"/>
      <c r="C159" s="41"/>
      <c r="D159" s="41"/>
      <c r="E159" s="42"/>
      <c r="F159" s="43"/>
      <c r="G159" s="41"/>
      <c r="H159" s="41"/>
      <c r="I159" s="41"/>
      <c r="J159" s="42"/>
      <c r="K159" s="43"/>
      <c r="L159" s="41"/>
      <c r="M159" s="41"/>
      <c r="N159" s="41"/>
      <c r="O159" s="42"/>
      <c r="P159" s="72">
        <f t="shared" ref="P159:P200" si="201">P23*P94</f>
        <v>0</v>
      </c>
      <c r="Q159" s="42">
        <f t="shared" ref="Q159:T178" si="202">+AVERAGE(Q23,P23)*Q94/4</f>
        <v>1.2250000000000001</v>
      </c>
      <c r="R159" s="42">
        <f t="shared" si="202"/>
        <v>2.4500000000000002</v>
      </c>
      <c r="S159" s="42">
        <f t="shared" si="202"/>
        <v>2.4500000000000002</v>
      </c>
      <c r="T159" s="42">
        <f t="shared" si="202"/>
        <v>2.4500000000000002</v>
      </c>
      <c r="U159" s="72">
        <f t="shared" si="186"/>
        <v>8.5749999999999993</v>
      </c>
      <c r="V159" s="42">
        <f t="shared" ref="V159:Y178" si="203">+AVERAGE(V23,U23)*V94/4</f>
        <v>2.4500000000000002</v>
      </c>
      <c r="W159" s="42">
        <f t="shared" si="203"/>
        <v>2.4500000000000002</v>
      </c>
      <c r="X159" s="42">
        <f t="shared" si="203"/>
        <v>2.4500000000000002</v>
      </c>
      <c r="Y159" s="42">
        <f t="shared" si="203"/>
        <v>2.4500000000000002</v>
      </c>
      <c r="Z159" s="72">
        <f t="shared" si="187"/>
        <v>9.8000000000000007</v>
      </c>
      <c r="AA159" s="42">
        <f t="shared" ref="AA159:AD178" si="204">+AVERAGE(AA23,Z23)*AA94/4</f>
        <v>2.4500000000000002</v>
      </c>
      <c r="AB159" s="42">
        <f t="shared" si="204"/>
        <v>2.4500000000000002</v>
      </c>
      <c r="AC159" s="42">
        <f t="shared" si="204"/>
        <v>2.4500000000000002</v>
      </c>
      <c r="AD159" s="42">
        <f t="shared" si="204"/>
        <v>2.4500000000000002</v>
      </c>
      <c r="AE159" s="72">
        <f t="shared" si="189"/>
        <v>9.8000000000000007</v>
      </c>
      <c r="AF159" s="42">
        <f t="shared" si="165"/>
        <v>2.4500000000000002</v>
      </c>
      <c r="AG159" s="42">
        <f t="shared" si="165"/>
        <v>2.4500000000000002</v>
      </c>
      <c r="AH159" s="42">
        <f t="shared" si="165"/>
        <v>2.4500000000000002</v>
      </c>
      <c r="AI159" s="42">
        <f t="shared" si="165"/>
        <v>2.4500000000000002</v>
      </c>
      <c r="AJ159" s="72">
        <f t="shared" si="190"/>
        <v>9.8000000000000007</v>
      </c>
      <c r="AK159" s="42">
        <f t="shared" si="166"/>
        <v>2.4500000000000002</v>
      </c>
      <c r="AL159" s="42">
        <f t="shared" si="167"/>
        <v>2.4500000000000002</v>
      </c>
      <c r="AM159" s="42">
        <f t="shared" si="168"/>
        <v>2.4500000000000002</v>
      </c>
      <c r="AN159" s="42">
        <f t="shared" si="169"/>
        <v>2.4500000000000002</v>
      </c>
      <c r="AO159" s="72">
        <f t="shared" si="191"/>
        <v>9.8000000000000007</v>
      </c>
      <c r="AP159" s="42">
        <f t="shared" si="170"/>
        <v>1.2250000000000001</v>
      </c>
      <c r="AQ159" s="42">
        <f t="shared" si="171"/>
        <v>0</v>
      </c>
      <c r="AR159" s="42">
        <f t="shared" si="172"/>
        <v>0</v>
      </c>
      <c r="AS159" s="42">
        <f t="shared" si="173"/>
        <v>0</v>
      </c>
      <c r="AT159" s="72">
        <f t="shared" ref="AT159:AT199" si="205">SUM(AP159:AS159)</f>
        <v>1.2250000000000001</v>
      </c>
      <c r="AU159" s="42">
        <f t="shared" si="174"/>
        <v>0</v>
      </c>
      <c r="AV159" s="42">
        <f t="shared" si="175"/>
        <v>0</v>
      </c>
      <c r="AW159" s="42">
        <f t="shared" si="176"/>
        <v>0</v>
      </c>
      <c r="AX159" s="42">
        <f t="shared" si="177"/>
        <v>0</v>
      </c>
      <c r="AY159" s="72">
        <f t="shared" ref="AY159:AY199" si="206">SUM(AU159:AX159)</f>
        <v>0</v>
      </c>
      <c r="AZ159" s="42">
        <f t="shared" si="178"/>
        <v>0</v>
      </c>
      <c r="BA159" s="42">
        <f t="shared" si="179"/>
        <v>0</v>
      </c>
      <c r="BB159" s="42">
        <f t="shared" si="180"/>
        <v>0</v>
      </c>
      <c r="BC159" s="42">
        <f t="shared" si="181"/>
        <v>0</v>
      </c>
      <c r="BD159" s="72">
        <f t="shared" ref="BD159:BD199" si="207">SUM(AZ159:BC159)</f>
        <v>0</v>
      </c>
      <c r="BE159" s="42">
        <f t="shared" si="182"/>
        <v>0</v>
      </c>
      <c r="BF159" s="42">
        <f t="shared" si="183"/>
        <v>0</v>
      </c>
      <c r="BG159" s="42">
        <f t="shared" si="184"/>
        <v>0</v>
      </c>
      <c r="BH159" s="42">
        <f t="shared" si="185"/>
        <v>0</v>
      </c>
      <c r="BI159" s="72">
        <f t="shared" ref="BI159:BI199" si="208">SUM(BE159:BH159)</f>
        <v>0</v>
      </c>
    </row>
    <row r="160" spans="1:63" s="26" customFormat="1">
      <c r="A160" s="3" t="s">
        <v>368</v>
      </c>
      <c r="B160" s="41"/>
      <c r="C160" s="41"/>
      <c r="D160" s="41"/>
      <c r="E160" s="42"/>
      <c r="F160" s="43"/>
      <c r="G160" s="41"/>
      <c r="H160" s="41"/>
      <c r="I160" s="41"/>
      <c r="J160" s="42"/>
      <c r="K160" s="43"/>
      <c r="L160" s="41"/>
      <c r="M160" s="41"/>
      <c r="N160" s="41"/>
      <c r="O160" s="42"/>
      <c r="P160" s="72">
        <f t="shared" si="201"/>
        <v>8.4</v>
      </c>
      <c r="Q160" s="42">
        <f t="shared" si="202"/>
        <v>2.1</v>
      </c>
      <c r="R160" s="42">
        <f t="shared" si="202"/>
        <v>2.1</v>
      </c>
      <c r="S160" s="42">
        <f t="shared" si="202"/>
        <v>2.1</v>
      </c>
      <c r="T160" s="42">
        <f t="shared" si="202"/>
        <v>2.1</v>
      </c>
      <c r="U160" s="72">
        <f t="shared" si="186"/>
        <v>8.4</v>
      </c>
      <c r="V160" s="42">
        <f t="shared" si="203"/>
        <v>2.1</v>
      </c>
      <c r="W160" s="42">
        <f t="shared" si="203"/>
        <v>2.1</v>
      </c>
      <c r="X160" s="42">
        <f t="shared" si="203"/>
        <v>2.1</v>
      </c>
      <c r="Y160" s="42">
        <f t="shared" si="203"/>
        <v>2.1</v>
      </c>
      <c r="Z160" s="72">
        <f t="shared" si="187"/>
        <v>8.4</v>
      </c>
      <c r="AA160" s="42">
        <f t="shared" si="204"/>
        <v>2.1</v>
      </c>
      <c r="AB160" s="42">
        <f t="shared" si="204"/>
        <v>2.1</v>
      </c>
      <c r="AC160" s="42">
        <f t="shared" si="204"/>
        <v>2.1</v>
      </c>
      <c r="AD160" s="42">
        <f t="shared" si="204"/>
        <v>2.1</v>
      </c>
      <c r="AE160" s="72">
        <f t="shared" si="189"/>
        <v>8.4</v>
      </c>
      <c r="AF160" s="42">
        <f t="shared" ref="AF160:AI179" si="209">+AVERAGE(AF24,AE24)*AF95/4</f>
        <v>2.1</v>
      </c>
      <c r="AG160" s="42">
        <f t="shared" si="209"/>
        <v>2.1</v>
      </c>
      <c r="AH160" s="42">
        <f t="shared" si="209"/>
        <v>2.1</v>
      </c>
      <c r="AI160" s="42">
        <f t="shared" si="209"/>
        <v>2.1</v>
      </c>
      <c r="AJ160" s="72">
        <f t="shared" si="190"/>
        <v>8.4</v>
      </c>
      <c r="AK160" s="42">
        <f t="shared" si="166"/>
        <v>2.1</v>
      </c>
      <c r="AL160" s="42">
        <f t="shared" si="167"/>
        <v>2.1</v>
      </c>
      <c r="AM160" s="42">
        <f t="shared" si="168"/>
        <v>2.1</v>
      </c>
      <c r="AN160" s="42">
        <f t="shared" si="169"/>
        <v>2.1</v>
      </c>
      <c r="AO160" s="72">
        <f t="shared" si="191"/>
        <v>8.4</v>
      </c>
      <c r="AP160" s="42">
        <f t="shared" si="170"/>
        <v>2.1</v>
      </c>
      <c r="AQ160" s="42">
        <f t="shared" si="171"/>
        <v>2.1</v>
      </c>
      <c r="AR160" s="42">
        <f t="shared" si="172"/>
        <v>2.1</v>
      </c>
      <c r="AS160" s="42">
        <f t="shared" si="173"/>
        <v>2.1</v>
      </c>
      <c r="AT160" s="72">
        <f t="shared" si="205"/>
        <v>8.4</v>
      </c>
      <c r="AU160" s="42">
        <f t="shared" si="174"/>
        <v>2.1</v>
      </c>
      <c r="AV160" s="42">
        <f t="shared" si="175"/>
        <v>2.1</v>
      </c>
      <c r="AW160" s="42">
        <f t="shared" si="176"/>
        <v>2.1</v>
      </c>
      <c r="AX160" s="42">
        <f t="shared" si="177"/>
        <v>2.1</v>
      </c>
      <c r="AY160" s="72">
        <f t="shared" si="206"/>
        <v>8.4</v>
      </c>
      <c r="AZ160" s="42">
        <f t="shared" si="178"/>
        <v>2.1</v>
      </c>
      <c r="BA160" s="42">
        <f t="shared" si="179"/>
        <v>2.1</v>
      </c>
      <c r="BB160" s="42">
        <f t="shared" si="180"/>
        <v>2.1</v>
      </c>
      <c r="BC160" s="42">
        <f t="shared" si="181"/>
        <v>2.1</v>
      </c>
      <c r="BD160" s="72">
        <f t="shared" si="207"/>
        <v>8.4</v>
      </c>
      <c r="BE160" s="42">
        <f t="shared" si="182"/>
        <v>2.1</v>
      </c>
      <c r="BF160" s="42">
        <f t="shared" si="183"/>
        <v>2.1</v>
      </c>
      <c r="BG160" s="42">
        <f t="shared" si="184"/>
        <v>2.1</v>
      </c>
      <c r="BH160" s="42">
        <f t="shared" si="185"/>
        <v>2.1</v>
      </c>
      <c r="BI160" s="72">
        <f t="shared" si="208"/>
        <v>8.4</v>
      </c>
    </row>
    <row r="161" spans="1:61" s="26" customFormat="1">
      <c r="A161" s="3" t="s">
        <v>369</v>
      </c>
      <c r="B161" s="41"/>
      <c r="C161" s="41"/>
      <c r="D161" s="41"/>
      <c r="E161" s="42"/>
      <c r="F161" s="43"/>
      <c r="G161" s="41"/>
      <c r="H161" s="41"/>
      <c r="I161" s="41"/>
      <c r="J161" s="42"/>
      <c r="K161" s="43"/>
      <c r="L161" s="41"/>
      <c r="M161" s="41"/>
      <c r="N161" s="41"/>
      <c r="O161" s="42"/>
      <c r="P161" s="72">
        <f t="shared" si="201"/>
        <v>8.5500000000000007</v>
      </c>
      <c r="Q161" s="42">
        <f t="shared" si="202"/>
        <v>2.1375000000000002</v>
      </c>
      <c r="R161" s="42">
        <f t="shared" si="202"/>
        <v>2.1375000000000002</v>
      </c>
      <c r="S161" s="42">
        <f t="shared" si="202"/>
        <v>2.1375000000000002</v>
      </c>
      <c r="T161" s="42">
        <f t="shared" si="202"/>
        <v>2.1375000000000002</v>
      </c>
      <c r="U161" s="72">
        <f t="shared" si="186"/>
        <v>8.5500000000000007</v>
      </c>
      <c r="V161" s="42">
        <f t="shared" si="203"/>
        <v>2.1375000000000002</v>
      </c>
      <c r="W161" s="42">
        <f t="shared" si="203"/>
        <v>2.1375000000000002</v>
      </c>
      <c r="X161" s="42">
        <f t="shared" si="203"/>
        <v>2.1375000000000002</v>
      </c>
      <c r="Y161" s="42">
        <f t="shared" si="203"/>
        <v>2.1375000000000002</v>
      </c>
      <c r="Z161" s="72">
        <f t="shared" si="187"/>
        <v>8.5500000000000007</v>
      </c>
      <c r="AA161" s="42">
        <f t="shared" si="204"/>
        <v>2.1375000000000002</v>
      </c>
      <c r="AB161" s="42">
        <f t="shared" si="204"/>
        <v>2.1375000000000002</v>
      </c>
      <c r="AC161" s="42">
        <f t="shared" si="204"/>
        <v>2.1375000000000002</v>
      </c>
      <c r="AD161" s="42">
        <f t="shared" si="204"/>
        <v>2.1375000000000002</v>
      </c>
      <c r="AE161" s="72">
        <f t="shared" si="189"/>
        <v>8.5500000000000007</v>
      </c>
      <c r="AF161" s="42">
        <f t="shared" si="209"/>
        <v>2.1375000000000002</v>
      </c>
      <c r="AG161" s="42">
        <f t="shared" si="209"/>
        <v>2.1375000000000002</v>
      </c>
      <c r="AH161" s="42">
        <f t="shared" si="209"/>
        <v>2.1375000000000002</v>
      </c>
      <c r="AI161" s="42">
        <f t="shared" si="209"/>
        <v>2.1375000000000002</v>
      </c>
      <c r="AJ161" s="72">
        <f t="shared" si="190"/>
        <v>8.5500000000000007</v>
      </c>
      <c r="AK161" s="42">
        <f t="shared" si="166"/>
        <v>2.1375000000000002</v>
      </c>
      <c r="AL161" s="42">
        <f t="shared" si="167"/>
        <v>2.1375000000000002</v>
      </c>
      <c r="AM161" s="42">
        <f t="shared" si="168"/>
        <v>2.1375000000000002</v>
      </c>
      <c r="AN161" s="42">
        <f t="shared" si="169"/>
        <v>2.1375000000000002</v>
      </c>
      <c r="AO161" s="72">
        <f t="shared" si="191"/>
        <v>8.5500000000000007</v>
      </c>
      <c r="AP161" s="42">
        <f t="shared" si="170"/>
        <v>2.1375000000000002</v>
      </c>
      <c r="AQ161" s="42">
        <f t="shared" si="171"/>
        <v>2.1375000000000002</v>
      </c>
      <c r="AR161" s="42">
        <f t="shared" si="172"/>
        <v>2.1375000000000002</v>
      </c>
      <c r="AS161" s="42">
        <f t="shared" si="173"/>
        <v>2.1375000000000002</v>
      </c>
      <c r="AT161" s="72">
        <f t="shared" si="205"/>
        <v>8.5500000000000007</v>
      </c>
      <c r="AU161" s="42">
        <f t="shared" si="174"/>
        <v>2.1375000000000002</v>
      </c>
      <c r="AV161" s="42">
        <f t="shared" si="175"/>
        <v>2.1375000000000002</v>
      </c>
      <c r="AW161" s="42">
        <f t="shared" si="176"/>
        <v>2.1375000000000002</v>
      </c>
      <c r="AX161" s="42">
        <f t="shared" si="177"/>
        <v>1.0687500000000001</v>
      </c>
      <c r="AY161" s="72">
        <f t="shared" si="206"/>
        <v>7.4812500000000011</v>
      </c>
      <c r="AZ161" s="42">
        <f t="shared" si="178"/>
        <v>0</v>
      </c>
      <c r="BA161" s="42">
        <f t="shared" si="179"/>
        <v>0</v>
      </c>
      <c r="BB161" s="42">
        <f t="shared" si="180"/>
        <v>0</v>
      </c>
      <c r="BC161" s="42">
        <f t="shared" si="181"/>
        <v>0</v>
      </c>
      <c r="BD161" s="72">
        <f t="shared" si="207"/>
        <v>0</v>
      </c>
      <c r="BE161" s="42">
        <f t="shared" si="182"/>
        <v>0</v>
      </c>
      <c r="BF161" s="42">
        <f t="shared" si="183"/>
        <v>0</v>
      </c>
      <c r="BG161" s="42">
        <f t="shared" si="184"/>
        <v>0</v>
      </c>
      <c r="BH161" s="42">
        <f t="shared" si="185"/>
        <v>0</v>
      </c>
      <c r="BI161" s="72">
        <f t="shared" si="208"/>
        <v>0</v>
      </c>
    </row>
    <row r="162" spans="1:61" s="26" customFormat="1">
      <c r="A162" s="3" t="s">
        <v>370</v>
      </c>
      <c r="B162" s="41"/>
      <c r="C162" s="41"/>
      <c r="D162" s="41"/>
      <c r="E162" s="42"/>
      <c r="F162" s="43"/>
      <c r="G162" s="41"/>
      <c r="H162" s="41"/>
      <c r="I162" s="41"/>
      <c r="J162" s="42"/>
      <c r="K162" s="43"/>
      <c r="L162" s="41"/>
      <c r="M162" s="41"/>
      <c r="N162" s="41"/>
      <c r="O162" s="42"/>
      <c r="P162" s="72">
        <f t="shared" si="201"/>
        <v>0</v>
      </c>
      <c r="Q162" s="42">
        <f t="shared" si="202"/>
        <v>0</v>
      </c>
      <c r="R162" s="42">
        <f t="shared" si="202"/>
        <v>0</v>
      </c>
      <c r="S162" s="42">
        <f t="shared" si="202"/>
        <v>0</v>
      </c>
      <c r="T162" s="42">
        <f t="shared" si="202"/>
        <v>0</v>
      </c>
      <c r="U162" s="72">
        <f t="shared" si="186"/>
        <v>0</v>
      </c>
      <c r="V162" s="42">
        <f t="shared" si="203"/>
        <v>0</v>
      </c>
      <c r="W162" s="42">
        <f t="shared" si="203"/>
        <v>0</v>
      </c>
      <c r="X162" s="42">
        <f t="shared" si="203"/>
        <v>2.765625</v>
      </c>
      <c r="Y162" s="42">
        <f t="shared" si="203"/>
        <v>5.53125</v>
      </c>
      <c r="Z162" s="72">
        <f t="shared" si="187"/>
        <v>8.296875</v>
      </c>
      <c r="AA162" s="42">
        <f t="shared" si="204"/>
        <v>5.53125</v>
      </c>
      <c r="AB162" s="42">
        <f t="shared" si="204"/>
        <v>5.53125</v>
      </c>
      <c r="AC162" s="42">
        <f t="shared" si="204"/>
        <v>5.53125</v>
      </c>
      <c r="AD162" s="42">
        <f t="shared" si="204"/>
        <v>5.53125</v>
      </c>
      <c r="AE162" s="72">
        <f t="shared" si="189"/>
        <v>22.125</v>
      </c>
      <c r="AF162" s="42">
        <f t="shared" si="209"/>
        <v>5.53125</v>
      </c>
      <c r="AG162" s="42">
        <f t="shared" si="209"/>
        <v>5.53125</v>
      </c>
      <c r="AH162" s="42">
        <f t="shared" si="209"/>
        <v>5.53125</v>
      </c>
      <c r="AI162" s="42">
        <f t="shared" si="209"/>
        <v>5.53125</v>
      </c>
      <c r="AJ162" s="72">
        <f t="shared" si="190"/>
        <v>22.125</v>
      </c>
      <c r="AK162" s="42">
        <f t="shared" si="166"/>
        <v>5.53125</v>
      </c>
      <c r="AL162" s="42">
        <f t="shared" si="167"/>
        <v>5.53125</v>
      </c>
      <c r="AM162" s="42">
        <f t="shared" si="168"/>
        <v>5.53125</v>
      </c>
      <c r="AN162" s="42">
        <f t="shared" si="169"/>
        <v>5.53125</v>
      </c>
      <c r="AO162" s="72">
        <f t="shared" si="191"/>
        <v>22.125</v>
      </c>
      <c r="AP162" s="42">
        <f t="shared" si="170"/>
        <v>5.53125</v>
      </c>
      <c r="AQ162" s="42">
        <f t="shared" si="171"/>
        <v>5.53125</v>
      </c>
      <c r="AR162" s="42">
        <f t="shared" si="172"/>
        <v>5.53125</v>
      </c>
      <c r="AS162" s="42">
        <f t="shared" si="173"/>
        <v>5.53125</v>
      </c>
      <c r="AT162" s="72">
        <f t="shared" si="205"/>
        <v>22.125</v>
      </c>
      <c r="AU162" s="42">
        <f t="shared" si="174"/>
        <v>5.53125</v>
      </c>
      <c r="AV162" s="42">
        <f t="shared" si="175"/>
        <v>5.53125</v>
      </c>
      <c r="AW162" s="42">
        <f t="shared" si="176"/>
        <v>5.53125</v>
      </c>
      <c r="AX162" s="42">
        <f t="shared" si="177"/>
        <v>5.53125</v>
      </c>
      <c r="AY162" s="72">
        <f t="shared" si="206"/>
        <v>22.125</v>
      </c>
      <c r="AZ162" s="42">
        <f t="shared" si="178"/>
        <v>5.53125</v>
      </c>
      <c r="BA162" s="42">
        <f t="shared" si="179"/>
        <v>5.53125</v>
      </c>
      <c r="BB162" s="42">
        <f t="shared" si="180"/>
        <v>5.53125</v>
      </c>
      <c r="BC162" s="42">
        <f t="shared" si="181"/>
        <v>5.53125</v>
      </c>
      <c r="BD162" s="72">
        <f t="shared" si="207"/>
        <v>22.125</v>
      </c>
      <c r="BE162" s="42">
        <f t="shared" si="182"/>
        <v>5.53125</v>
      </c>
      <c r="BF162" s="42">
        <f t="shared" si="183"/>
        <v>5.53125</v>
      </c>
      <c r="BG162" s="42">
        <f t="shared" si="184"/>
        <v>5.53125</v>
      </c>
      <c r="BH162" s="42">
        <f t="shared" si="185"/>
        <v>5.53125</v>
      </c>
      <c r="BI162" s="72">
        <f t="shared" si="208"/>
        <v>22.125</v>
      </c>
    </row>
    <row r="163" spans="1:61" s="26" customFormat="1">
      <c r="A163" s="3" t="s">
        <v>371</v>
      </c>
      <c r="B163" s="41"/>
      <c r="C163" s="41"/>
      <c r="D163" s="41"/>
      <c r="E163" s="42"/>
      <c r="F163" s="43"/>
      <c r="G163" s="41"/>
      <c r="H163" s="41"/>
      <c r="I163" s="41"/>
      <c r="J163" s="42"/>
      <c r="K163" s="43"/>
      <c r="L163" s="41"/>
      <c r="M163" s="41"/>
      <c r="N163" s="41"/>
      <c r="O163" s="42"/>
      <c r="P163" s="72">
        <f t="shared" si="201"/>
        <v>0</v>
      </c>
      <c r="Q163" s="42">
        <f t="shared" si="202"/>
        <v>0</v>
      </c>
      <c r="R163" s="42">
        <f t="shared" si="202"/>
        <v>0</v>
      </c>
      <c r="S163" s="42">
        <f t="shared" si="202"/>
        <v>0</v>
      </c>
      <c r="T163" s="42">
        <f t="shared" si="202"/>
        <v>0</v>
      </c>
      <c r="U163" s="72">
        <f t="shared" si="186"/>
        <v>0</v>
      </c>
      <c r="V163" s="42">
        <f t="shared" si="203"/>
        <v>0</v>
      </c>
      <c r="W163" s="42">
        <f t="shared" si="203"/>
        <v>2.5187499999999998</v>
      </c>
      <c r="X163" s="42">
        <f t="shared" si="203"/>
        <v>5.0374999999999996</v>
      </c>
      <c r="Y163" s="42">
        <f t="shared" si="203"/>
        <v>5.0374999999999996</v>
      </c>
      <c r="Z163" s="72">
        <f t="shared" si="187"/>
        <v>12.59375</v>
      </c>
      <c r="AA163" s="42">
        <f t="shared" si="204"/>
        <v>5.0374999999999996</v>
      </c>
      <c r="AB163" s="42">
        <f t="shared" si="204"/>
        <v>5.0374999999999996</v>
      </c>
      <c r="AC163" s="42">
        <f t="shared" si="204"/>
        <v>5.0374999999999996</v>
      </c>
      <c r="AD163" s="42">
        <f t="shared" si="204"/>
        <v>5.0374999999999996</v>
      </c>
      <c r="AE163" s="72">
        <f t="shared" si="189"/>
        <v>20.149999999999999</v>
      </c>
      <c r="AF163" s="42">
        <f t="shared" si="209"/>
        <v>5.0374999999999996</v>
      </c>
      <c r="AG163" s="42">
        <f t="shared" si="209"/>
        <v>5.0374999999999996</v>
      </c>
      <c r="AH163" s="42">
        <f t="shared" si="209"/>
        <v>5.0374999999999996</v>
      </c>
      <c r="AI163" s="42">
        <f t="shared" si="209"/>
        <v>5.0374999999999996</v>
      </c>
      <c r="AJ163" s="72">
        <f t="shared" si="190"/>
        <v>20.149999999999999</v>
      </c>
      <c r="AK163" s="42">
        <f t="shared" si="166"/>
        <v>5.0374999999999996</v>
      </c>
      <c r="AL163" s="42">
        <f t="shared" si="167"/>
        <v>5.0374999999999996</v>
      </c>
      <c r="AM163" s="42">
        <f t="shared" si="168"/>
        <v>5.0374999999999996</v>
      </c>
      <c r="AN163" s="42">
        <f t="shared" si="169"/>
        <v>5.0374999999999996</v>
      </c>
      <c r="AO163" s="72">
        <f t="shared" si="191"/>
        <v>20.149999999999999</v>
      </c>
      <c r="AP163" s="42">
        <f t="shared" si="170"/>
        <v>5.0374999999999996</v>
      </c>
      <c r="AQ163" s="42">
        <f t="shared" si="171"/>
        <v>5.0374999999999996</v>
      </c>
      <c r="AR163" s="42">
        <f t="shared" si="172"/>
        <v>5.0374999999999996</v>
      </c>
      <c r="AS163" s="42">
        <f t="shared" si="173"/>
        <v>5.0374999999999996</v>
      </c>
      <c r="AT163" s="72">
        <f t="shared" si="205"/>
        <v>20.149999999999999</v>
      </c>
      <c r="AU163" s="42">
        <f t="shared" si="174"/>
        <v>5.0374999999999996</v>
      </c>
      <c r="AV163" s="42">
        <f t="shared" si="175"/>
        <v>5.0374999999999996</v>
      </c>
      <c r="AW163" s="42">
        <f t="shared" si="176"/>
        <v>5.0374999999999996</v>
      </c>
      <c r="AX163" s="42">
        <f t="shared" si="177"/>
        <v>5.0374999999999996</v>
      </c>
      <c r="AY163" s="72">
        <f t="shared" si="206"/>
        <v>20.149999999999999</v>
      </c>
      <c r="AZ163" s="42">
        <f t="shared" si="178"/>
        <v>5.0374999999999996</v>
      </c>
      <c r="BA163" s="42">
        <f t="shared" si="179"/>
        <v>5.0374999999999996</v>
      </c>
      <c r="BB163" s="42">
        <f t="shared" si="180"/>
        <v>5.0374999999999996</v>
      </c>
      <c r="BC163" s="42">
        <f t="shared" si="181"/>
        <v>5.0374999999999996</v>
      </c>
      <c r="BD163" s="72">
        <f t="shared" si="207"/>
        <v>20.149999999999999</v>
      </c>
      <c r="BE163" s="42">
        <f t="shared" si="182"/>
        <v>5.0374999999999996</v>
      </c>
      <c r="BF163" s="42">
        <f t="shared" si="183"/>
        <v>5.0374999999999996</v>
      </c>
      <c r="BG163" s="42">
        <f t="shared" si="184"/>
        <v>2.5187499999999998</v>
      </c>
      <c r="BH163" s="42">
        <f t="shared" si="185"/>
        <v>0</v>
      </c>
      <c r="BI163" s="72">
        <f t="shared" si="208"/>
        <v>12.59375</v>
      </c>
    </row>
    <row r="164" spans="1:61" s="26" customFormat="1">
      <c r="A164" s="3" t="s">
        <v>372</v>
      </c>
      <c r="B164" s="41"/>
      <c r="C164" s="41"/>
      <c r="D164" s="41"/>
      <c r="E164" s="42"/>
      <c r="F164" s="43"/>
      <c r="G164" s="41"/>
      <c r="H164" s="41"/>
      <c r="I164" s="41"/>
      <c r="J164" s="42"/>
      <c r="K164" s="43"/>
      <c r="L164" s="41"/>
      <c r="M164" s="41"/>
      <c r="N164" s="41"/>
      <c r="O164" s="42"/>
      <c r="P164" s="72">
        <f t="shared" si="201"/>
        <v>0</v>
      </c>
      <c r="Q164" s="42">
        <f t="shared" si="202"/>
        <v>0</v>
      </c>
      <c r="R164" s="42">
        <f t="shared" si="202"/>
        <v>0</v>
      </c>
      <c r="S164" s="42">
        <f t="shared" si="202"/>
        <v>0</v>
      </c>
      <c r="T164" s="42">
        <f t="shared" si="202"/>
        <v>0</v>
      </c>
      <c r="U164" s="72">
        <f t="shared" si="186"/>
        <v>0</v>
      </c>
      <c r="V164" s="42">
        <f t="shared" si="203"/>
        <v>1.6</v>
      </c>
      <c r="W164" s="42">
        <f t="shared" si="203"/>
        <v>5.6000000000000005</v>
      </c>
      <c r="X164" s="42">
        <f t="shared" si="203"/>
        <v>8</v>
      </c>
      <c r="Y164" s="42">
        <f t="shared" si="203"/>
        <v>8</v>
      </c>
      <c r="Z164" s="72">
        <f t="shared" si="187"/>
        <v>23.200000000000003</v>
      </c>
      <c r="AA164" s="42">
        <f t="shared" si="204"/>
        <v>8</v>
      </c>
      <c r="AB164" s="42">
        <f t="shared" si="204"/>
        <v>8</v>
      </c>
      <c r="AC164" s="42">
        <f t="shared" si="204"/>
        <v>8</v>
      </c>
      <c r="AD164" s="42">
        <f t="shared" si="204"/>
        <v>8</v>
      </c>
      <c r="AE164" s="72">
        <f t="shared" si="189"/>
        <v>32</v>
      </c>
      <c r="AF164" s="42">
        <f t="shared" si="209"/>
        <v>8</v>
      </c>
      <c r="AG164" s="42">
        <f t="shared" si="209"/>
        <v>8</v>
      </c>
      <c r="AH164" s="42">
        <f t="shared" si="209"/>
        <v>8</v>
      </c>
      <c r="AI164" s="42">
        <f t="shared" si="209"/>
        <v>8</v>
      </c>
      <c r="AJ164" s="72">
        <f t="shared" si="190"/>
        <v>32</v>
      </c>
      <c r="AK164" s="42">
        <f t="shared" si="166"/>
        <v>8</v>
      </c>
      <c r="AL164" s="42">
        <f t="shared" si="167"/>
        <v>8</v>
      </c>
      <c r="AM164" s="42">
        <f t="shared" si="168"/>
        <v>8</v>
      </c>
      <c r="AN164" s="42">
        <f t="shared" si="169"/>
        <v>8</v>
      </c>
      <c r="AO164" s="72">
        <f t="shared" si="191"/>
        <v>32</v>
      </c>
      <c r="AP164" s="42">
        <f t="shared" si="170"/>
        <v>8</v>
      </c>
      <c r="AQ164" s="42">
        <f t="shared" si="171"/>
        <v>8</v>
      </c>
      <c r="AR164" s="42">
        <f t="shared" si="172"/>
        <v>8</v>
      </c>
      <c r="AS164" s="42">
        <f t="shared" si="173"/>
        <v>8</v>
      </c>
      <c r="AT164" s="72">
        <f t="shared" si="205"/>
        <v>32</v>
      </c>
      <c r="AU164" s="42">
        <f t="shared" si="174"/>
        <v>8</v>
      </c>
      <c r="AV164" s="42">
        <f t="shared" si="175"/>
        <v>8</v>
      </c>
      <c r="AW164" s="42">
        <f t="shared" si="176"/>
        <v>8</v>
      </c>
      <c r="AX164" s="42">
        <f t="shared" si="177"/>
        <v>8</v>
      </c>
      <c r="AY164" s="72">
        <f t="shared" si="206"/>
        <v>32</v>
      </c>
      <c r="AZ164" s="42">
        <f t="shared" si="178"/>
        <v>8</v>
      </c>
      <c r="BA164" s="42">
        <f t="shared" si="179"/>
        <v>8</v>
      </c>
      <c r="BB164" s="42">
        <f t="shared" si="180"/>
        <v>8</v>
      </c>
      <c r="BC164" s="42">
        <f t="shared" si="181"/>
        <v>8</v>
      </c>
      <c r="BD164" s="72">
        <f t="shared" si="207"/>
        <v>32</v>
      </c>
      <c r="BE164" s="42">
        <f t="shared" si="182"/>
        <v>8</v>
      </c>
      <c r="BF164" s="42">
        <f t="shared" si="183"/>
        <v>8</v>
      </c>
      <c r="BG164" s="42">
        <f t="shared" si="184"/>
        <v>8</v>
      </c>
      <c r="BH164" s="42">
        <f t="shared" si="185"/>
        <v>8</v>
      </c>
      <c r="BI164" s="72">
        <f t="shared" si="208"/>
        <v>32</v>
      </c>
    </row>
    <row r="165" spans="1:61" s="26" customFormat="1">
      <c r="A165" s="3" t="s">
        <v>373</v>
      </c>
      <c r="B165" s="41"/>
      <c r="C165" s="41"/>
      <c r="D165" s="41"/>
      <c r="E165" s="42"/>
      <c r="F165" s="43"/>
      <c r="G165" s="41"/>
      <c r="H165" s="41"/>
      <c r="I165" s="41"/>
      <c r="J165" s="42"/>
      <c r="K165" s="43"/>
      <c r="L165" s="41"/>
      <c r="M165" s="41"/>
      <c r="N165" s="41"/>
      <c r="O165" s="42"/>
      <c r="P165" s="72">
        <f t="shared" si="201"/>
        <v>0</v>
      </c>
      <c r="Q165" s="42">
        <f t="shared" si="202"/>
        <v>0</v>
      </c>
      <c r="R165" s="42">
        <f t="shared" si="202"/>
        <v>0</v>
      </c>
      <c r="S165" s="42">
        <f t="shared" si="202"/>
        <v>0</v>
      </c>
      <c r="T165" s="42">
        <f t="shared" si="202"/>
        <v>0</v>
      </c>
      <c r="U165" s="72">
        <f t="shared" si="186"/>
        <v>0</v>
      </c>
      <c r="V165" s="42">
        <f t="shared" si="203"/>
        <v>0</v>
      </c>
      <c r="W165" s="42">
        <f t="shared" si="203"/>
        <v>0</v>
      </c>
      <c r="X165" s="42">
        <f t="shared" si="203"/>
        <v>3.046875</v>
      </c>
      <c r="Y165" s="42">
        <f t="shared" si="203"/>
        <v>6.09375</v>
      </c>
      <c r="Z165" s="72">
        <f t="shared" si="187"/>
        <v>9.140625</v>
      </c>
      <c r="AA165" s="42">
        <f t="shared" si="204"/>
        <v>6.09375</v>
      </c>
      <c r="AB165" s="42">
        <f t="shared" si="204"/>
        <v>6.09375</v>
      </c>
      <c r="AC165" s="42">
        <f t="shared" si="204"/>
        <v>6.09375</v>
      </c>
      <c r="AD165" s="42">
        <f t="shared" si="204"/>
        <v>6.09375</v>
      </c>
      <c r="AE165" s="72">
        <f t="shared" si="189"/>
        <v>24.375</v>
      </c>
      <c r="AF165" s="42">
        <f t="shared" si="209"/>
        <v>6.09375</v>
      </c>
      <c r="AG165" s="42">
        <f t="shared" si="209"/>
        <v>6.09375</v>
      </c>
      <c r="AH165" s="42">
        <f t="shared" si="209"/>
        <v>6.09375</v>
      </c>
      <c r="AI165" s="42">
        <f t="shared" si="209"/>
        <v>6.09375</v>
      </c>
      <c r="AJ165" s="72">
        <f t="shared" si="190"/>
        <v>24.375</v>
      </c>
      <c r="AK165" s="42">
        <f t="shared" si="166"/>
        <v>6.09375</v>
      </c>
      <c r="AL165" s="42">
        <f t="shared" si="167"/>
        <v>6.09375</v>
      </c>
      <c r="AM165" s="42">
        <f t="shared" si="168"/>
        <v>6.09375</v>
      </c>
      <c r="AN165" s="42">
        <f t="shared" si="169"/>
        <v>6.09375</v>
      </c>
      <c r="AO165" s="72">
        <f t="shared" si="191"/>
        <v>24.375</v>
      </c>
      <c r="AP165" s="42">
        <f t="shared" si="170"/>
        <v>6.09375</v>
      </c>
      <c r="AQ165" s="42">
        <f t="shared" si="171"/>
        <v>6.09375</v>
      </c>
      <c r="AR165" s="42">
        <f t="shared" si="172"/>
        <v>6.09375</v>
      </c>
      <c r="AS165" s="42">
        <f t="shared" si="173"/>
        <v>6.09375</v>
      </c>
      <c r="AT165" s="72">
        <f t="shared" si="205"/>
        <v>24.375</v>
      </c>
      <c r="AU165" s="42">
        <f t="shared" si="174"/>
        <v>6.09375</v>
      </c>
      <c r="AV165" s="42">
        <f t="shared" si="175"/>
        <v>6.09375</v>
      </c>
      <c r="AW165" s="42">
        <f t="shared" si="176"/>
        <v>6.09375</v>
      </c>
      <c r="AX165" s="42">
        <f t="shared" si="177"/>
        <v>6.09375</v>
      </c>
      <c r="AY165" s="72">
        <f t="shared" si="206"/>
        <v>24.375</v>
      </c>
      <c r="AZ165" s="42">
        <f t="shared" si="178"/>
        <v>6.09375</v>
      </c>
      <c r="BA165" s="42">
        <f t="shared" si="179"/>
        <v>6.09375</v>
      </c>
      <c r="BB165" s="42">
        <f t="shared" si="180"/>
        <v>6.09375</v>
      </c>
      <c r="BC165" s="42">
        <f t="shared" si="181"/>
        <v>6.09375</v>
      </c>
      <c r="BD165" s="72">
        <f t="shared" si="207"/>
        <v>24.375</v>
      </c>
      <c r="BE165" s="42">
        <f t="shared" si="182"/>
        <v>6.09375</v>
      </c>
      <c r="BF165" s="42">
        <f t="shared" si="183"/>
        <v>6.09375</v>
      </c>
      <c r="BG165" s="42">
        <f t="shared" si="184"/>
        <v>6.09375</v>
      </c>
      <c r="BH165" s="42">
        <f t="shared" si="185"/>
        <v>6.09375</v>
      </c>
      <c r="BI165" s="72">
        <f t="shared" si="208"/>
        <v>24.375</v>
      </c>
    </row>
    <row r="166" spans="1:61" s="26" customFormat="1">
      <c r="A166" s="3" t="s">
        <v>374</v>
      </c>
      <c r="B166" s="41"/>
      <c r="C166" s="41"/>
      <c r="D166" s="41"/>
      <c r="E166" s="42"/>
      <c r="F166" s="43"/>
      <c r="G166" s="41"/>
      <c r="H166" s="41"/>
      <c r="I166" s="41"/>
      <c r="J166" s="42"/>
      <c r="K166" s="43"/>
      <c r="L166" s="41"/>
      <c r="M166" s="41"/>
      <c r="N166" s="41"/>
      <c r="O166" s="42"/>
      <c r="P166" s="72">
        <f t="shared" si="201"/>
        <v>0</v>
      </c>
      <c r="Q166" s="42">
        <f t="shared" si="202"/>
        <v>1.421875</v>
      </c>
      <c r="R166" s="42">
        <f t="shared" si="202"/>
        <v>2.84375</v>
      </c>
      <c r="S166" s="42">
        <f t="shared" si="202"/>
        <v>2.84375</v>
      </c>
      <c r="T166" s="42">
        <f t="shared" si="202"/>
        <v>2.84375</v>
      </c>
      <c r="U166" s="72">
        <f t="shared" si="186"/>
        <v>9.953125</v>
      </c>
      <c r="V166" s="42">
        <f t="shared" si="203"/>
        <v>2.84375</v>
      </c>
      <c r="W166" s="42">
        <f t="shared" si="203"/>
        <v>2.84375</v>
      </c>
      <c r="X166" s="42">
        <f t="shared" si="203"/>
        <v>2.84375</v>
      </c>
      <c r="Y166" s="42">
        <f t="shared" si="203"/>
        <v>2.84375</v>
      </c>
      <c r="Z166" s="72">
        <f t="shared" si="187"/>
        <v>11.375</v>
      </c>
      <c r="AA166" s="42">
        <f t="shared" si="204"/>
        <v>2.84375</v>
      </c>
      <c r="AB166" s="42">
        <f t="shared" si="204"/>
        <v>2.84375</v>
      </c>
      <c r="AC166" s="42">
        <f t="shared" si="204"/>
        <v>2.84375</v>
      </c>
      <c r="AD166" s="42">
        <f t="shared" si="204"/>
        <v>2.84375</v>
      </c>
      <c r="AE166" s="72">
        <f t="shared" si="189"/>
        <v>11.375</v>
      </c>
      <c r="AF166" s="42">
        <f t="shared" si="209"/>
        <v>2.84375</v>
      </c>
      <c r="AG166" s="42">
        <f t="shared" si="209"/>
        <v>2.84375</v>
      </c>
      <c r="AH166" s="42">
        <f t="shared" si="209"/>
        <v>2.84375</v>
      </c>
      <c r="AI166" s="42">
        <f t="shared" si="209"/>
        <v>2.84375</v>
      </c>
      <c r="AJ166" s="72">
        <f t="shared" si="190"/>
        <v>11.375</v>
      </c>
      <c r="AK166" s="42">
        <f t="shared" si="166"/>
        <v>2.84375</v>
      </c>
      <c r="AL166" s="42">
        <f t="shared" si="167"/>
        <v>2.84375</v>
      </c>
      <c r="AM166" s="42">
        <f t="shared" si="168"/>
        <v>2.84375</v>
      </c>
      <c r="AN166" s="42">
        <f t="shared" si="169"/>
        <v>2.84375</v>
      </c>
      <c r="AO166" s="72">
        <f t="shared" si="191"/>
        <v>11.375</v>
      </c>
      <c r="AP166" s="42">
        <f t="shared" si="170"/>
        <v>2.84375</v>
      </c>
      <c r="AQ166" s="42">
        <f t="shared" si="171"/>
        <v>2.84375</v>
      </c>
      <c r="AR166" s="42">
        <f t="shared" si="172"/>
        <v>2.84375</v>
      </c>
      <c r="AS166" s="42">
        <f t="shared" si="173"/>
        <v>2.84375</v>
      </c>
      <c r="AT166" s="72">
        <f t="shared" si="205"/>
        <v>11.375</v>
      </c>
      <c r="AU166" s="42">
        <f t="shared" si="174"/>
        <v>2.84375</v>
      </c>
      <c r="AV166" s="42">
        <f t="shared" si="175"/>
        <v>2.84375</v>
      </c>
      <c r="AW166" s="42">
        <f t="shared" si="176"/>
        <v>2.84375</v>
      </c>
      <c r="AX166" s="42">
        <f t="shared" si="177"/>
        <v>2.84375</v>
      </c>
      <c r="AY166" s="72">
        <f t="shared" si="206"/>
        <v>11.375</v>
      </c>
      <c r="AZ166" s="42">
        <f t="shared" si="178"/>
        <v>2.84375</v>
      </c>
      <c r="BA166" s="42">
        <f t="shared" si="179"/>
        <v>2.84375</v>
      </c>
      <c r="BB166" s="42">
        <f t="shared" si="180"/>
        <v>2.84375</v>
      </c>
      <c r="BC166" s="42">
        <f t="shared" si="181"/>
        <v>2.84375</v>
      </c>
      <c r="BD166" s="72">
        <f t="shared" si="207"/>
        <v>11.375</v>
      </c>
      <c r="BE166" s="42">
        <f t="shared" si="182"/>
        <v>2.84375</v>
      </c>
      <c r="BF166" s="42">
        <f t="shared" si="183"/>
        <v>2.84375</v>
      </c>
      <c r="BG166" s="42">
        <f t="shared" si="184"/>
        <v>2.84375</v>
      </c>
      <c r="BH166" s="42">
        <f t="shared" si="185"/>
        <v>2.84375</v>
      </c>
      <c r="BI166" s="72">
        <f t="shared" si="208"/>
        <v>11.375</v>
      </c>
    </row>
    <row r="167" spans="1:61" s="26" customFormat="1">
      <c r="A167" s="3" t="s">
        <v>375</v>
      </c>
      <c r="B167" s="41"/>
      <c r="C167" s="41"/>
      <c r="D167" s="41"/>
      <c r="E167" s="42"/>
      <c r="F167" s="43"/>
      <c r="G167" s="41"/>
      <c r="H167" s="41"/>
      <c r="I167" s="41"/>
      <c r="J167" s="42"/>
      <c r="K167" s="43"/>
      <c r="L167" s="41"/>
      <c r="M167" s="41"/>
      <c r="N167" s="41"/>
      <c r="O167" s="42"/>
      <c r="P167" s="72">
        <f t="shared" si="201"/>
        <v>8.25</v>
      </c>
      <c r="Q167" s="42">
        <f t="shared" si="202"/>
        <v>2.0625</v>
      </c>
      <c r="R167" s="42">
        <f t="shared" si="202"/>
        <v>2.0625</v>
      </c>
      <c r="S167" s="42">
        <f t="shared" si="202"/>
        <v>2.0625</v>
      </c>
      <c r="T167" s="42">
        <f t="shared" si="202"/>
        <v>2.0625</v>
      </c>
      <c r="U167" s="72">
        <f t="shared" si="186"/>
        <v>8.25</v>
      </c>
      <c r="V167" s="42">
        <f t="shared" si="203"/>
        <v>2.0625</v>
      </c>
      <c r="W167" s="42">
        <f t="shared" si="203"/>
        <v>2.0625</v>
      </c>
      <c r="X167" s="42">
        <f t="shared" si="203"/>
        <v>2.0625</v>
      </c>
      <c r="Y167" s="42">
        <f t="shared" si="203"/>
        <v>2.0625</v>
      </c>
      <c r="Z167" s="72">
        <f t="shared" si="187"/>
        <v>8.25</v>
      </c>
      <c r="AA167" s="42">
        <f t="shared" si="204"/>
        <v>2.0625</v>
      </c>
      <c r="AB167" s="42">
        <f t="shared" si="204"/>
        <v>2.0625</v>
      </c>
      <c r="AC167" s="42">
        <f t="shared" si="204"/>
        <v>2.0625</v>
      </c>
      <c r="AD167" s="42">
        <f t="shared" si="204"/>
        <v>2.0625</v>
      </c>
      <c r="AE167" s="72">
        <f t="shared" si="189"/>
        <v>8.25</v>
      </c>
      <c r="AF167" s="42">
        <f t="shared" si="209"/>
        <v>2.0625</v>
      </c>
      <c r="AG167" s="42">
        <f t="shared" si="209"/>
        <v>2.0625</v>
      </c>
      <c r="AH167" s="42">
        <f t="shared" si="209"/>
        <v>2.0625</v>
      </c>
      <c r="AI167" s="42">
        <f t="shared" si="209"/>
        <v>2.0625</v>
      </c>
      <c r="AJ167" s="72">
        <f t="shared" si="190"/>
        <v>8.25</v>
      </c>
      <c r="AK167" s="42">
        <f t="shared" si="166"/>
        <v>2.0625</v>
      </c>
      <c r="AL167" s="42">
        <f t="shared" si="167"/>
        <v>2.0625</v>
      </c>
      <c r="AM167" s="42">
        <f t="shared" si="168"/>
        <v>2.0625</v>
      </c>
      <c r="AN167" s="42">
        <f t="shared" si="169"/>
        <v>2.0625</v>
      </c>
      <c r="AO167" s="72">
        <f t="shared" si="191"/>
        <v>8.25</v>
      </c>
      <c r="AP167" s="42">
        <f t="shared" si="170"/>
        <v>2.0625</v>
      </c>
      <c r="AQ167" s="42">
        <f t="shared" si="171"/>
        <v>2.0625</v>
      </c>
      <c r="AR167" s="42">
        <f t="shared" si="172"/>
        <v>2.0625</v>
      </c>
      <c r="AS167" s="42">
        <f t="shared" si="173"/>
        <v>2.0625</v>
      </c>
      <c r="AT167" s="72">
        <f t="shared" si="205"/>
        <v>8.25</v>
      </c>
      <c r="AU167" s="42">
        <f t="shared" si="174"/>
        <v>2.0625</v>
      </c>
      <c r="AV167" s="42">
        <f t="shared" si="175"/>
        <v>2.0625</v>
      </c>
      <c r="AW167" s="42">
        <f t="shared" si="176"/>
        <v>2.0625</v>
      </c>
      <c r="AX167" s="42">
        <f t="shared" si="177"/>
        <v>2.0625</v>
      </c>
      <c r="AY167" s="72">
        <f t="shared" si="206"/>
        <v>8.25</v>
      </c>
      <c r="AZ167" s="42">
        <f t="shared" si="178"/>
        <v>2.0625</v>
      </c>
      <c r="BA167" s="42">
        <f t="shared" si="179"/>
        <v>2.0625</v>
      </c>
      <c r="BB167" s="42">
        <f t="shared" si="180"/>
        <v>2.0625</v>
      </c>
      <c r="BC167" s="42">
        <f t="shared" si="181"/>
        <v>2.0625</v>
      </c>
      <c r="BD167" s="72">
        <f t="shared" si="207"/>
        <v>8.25</v>
      </c>
      <c r="BE167" s="42">
        <f t="shared" si="182"/>
        <v>2.0625</v>
      </c>
      <c r="BF167" s="42">
        <f t="shared" si="183"/>
        <v>2.0625</v>
      </c>
      <c r="BG167" s="42">
        <f t="shared" si="184"/>
        <v>2.0625</v>
      </c>
      <c r="BH167" s="42">
        <f t="shared" si="185"/>
        <v>2.0625</v>
      </c>
      <c r="BI167" s="72">
        <f t="shared" si="208"/>
        <v>8.25</v>
      </c>
    </row>
    <row r="168" spans="1:61" s="26" customFormat="1">
      <c r="A168" s="3" t="s">
        <v>376</v>
      </c>
      <c r="B168" s="41"/>
      <c r="C168" s="41"/>
      <c r="D168" s="41"/>
      <c r="E168" s="42"/>
      <c r="F168" s="43"/>
      <c r="G168" s="41"/>
      <c r="H168" s="41"/>
      <c r="I168" s="41"/>
      <c r="J168" s="42"/>
      <c r="K168" s="43"/>
      <c r="L168" s="41"/>
      <c r="M168" s="41"/>
      <c r="N168" s="41"/>
      <c r="O168" s="42"/>
      <c r="P168" s="72">
        <f t="shared" si="201"/>
        <v>13.5</v>
      </c>
      <c r="Q168" s="42">
        <f t="shared" si="202"/>
        <v>3.375</v>
      </c>
      <c r="R168" s="42">
        <f t="shared" si="202"/>
        <v>3.375</v>
      </c>
      <c r="S168" s="42">
        <f t="shared" si="202"/>
        <v>3.375</v>
      </c>
      <c r="T168" s="42">
        <f t="shared" si="202"/>
        <v>3.375</v>
      </c>
      <c r="U168" s="72">
        <f t="shared" si="186"/>
        <v>13.5</v>
      </c>
      <c r="V168" s="42">
        <f t="shared" si="203"/>
        <v>3.375</v>
      </c>
      <c r="W168" s="42">
        <f t="shared" si="203"/>
        <v>3.375</v>
      </c>
      <c r="X168" s="42">
        <f t="shared" si="203"/>
        <v>3.375</v>
      </c>
      <c r="Y168" s="42">
        <f t="shared" si="203"/>
        <v>3.375</v>
      </c>
      <c r="Z168" s="72">
        <f t="shared" si="187"/>
        <v>13.5</v>
      </c>
      <c r="AA168" s="42">
        <f t="shared" si="204"/>
        <v>3.375</v>
      </c>
      <c r="AB168" s="42">
        <f t="shared" si="204"/>
        <v>3.375</v>
      </c>
      <c r="AC168" s="42">
        <f t="shared" si="204"/>
        <v>3.375</v>
      </c>
      <c r="AD168" s="42">
        <f t="shared" si="204"/>
        <v>3.375</v>
      </c>
      <c r="AE168" s="72">
        <f t="shared" si="189"/>
        <v>13.5</v>
      </c>
      <c r="AF168" s="42">
        <f t="shared" si="209"/>
        <v>3.375</v>
      </c>
      <c r="AG168" s="42">
        <f t="shared" si="209"/>
        <v>3.375</v>
      </c>
      <c r="AH168" s="42">
        <f t="shared" si="209"/>
        <v>3.375</v>
      </c>
      <c r="AI168" s="42">
        <f t="shared" si="209"/>
        <v>3.375</v>
      </c>
      <c r="AJ168" s="72">
        <f t="shared" si="190"/>
        <v>13.5</v>
      </c>
      <c r="AK168" s="42">
        <f t="shared" si="166"/>
        <v>3.375</v>
      </c>
      <c r="AL168" s="42">
        <f t="shared" si="167"/>
        <v>3.375</v>
      </c>
      <c r="AM168" s="42">
        <f t="shared" si="168"/>
        <v>3.375</v>
      </c>
      <c r="AN168" s="42">
        <f t="shared" si="169"/>
        <v>3.375</v>
      </c>
      <c r="AO168" s="72">
        <f t="shared" si="191"/>
        <v>13.5</v>
      </c>
      <c r="AP168" s="42">
        <f t="shared" si="170"/>
        <v>3.375</v>
      </c>
      <c r="AQ168" s="42">
        <f t="shared" si="171"/>
        <v>3.375</v>
      </c>
      <c r="AR168" s="42">
        <f t="shared" si="172"/>
        <v>3.375</v>
      </c>
      <c r="AS168" s="42">
        <f t="shared" si="173"/>
        <v>3.375</v>
      </c>
      <c r="AT168" s="72">
        <f t="shared" si="205"/>
        <v>13.5</v>
      </c>
      <c r="AU168" s="42">
        <f t="shared" si="174"/>
        <v>3.375</v>
      </c>
      <c r="AV168" s="42">
        <f t="shared" si="175"/>
        <v>3.375</v>
      </c>
      <c r="AW168" s="42">
        <f t="shared" si="176"/>
        <v>3.375</v>
      </c>
      <c r="AX168" s="42">
        <f t="shared" si="177"/>
        <v>3.375</v>
      </c>
      <c r="AY168" s="72">
        <f t="shared" si="206"/>
        <v>13.5</v>
      </c>
      <c r="AZ168" s="42">
        <f t="shared" si="178"/>
        <v>3.375</v>
      </c>
      <c r="BA168" s="42">
        <f t="shared" si="179"/>
        <v>3.375</v>
      </c>
      <c r="BB168" s="42">
        <f t="shared" si="180"/>
        <v>3.375</v>
      </c>
      <c r="BC168" s="42">
        <f t="shared" si="181"/>
        <v>3.375</v>
      </c>
      <c r="BD168" s="72">
        <f t="shared" si="207"/>
        <v>13.5</v>
      </c>
      <c r="BE168" s="42">
        <f t="shared" si="182"/>
        <v>3.375</v>
      </c>
      <c r="BF168" s="42">
        <f t="shared" si="183"/>
        <v>3.375</v>
      </c>
      <c r="BG168" s="42">
        <f t="shared" si="184"/>
        <v>3.375</v>
      </c>
      <c r="BH168" s="42">
        <f t="shared" si="185"/>
        <v>3.375</v>
      </c>
      <c r="BI168" s="72">
        <f t="shared" si="208"/>
        <v>13.5</v>
      </c>
    </row>
    <row r="169" spans="1:61" s="26" customFormat="1">
      <c r="A169" s="3" t="s">
        <v>377</v>
      </c>
      <c r="B169" s="41"/>
      <c r="C169" s="41"/>
      <c r="D169" s="41"/>
      <c r="E169" s="42"/>
      <c r="F169" s="43"/>
      <c r="G169" s="41"/>
      <c r="H169" s="41"/>
      <c r="I169" s="41"/>
      <c r="J169" s="42"/>
      <c r="K169" s="43"/>
      <c r="L169" s="41"/>
      <c r="M169" s="41"/>
      <c r="N169" s="41"/>
      <c r="O169" s="42"/>
      <c r="P169" s="72">
        <f t="shared" si="201"/>
        <v>0</v>
      </c>
      <c r="Q169" s="42">
        <f t="shared" si="202"/>
        <v>0</v>
      </c>
      <c r="R169" s="42">
        <f t="shared" si="202"/>
        <v>0</v>
      </c>
      <c r="S169" s="42">
        <f t="shared" si="202"/>
        <v>0</v>
      </c>
      <c r="T169" s="42">
        <f t="shared" si="202"/>
        <v>1.5093750000000001</v>
      </c>
      <c r="U169" s="72">
        <f t="shared" si="186"/>
        <v>1.5093750000000001</v>
      </c>
      <c r="V169" s="42">
        <f t="shared" si="203"/>
        <v>3.0187500000000003</v>
      </c>
      <c r="W169" s="42">
        <f t="shared" si="203"/>
        <v>3.0187500000000003</v>
      </c>
      <c r="X169" s="42">
        <f t="shared" si="203"/>
        <v>3.0187500000000003</v>
      </c>
      <c r="Y169" s="42">
        <f t="shared" si="203"/>
        <v>3.0187500000000003</v>
      </c>
      <c r="Z169" s="72">
        <f t="shared" si="187"/>
        <v>12.075000000000001</v>
      </c>
      <c r="AA169" s="42">
        <f t="shared" si="204"/>
        <v>3.0187500000000003</v>
      </c>
      <c r="AB169" s="42">
        <f t="shared" si="204"/>
        <v>3.0187500000000003</v>
      </c>
      <c r="AC169" s="42">
        <f t="shared" si="204"/>
        <v>3.0187500000000003</v>
      </c>
      <c r="AD169" s="42">
        <f t="shared" si="204"/>
        <v>3.0187500000000003</v>
      </c>
      <c r="AE169" s="72">
        <f t="shared" si="189"/>
        <v>12.075000000000001</v>
      </c>
      <c r="AF169" s="42">
        <f t="shared" si="209"/>
        <v>3.0187500000000003</v>
      </c>
      <c r="AG169" s="42">
        <f t="shared" si="209"/>
        <v>3.0187500000000003</v>
      </c>
      <c r="AH169" s="42">
        <f t="shared" si="209"/>
        <v>3.0187500000000003</v>
      </c>
      <c r="AI169" s="42">
        <f t="shared" si="209"/>
        <v>3.0187500000000003</v>
      </c>
      <c r="AJ169" s="72">
        <f t="shared" si="190"/>
        <v>12.075000000000001</v>
      </c>
      <c r="AK169" s="42">
        <f t="shared" si="166"/>
        <v>3.0187500000000003</v>
      </c>
      <c r="AL169" s="42">
        <f t="shared" si="167"/>
        <v>3.0187500000000003</v>
      </c>
      <c r="AM169" s="42">
        <f t="shared" si="168"/>
        <v>3.0187500000000003</v>
      </c>
      <c r="AN169" s="42">
        <f t="shared" si="169"/>
        <v>3.0187500000000003</v>
      </c>
      <c r="AO169" s="72">
        <f t="shared" si="191"/>
        <v>12.075000000000001</v>
      </c>
      <c r="AP169" s="42">
        <f t="shared" si="170"/>
        <v>3.0187500000000003</v>
      </c>
      <c r="AQ169" s="42">
        <f t="shared" si="171"/>
        <v>3.0187500000000003</v>
      </c>
      <c r="AR169" s="42">
        <f t="shared" si="172"/>
        <v>3.0187500000000003</v>
      </c>
      <c r="AS169" s="42">
        <f t="shared" si="173"/>
        <v>3.0187500000000003</v>
      </c>
      <c r="AT169" s="72">
        <f t="shared" si="205"/>
        <v>12.075000000000001</v>
      </c>
      <c r="AU169" s="42">
        <f t="shared" si="174"/>
        <v>3.0187500000000003</v>
      </c>
      <c r="AV169" s="42">
        <f t="shared" si="175"/>
        <v>3.0187500000000003</v>
      </c>
      <c r="AW169" s="42">
        <f t="shared" si="176"/>
        <v>3.0187500000000003</v>
      </c>
      <c r="AX169" s="42">
        <f t="shared" si="177"/>
        <v>3.0187500000000003</v>
      </c>
      <c r="AY169" s="72">
        <f t="shared" si="206"/>
        <v>12.075000000000001</v>
      </c>
      <c r="AZ169" s="42">
        <f t="shared" si="178"/>
        <v>3.0187500000000003</v>
      </c>
      <c r="BA169" s="42">
        <f t="shared" si="179"/>
        <v>3.0187500000000003</v>
      </c>
      <c r="BB169" s="42">
        <f t="shared" si="180"/>
        <v>3.0187500000000003</v>
      </c>
      <c r="BC169" s="42">
        <f t="shared" si="181"/>
        <v>3.0187500000000003</v>
      </c>
      <c r="BD169" s="72">
        <f t="shared" si="207"/>
        <v>12.075000000000001</v>
      </c>
      <c r="BE169" s="42">
        <f t="shared" si="182"/>
        <v>3.0187500000000003</v>
      </c>
      <c r="BF169" s="42">
        <f t="shared" si="183"/>
        <v>3.0187500000000003</v>
      </c>
      <c r="BG169" s="42">
        <f t="shared" si="184"/>
        <v>3.0187500000000003</v>
      </c>
      <c r="BH169" s="42">
        <f t="shared" si="185"/>
        <v>3.0187500000000003</v>
      </c>
      <c r="BI169" s="72">
        <f t="shared" si="208"/>
        <v>12.075000000000001</v>
      </c>
    </row>
    <row r="170" spans="1:61" s="26" customFormat="1">
      <c r="A170" s="3" t="s">
        <v>378</v>
      </c>
      <c r="B170" s="41"/>
      <c r="C170" s="41"/>
      <c r="D170" s="41"/>
      <c r="E170" s="42"/>
      <c r="F170" s="43"/>
      <c r="G170" s="41"/>
      <c r="H170" s="41"/>
      <c r="I170" s="41"/>
      <c r="J170" s="42"/>
      <c r="K170" s="43"/>
      <c r="L170" s="41"/>
      <c r="M170" s="41"/>
      <c r="N170" s="41"/>
      <c r="O170" s="42"/>
      <c r="P170" s="72">
        <f t="shared" si="201"/>
        <v>0</v>
      </c>
      <c r="Q170" s="42">
        <f t="shared" si="202"/>
        <v>0</v>
      </c>
      <c r="R170" s="42">
        <f t="shared" si="202"/>
        <v>0</v>
      </c>
      <c r="S170" s="42">
        <f t="shared" si="202"/>
        <v>0</v>
      </c>
      <c r="T170" s="42">
        <f t="shared" si="202"/>
        <v>0</v>
      </c>
      <c r="U170" s="72">
        <f t="shared" si="186"/>
        <v>0</v>
      </c>
      <c r="V170" s="42">
        <f t="shared" si="203"/>
        <v>1.7500000000000002</v>
      </c>
      <c r="W170" s="42">
        <f t="shared" si="203"/>
        <v>3.5000000000000004</v>
      </c>
      <c r="X170" s="42">
        <f t="shared" si="203"/>
        <v>3.5000000000000004</v>
      </c>
      <c r="Y170" s="42">
        <f t="shared" si="203"/>
        <v>3.5000000000000004</v>
      </c>
      <c r="Z170" s="72">
        <f t="shared" si="187"/>
        <v>12.250000000000002</v>
      </c>
      <c r="AA170" s="42">
        <f t="shared" si="204"/>
        <v>3.5000000000000004</v>
      </c>
      <c r="AB170" s="42">
        <f t="shared" si="204"/>
        <v>3.5000000000000004</v>
      </c>
      <c r="AC170" s="42">
        <f t="shared" si="204"/>
        <v>3.5000000000000004</v>
      </c>
      <c r="AD170" s="42">
        <f t="shared" si="204"/>
        <v>3.5000000000000004</v>
      </c>
      <c r="AE170" s="72">
        <f t="shared" si="189"/>
        <v>14.000000000000002</v>
      </c>
      <c r="AF170" s="42">
        <f t="shared" si="209"/>
        <v>3.5000000000000004</v>
      </c>
      <c r="AG170" s="42">
        <f t="shared" si="209"/>
        <v>3.5000000000000004</v>
      </c>
      <c r="AH170" s="42">
        <f t="shared" si="209"/>
        <v>3.5000000000000004</v>
      </c>
      <c r="AI170" s="42">
        <f t="shared" si="209"/>
        <v>3.5000000000000004</v>
      </c>
      <c r="AJ170" s="72">
        <f t="shared" si="190"/>
        <v>14.000000000000002</v>
      </c>
      <c r="AK170" s="42">
        <f t="shared" si="166"/>
        <v>3.5000000000000004</v>
      </c>
      <c r="AL170" s="42">
        <f t="shared" si="167"/>
        <v>3.5000000000000004</v>
      </c>
      <c r="AM170" s="42">
        <f t="shared" si="168"/>
        <v>3.5000000000000004</v>
      </c>
      <c r="AN170" s="42">
        <f t="shared" si="169"/>
        <v>3.5000000000000004</v>
      </c>
      <c r="AO170" s="72">
        <f t="shared" si="191"/>
        <v>14.000000000000002</v>
      </c>
      <c r="AP170" s="42">
        <f t="shared" si="170"/>
        <v>3.5000000000000004</v>
      </c>
      <c r="AQ170" s="42">
        <f t="shared" si="171"/>
        <v>3.5000000000000004</v>
      </c>
      <c r="AR170" s="42">
        <f t="shared" si="172"/>
        <v>3.5000000000000004</v>
      </c>
      <c r="AS170" s="42">
        <f t="shared" si="173"/>
        <v>3.5000000000000004</v>
      </c>
      <c r="AT170" s="72">
        <f t="shared" si="205"/>
        <v>14.000000000000002</v>
      </c>
      <c r="AU170" s="42">
        <f t="shared" si="174"/>
        <v>3.5000000000000004</v>
      </c>
      <c r="AV170" s="42">
        <f t="shared" si="175"/>
        <v>3.5000000000000004</v>
      </c>
      <c r="AW170" s="42">
        <f t="shared" si="176"/>
        <v>3.5000000000000004</v>
      </c>
      <c r="AX170" s="42">
        <f t="shared" si="177"/>
        <v>3.5000000000000004</v>
      </c>
      <c r="AY170" s="72">
        <f t="shared" si="206"/>
        <v>14.000000000000002</v>
      </c>
      <c r="AZ170" s="42">
        <f t="shared" si="178"/>
        <v>3.5000000000000004</v>
      </c>
      <c r="BA170" s="42">
        <f t="shared" si="179"/>
        <v>3.5000000000000004</v>
      </c>
      <c r="BB170" s="42">
        <f t="shared" si="180"/>
        <v>3.5000000000000004</v>
      </c>
      <c r="BC170" s="42">
        <f t="shared" si="181"/>
        <v>3.5000000000000004</v>
      </c>
      <c r="BD170" s="72">
        <f t="shared" si="207"/>
        <v>14.000000000000002</v>
      </c>
      <c r="BE170" s="42">
        <f t="shared" si="182"/>
        <v>3.5000000000000004</v>
      </c>
      <c r="BF170" s="42">
        <f t="shared" si="183"/>
        <v>3.5000000000000004</v>
      </c>
      <c r="BG170" s="42">
        <f t="shared" si="184"/>
        <v>3.5000000000000004</v>
      </c>
      <c r="BH170" s="42">
        <f t="shared" si="185"/>
        <v>3.5000000000000004</v>
      </c>
      <c r="BI170" s="72">
        <f t="shared" si="208"/>
        <v>14.000000000000002</v>
      </c>
    </row>
    <row r="171" spans="1:61" s="26" customFormat="1">
      <c r="A171" s="3" t="s">
        <v>379</v>
      </c>
      <c r="B171" s="41"/>
      <c r="C171" s="41"/>
      <c r="D171" s="41"/>
      <c r="E171" s="42"/>
      <c r="F171" s="43"/>
      <c r="G171" s="41"/>
      <c r="H171" s="41"/>
      <c r="I171" s="41"/>
      <c r="J171" s="42"/>
      <c r="K171" s="43"/>
      <c r="L171" s="41"/>
      <c r="M171" s="41"/>
      <c r="N171" s="41"/>
      <c r="O171" s="42"/>
      <c r="P171" s="72">
        <f t="shared" si="201"/>
        <v>8.75</v>
      </c>
      <c r="Q171" s="42">
        <f t="shared" si="202"/>
        <v>2.1875</v>
      </c>
      <c r="R171" s="42">
        <f t="shared" si="202"/>
        <v>2.1875</v>
      </c>
      <c r="S171" s="42">
        <f t="shared" si="202"/>
        <v>2.1875</v>
      </c>
      <c r="T171" s="42">
        <f t="shared" si="202"/>
        <v>2.1875</v>
      </c>
      <c r="U171" s="72">
        <f t="shared" si="186"/>
        <v>8.75</v>
      </c>
      <c r="V171" s="42">
        <f t="shared" si="203"/>
        <v>2.1875</v>
      </c>
      <c r="W171" s="42">
        <f t="shared" si="203"/>
        <v>2.1875</v>
      </c>
      <c r="X171" s="42">
        <f t="shared" si="203"/>
        <v>2.1875</v>
      </c>
      <c r="Y171" s="42">
        <f t="shared" si="203"/>
        <v>2.1875</v>
      </c>
      <c r="Z171" s="72">
        <f t="shared" si="187"/>
        <v>8.75</v>
      </c>
      <c r="AA171" s="42">
        <f t="shared" si="204"/>
        <v>2.1875</v>
      </c>
      <c r="AB171" s="42">
        <f t="shared" si="204"/>
        <v>2.1875</v>
      </c>
      <c r="AC171" s="42">
        <f t="shared" si="204"/>
        <v>2.1875</v>
      </c>
      <c r="AD171" s="42">
        <f t="shared" si="204"/>
        <v>2.1875</v>
      </c>
      <c r="AE171" s="72">
        <f t="shared" si="189"/>
        <v>8.75</v>
      </c>
      <c r="AF171" s="42">
        <f t="shared" si="209"/>
        <v>2.1875</v>
      </c>
      <c r="AG171" s="42">
        <f t="shared" si="209"/>
        <v>2.1875</v>
      </c>
      <c r="AH171" s="42">
        <f t="shared" si="209"/>
        <v>2.1875</v>
      </c>
      <c r="AI171" s="42">
        <f t="shared" si="209"/>
        <v>2.1875</v>
      </c>
      <c r="AJ171" s="72">
        <f t="shared" si="190"/>
        <v>8.75</v>
      </c>
      <c r="AK171" s="42">
        <f t="shared" si="166"/>
        <v>2.1875</v>
      </c>
      <c r="AL171" s="42">
        <f t="shared" si="167"/>
        <v>2.1875</v>
      </c>
      <c r="AM171" s="42">
        <f t="shared" si="168"/>
        <v>2.1875</v>
      </c>
      <c r="AN171" s="42">
        <f t="shared" si="169"/>
        <v>2.1875</v>
      </c>
      <c r="AO171" s="72">
        <f t="shared" si="191"/>
        <v>8.75</v>
      </c>
      <c r="AP171" s="42">
        <f t="shared" si="170"/>
        <v>2.1875</v>
      </c>
      <c r="AQ171" s="42">
        <f t="shared" si="171"/>
        <v>2.1875</v>
      </c>
      <c r="AR171" s="42">
        <f t="shared" si="172"/>
        <v>2.1875</v>
      </c>
      <c r="AS171" s="42">
        <f t="shared" si="173"/>
        <v>2.1875</v>
      </c>
      <c r="AT171" s="72">
        <f t="shared" si="205"/>
        <v>8.75</v>
      </c>
      <c r="AU171" s="42">
        <f t="shared" si="174"/>
        <v>2.1875</v>
      </c>
      <c r="AV171" s="42">
        <f t="shared" si="175"/>
        <v>2.1875</v>
      </c>
      <c r="AW171" s="42">
        <f t="shared" si="176"/>
        <v>2.1875</v>
      </c>
      <c r="AX171" s="42">
        <f t="shared" si="177"/>
        <v>2.1875</v>
      </c>
      <c r="AY171" s="72">
        <f t="shared" si="206"/>
        <v>8.75</v>
      </c>
      <c r="AZ171" s="42">
        <f t="shared" si="178"/>
        <v>2.1875</v>
      </c>
      <c r="BA171" s="42">
        <f t="shared" si="179"/>
        <v>2.1875</v>
      </c>
      <c r="BB171" s="42">
        <f t="shared" si="180"/>
        <v>2.1875</v>
      </c>
      <c r="BC171" s="42">
        <f t="shared" si="181"/>
        <v>2.1875</v>
      </c>
      <c r="BD171" s="72">
        <f t="shared" si="207"/>
        <v>8.75</v>
      </c>
      <c r="BE171" s="42">
        <f t="shared" si="182"/>
        <v>2.1875</v>
      </c>
      <c r="BF171" s="42">
        <f t="shared" si="183"/>
        <v>2.1875</v>
      </c>
      <c r="BG171" s="42">
        <f t="shared" si="184"/>
        <v>2.1875</v>
      </c>
      <c r="BH171" s="42">
        <f t="shared" si="185"/>
        <v>2.1875</v>
      </c>
      <c r="BI171" s="72">
        <f t="shared" si="208"/>
        <v>8.75</v>
      </c>
    </row>
    <row r="172" spans="1:61" s="26" customFormat="1">
      <c r="A172" s="3" t="s">
        <v>380</v>
      </c>
      <c r="B172" s="41"/>
      <c r="C172" s="41"/>
      <c r="D172" s="41"/>
      <c r="E172" s="42"/>
      <c r="F172" s="43"/>
      <c r="G172" s="41"/>
      <c r="H172" s="41"/>
      <c r="I172" s="41"/>
      <c r="J172" s="42"/>
      <c r="K172" s="43"/>
      <c r="L172" s="41"/>
      <c r="M172" s="41"/>
      <c r="N172" s="41"/>
      <c r="O172" s="42"/>
      <c r="P172" s="72">
        <f t="shared" si="201"/>
        <v>0</v>
      </c>
      <c r="Q172" s="42">
        <f t="shared" si="202"/>
        <v>1.5531249999999999</v>
      </c>
      <c r="R172" s="42">
        <f t="shared" si="202"/>
        <v>3.1062499999999997</v>
      </c>
      <c r="S172" s="42">
        <f t="shared" si="202"/>
        <v>3.1062499999999997</v>
      </c>
      <c r="T172" s="42">
        <f t="shared" si="202"/>
        <v>3.1062499999999997</v>
      </c>
      <c r="U172" s="72">
        <f t="shared" si="186"/>
        <v>10.871874999999999</v>
      </c>
      <c r="V172" s="42">
        <f t="shared" si="203"/>
        <v>3.1062499999999997</v>
      </c>
      <c r="W172" s="42">
        <f t="shared" si="203"/>
        <v>3.1062499999999997</v>
      </c>
      <c r="X172" s="42">
        <f t="shared" si="203"/>
        <v>3.1062499999999997</v>
      </c>
      <c r="Y172" s="42">
        <f t="shared" si="203"/>
        <v>3.1062499999999997</v>
      </c>
      <c r="Z172" s="72">
        <f t="shared" si="187"/>
        <v>12.424999999999999</v>
      </c>
      <c r="AA172" s="42">
        <f t="shared" si="204"/>
        <v>3.1062499999999997</v>
      </c>
      <c r="AB172" s="42">
        <f t="shared" si="204"/>
        <v>3.1062499999999997</v>
      </c>
      <c r="AC172" s="42">
        <f t="shared" si="204"/>
        <v>3.1062499999999997</v>
      </c>
      <c r="AD172" s="42">
        <f t="shared" si="204"/>
        <v>3.1062499999999997</v>
      </c>
      <c r="AE172" s="72">
        <f t="shared" si="189"/>
        <v>12.424999999999999</v>
      </c>
      <c r="AF172" s="42">
        <f t="shared" si="209"/>
        <v>3.1062499999999997</v>
      </c>
      <c r="AG172" s="42">
        <f t="shared" si="209"/>
        <v>3.1062499999999997</v>
      </c>
      <c r="AH172" s="42">
        <f t="shared" si="209"/>
        <v>3.1062499999999997</v>
      </c>
      <c r="AI172" s="42">
        <f t="shared" si="209"/>
        <v>3.1062499999999997</v>
      </c>
      <c r="AJ172" s="72">
        <f t="shared" si="190"/>
        <v>12.424999999999999</v>
      </c>
      <c r="AK172" s="42">
        <f t="shared" si="166"/>
        <v>3.1062499999999997</v>
      </c>
      <c r="AL172" s="42">
        <f t="shared" si="167"/>
        <v>3.1062499999999997</v>
      </c>
      <c r="AM172" s="42">
        <f t="shared" si="168"/>
        <v>3.1062499999999997</v>
      </c>
      <c r="AN172" s="42">
        <f t="shared" si="169"/>
        <v>3.1062499999999997</v>
      </c>
      <c r="AO172" s="72">
        <f t="shared" si="191"/>
        <v>12.424999999999999</v>
      </c>
      <c r="AP172" s="42">
        <f t="shared" si="170"/>
        <v>3.1062499999999997</v>
      </c>
      <c r="AQ172" s="42">
        <f t="shared" si="171"/>
        <v>3.1062499999999997</v>
      </c>
      <c r="AR172" s="42">
        <f t="shared" si="172"/>
        <v>3.1062499999999997</v>
      </c>
      <c r="AS172" s="42">
        <f t="shared" si="173"/>
        <v>3.1062499999999997</v>
      </c>
      <c r="AT172" s="72">
        <f t="shared" si="205"/>
        <v>12.424999999999999</v>
      </c>
      <c r="AU172" s="42">
        <f t="shared" si="174"/>
        <v>3.1062499999999997</v>
      </c>
      <c r="AV172" s="42">
        <f t="shared" si="175"/>
        <v>3.1062499999999997</v>
      </c>
      <c r="AW172" s="42">
        <f t="shared" si="176"/>
        <v>3.1062499999999997</v>
      </c>
      <c r="AX172" s="42">
        <f t="shared" si="177"/>
        <v>3.1062499999999997</v>
      </c>
      <c r="AY172" s="72">
        <f t="shared" si="206"/>
        <v>12.424999999999999</v>
      </c>
      <c r="AZ172" s="42">
        <f t="shared" si="178"/>
        <v>3.1062499999999997</v>
      </c>
      <c r="BA172" s="42">
        <f t="shared" si="179"/>
        <v>3.1062499999999997</v>
      </c>
      <c r="BB172" s="42">
        <f t="shared" si="180"/>
        <v>3.1062499999999997</v>
      </c>
      <c r="BC172" s="42">
        <f t="shared" si="181"/>
        <v>3.1062499999999997</v>
      </c>
      <c r="BD172" s="72">
        <f t="shared" si="207"/>
        <v>12.424999999999999</v>
      </c>
      <c r="BE172" s="42">
        <f t="shared" si="182"/>
        <v>3.1062499999999997</v>
      </c>
      <c r="BF172" s="42">
        <f t="shared" si="183"/>
        <v>3.1062499999999997</v>
      </c>
      <c r="BG172" s="42">
        <f t="shared" si="184"/>
        <v>3.1062499999999997</v>
      </c>
      <c r="BH172" s="42">
        <f t="shared" si="185"/>
        <v>3.1062499999999997</v>
      </c>
      <c r="BI172" s="72">
        <f t="shared" si="208"/>
        <v>12.424999999999999</v>
      </c>
    </row>
    <row r="173" spans="1:61" s="26" customFormat="1">
      <c r="A173" s="3" t="s">
        <v>381</v>
      </c>
      <c r="B173" s="41"/>
      <c r="C173" s="41"/>
      <c r="D173" s="41"/>
      <c r="E173" s="42"/>
      <c r="F173" s="43"/>
      <c r="G173" s="41"/>
      <c r="H173" s="41"/>
      <c r="I173" s="41"/>
      <c r="J173" s="42"/>
      <c r="K173" s="43"/>
      <c r="L173" s="41"/>
      <c r="M173" s="41"/>
      <c r="N173" s="41"/>
      <c r="O173" s="42"/>
      <c r="P173" s="72">
        <f t="shared" si="201"/>
        <v>0</v>
      </c>
      <c r="Q173" s="42">
        <f t="shared" si="202"/>
        <v>0</v>
      </c>
      <c r="R173" s="42">
        <f t="shared" si="202"/>
        <v>0</v>
      </c>
      <c r="S173" s="42">
        <f t="shared" si="202"/>
        <v>0</v>
      </c>
      <c r="T173" s="42">
        <f t="shared" si="202"/>
        <v>0</v>
      </c>
      <c r="U173" s="72">
        <f t="shared" si="186"/>
        <v>0</v>
      </c>
      <c r="V173" s="42">
        <f t="shared" si="203"/>
        <v>0</v>
      </c>
      <c r="W173" s="42">
        <f t="shared" si="203"/>
        <v>3.8249999999999997</v>
      </c>
      <c r="X173" s="42">
        <f t="shared" si="203"/>
        <v>7.6499999999999995</v>
      </c>
      <c r="Y173" s="42">
        <f t="shared" si="203"/>
        <v>7.6499999999999995</v>
      </c>
      <c r="Z173" s="72">
        <f t="shared" si="187"/>
        <v>19.125</v>
      </c>
      <c r="AA173" s="42">
        <f t="shared" si="204"/>
        <v>7.6499999999999995</v>
      </c>
      <c r="AB173" s="42">
        <f t="shared" si="204"/>
        <v>7.6499999999999995</v>
      </c>
      <c r="AC173" s="42">
        <f t="shared" si="204"/>
        <v>7.6499999999999995</v>
      </c>
      <c r="AD173" s="42">
        <f t="shared" si="204"/>
        <v>7.6499999999999995</v>
      </c>
      <c r="AE173" s="72">
        <f t="shared" si="189"/>
        <v>30.599999999999998</v>
      </c>
      <c r="AF173" s="42">
        <f t="shared" si="209"/>
        <v>7.6499999999999995</v>
      </c>
      <c r="AG173" s="42">
        <f t="shared" si="209"/>
        <v>7.6499999999999995</v>
      </c>
      <c r="AH173" s="42">
        <f t="shared" si="209"/>
        <v>7.6499999999999995</v>
      </c>
      <c r="AI173" s="42">
        <f t="shared" si="209"/>
        <v>7.6499999999999995</v>
      </c>
      <c r="AJ173" s="72">
        <f t="shared" si="190"/>
        <v>30.599999999999998</v>
      </c>
      <c r="AK173" s="42">
        <f t="shared" si="166"/>
        <v>7.6499999999999995</v>
      </c>
      <c r="AL173" s="42">
        <f t="shared" si="167"/>
        <v>7.6499999999999995</v>
      </c>
      <c r="AM173" s="42">
        <f t="shared" si="168"/>
        <v>7.6499999999999995</v>
      </c>
      <c r="AN173" s="42">
        <f t="shared" si="169"/>
        <v>7.6499999999999995</v>
      </c>
      <c r="AO173" s="72">
        <f t="shared" si="191"/>
        <v>30.599999999999998</v>
      </c>
      <c r="AP173" s="42">
        <f t="shared" si="170"/>
        <v>7.6499999999999995</v>
      </c>
      <c r="AQ173" s="42">
        <f t="shared" si="171"/>
        <v>7.6499999999999995</v>
      </c>
      <c r="AR173" s="42">
        <f t="shared" si="172"/>
        <v>7.6499999999999995</v>
      </c>
      <c r="AS173" s="42">
        <f t="shared" si="173"/>
        <v>7.6499999999999995</v>
      </c>
      <c r="AT173" s="72">
        <f t="shared" si="205"/>
        <v>30.599999999999998</v>
      </c>
      <c r="AU173" s="42">
        <f t="shared" si="174"/>
        <v>7.6499999999999995</v>
      </c>
      <c r="AV173" s="42">
        <f t="shared" si="175"/>
        <v>7.6499999999999995</v>
      </c>
      <c r="AW173" s="42">
        <f t="shared" si="176"/>
        <v>7.6499999999999995</v>
      </c>
      <c r="AX173" s="42">
        <f t="shared" si="177"/>
        <v>7.6499999999999995</v>
      </c>
      <c r="AY173" s="72">
        <f t="shared" si="206"/>
        <v>30.599999999999998</v>
      </c>
      <c r="AZ173" s="42">
        <f t="shared" si="178"/>
        <v>7.6499999999999995</v>
      </c>
      <c r="BA173" s="42">
        <f t="shared" si="179"/>
        <v>7.6499999999999995</v>
      </c>
      <c r="BB173" s="42">
        <f t="shared" si="180"/>
        <v>7.6499999999999995</v>
      </c>
      <c r="BC173" s="42">
        <f t="shared" si="181"/>
        <v>7.6499999999999995</v>
      </c>
      <c r="BD173" s="72">
        <f t="shared" si="207"/>
        <v>30.599999999999998</v>
      </c>
      <c r="BE173" s="42">
        <f t="shared" si="182"/>
        <v>7.6499999999999995</v>
      </c>
      <c r="BF173" s="42">
        <f t="shared" si="183"/>
        <v>7.6499999999999995</v>
      </c>
      <c r="BG173" s="42">
        <f t="shared" si="184"/>
        <v>7.6499999999999995</v>
      </c>
      <c r="BH173" s="42">
        <f t="shared" si="185"/>
        <v>7.6499999999999995</v>
      </c>
      <c r="BI173" s="72">
        <f t="shared" si="208"/>
        <v>30.599999999999998</v>
      </c>
    </row>
    <row r="174" spans="1:61" s="26" customFormat="1">
      <c r="A174" s="3" t="s">
        <v>382</v>
      </c>
      <c r="B174" s="41"/>
      <c r="C174" s="41"/>
      <c r="D174" s="41"/>
      <c r="E174" s="42"/>
      <c r="F174" s="43"/>
      <c r="G174" s="41"/>
      <c r="H174" s="41"/>
      <c r="I174" s="41"/>
      <c r="J174" s="42"/>
      <c r="K174" s="43"/>
      <c r="L174" s="41"/>
      <c r="M174" s="41"/>
      <c r="N174" s="41"/>
      <c r="O174" s="42"/>
      <c r="P174" s="72">
        <f t="shared" si="201"/>
        <v>0</v>
      </c>
      <c r="Q174" s="42">
        <f t="shared" si="202"/>
        <v>1.5859375</v>
      </c>
      <c r="R174" s="42">
        <f t="shared" si="202"/>
        <v>3.171875</v>
      </c>
      <c r="S174" s="42">
        <f t="shared" si="202"/>
        <v>3.171875</v>
      </c>
      <c r="T174" s="42">
        <f t="shared" si="202"/>
        <v>3.171875</v>
      </c>
      <c r="U174" s="72">
        <f t="shared" si="186"/>
        <v>11.1015625</v>
      </c>
      <c r="V174" s="42">
        <f t="shared" si="203"/>
        <v>3.171875</v>
      </c>
      <c r="W174" s="42">
        <f t="shared" si="203"/>
        <v>3.171875</v>
      </c>
      <c r="X174" s="42">
        <f t="shared" si="203"/>
        <v>3.171875</v>
      </c>
      <c r="Y174" s="42">
        <f t="shared" si="203"/>
        <v>3.171875</v>
      </c>
      <c r="Z174" s="72">
        <f t="shared" si="187"/>
        <v>12.6875</v>
      </c>
      <c r="AA174" s="42">
        <f t="shared" si="204"/>
        <v>3.171875</v>
      </c>
      <c r="AB174" s="42">
        <f t="shared" si="204"/>
        <v>3.171875</v>
      </c>
      <c r="AC174" s="42">
        <f t="shared" si="204"/>
        <v>3.171875</v>
      </c>
      <c r="AD174" s="42">
        <f t="shared" si="204"/>
        <v>3.171875</v>
      </c>
      <c r="AE174" s="72">
        <f t="shared" si="189"/>
        <v>12.6875</v>
      </c>
      <c r="AF174" s="42">
        <f t="shared" si="209"/>
        <v>3.171875</v>
      </c>
      <c r="AG174" s="42">
        <f t="shared" si="209"/>
        <v>3.171875</v>
      </c>
      <c r="AH174" s="42">
        <f t="shared" si="209"/>
        <v>3.171875</v>
      </c>
      <c r="AI174" s="42">
        <f t="shared" si="209"/>
        <v>3.171875</v>
      </c>
      <c r="AJ174" s="72">
        <f t="shared" si="190"/>
        <v>12.6875</v>
      </c>
      <c r="AK174" s="42">
        <f t="shared" si="166"/>
        <v>3.171875</v>
      </c>
      <c r="AL174" s="42">
        <f t="shared" si="167"/>
        <v>3.171875</v>
      </c>
      <c r="AM174" s="42">
        <f t="shared" si="168"/>
        <v>3.171875</v>
      </c>
      <c r="AN174" s="42">
        <f t="shared" si="169"/>
        <v>3.171875</v>
      </c>
      <c r="AO174" s="72">
        <f t="shared" si="191"/>
        <v>12.6875</v>
      </c>
      <c r="AP174" s="42">
        <f t="shared" si="170"/>
        <v>3.171875</v>
      </c>
      <c r="AQ174" s="42">
        <f t="shared" si="171"/>
        <v>3.171875</v>
      </c>
      <c r="AR174" s="42">
        <f t="shared" si="172"/>
        <v>3.171875</v>
      </c>
      <c r="AS174" s="42">
        <f t="shared" si="173"/>
        <v>3.171875</v>
      </c>
      <c r="AT174" s="72">
        <f t="shared" si="205"/>
        <v>12.6875</v>
      </c>
      <c r="AU174" s="42">
        <f t="shared" si="174"/>
        <v>3.171875</v>
      </c>
      <c r="AV174" s="42">
        <f t="shared" si="175"/>
        <v>3.171875</v>
      </c>
      <c r="AW174" s="42">
        <f t="shared" si="176"/>
        <v>3.171875</v>
      </c>
      <c r="AX174" s="42">
        <f t="shared" si="177"/>
        <v>3.171875</v>
      </c>
      <c r="AY174" s="72">
        <f t="shared" si="206"/>
        <v>12.6875</v>
      </c>
      <c r="AZ174" s="42">
        <f t="shared" si="178"/>
        <v>3.171875</v>
      </c>
      <c r="BA174" s="42">
        <f t="shared" si="179"/>
        <v>3.171875</v>
      </c>
      <c r="BB174" s="42">
        <f t="shared" si="180"/>
        <v>3.171875</v>
      </c>
      <c r="BC174" s="42">
        <f t="shared" si="181"/>
        <v>3.171875</v>
      </c>
      <c r="BD174" s="72">
        <f t="shared" si="207"/>
        <v>12.6875</v>
      </c>
      <c r="BE174" s="42">
        <f t="shared" si="182"/>
        <v>3.171875</v>
      </c>
      <c r="BF174" s="42">
        <f t="shared" si="183"/>
        <v>3.171875</v>
      </c>
      <c r="BG174" s="42">
        <f t="shared" si="184"/>
        <v>3.171875</v>
      </c>
      <c r="BH174" s="42">
        <f t="shared" si="185"/>
        <v>3.171875</v>
      </c>
      <c r="BI174" s="72">
        <f t="shared" si="208"/>
        <v>12.6875</v>
      </c>
    </row>
    <row r="175" spans="1:61" s="26" customFormat="1">
      <c r="A175" s="3" t="s">
        <v>383</v>
      </c>
      <c r="B175" s="41"/>
      <c r="C175" s="41"/>
      <c r="D175" s="41"/>
      <c r="E175" s="42"/>
      <c r="F175" s="43"/>
      <c r="G175" s="41"/>
      <c r="H175" s="41"/>
      <c r="I175" s="41"/>
      <c r="J175" s="42"/>
      <c r="K175" s="43"/>
      <c r="L175" s="41"/>
      <c r="M175" s="41"/>
      <c r="N175" s="41"/>
      <c r="O175" s="42"/>
      <c r="P175" s="72">
        <f t="shared" si="201"/>
        <v>10.95</v>
      </c>
      <c r="Q175" s="42">
        <f t="shared" si="202"/>
        <v>2.7374999999999998</v>
      </c>
      <c r="R175" s="42">
        <f t="shared" si="202"/>
        <v>2.7374999999999998</v>
      </c>
      <c r="S175" s="42">
        <f t="shared" si="202"/>
        <v>2.7374999999999998</v>
      </c>
      <c r="T175" s="42">
        <f t="shared" si="202"/>
        <v>2.7374999999999998</v>
      </c>
      <c r="U175" s="72">
        <f t="shared" si="186"/>
        <v>10.95</v>
      </c>
      <c r="V175" s="42">
        <f t="shared" si="203"/>
        <v>2.7374999999999998</v>
      </c>
      <c r="W175" s="42">
        <f t="shared" si="203"/>
        <v>2.7374999999999998</v>
      </c>
      <c r="X175" s="42">
        <f t="shared" si="203"/>
        <v>2.7374999999999998</v>
      </c>
      <c r="Y175" s="42">
        <f t="shared" si="203"/>
        <v>2.7374999999999998</v>
      </c>
      <c r="Z175" s="72">
        <f t="shared" si="187"/>
        <v>10.95</v>
      </c>
      <c r="AA175" s="42">
        <f t="shared" si="204"/>
        <v>2.7374999999999998</v>
      </c>
      <c r="AB175" s="42">
        <f t="shared" si="204"/>
        <v>2.7374999999999998</v>
      </c>
      <c r="AC175" s="42">
        <f t="shared" si="204"/>
        <v>2.7374999999999998</v>
      </c>
      <c r="AD175" s="42">
        <f t="shared" si="204"/>
        <v>2.7374999999999998</v>
      </c>
      <c r="AE175" s="72">
        <f t="shared" si="189"/>
        <v>10.95</v>
      </c>
      <c r="AF175" s="42">
        <f t="shared" si="209"/>
        <v>2.7374999999999998</v>
      </c>
      <c r="AG175" s="42">
        <f t="shared" si="209"/>
        <v>2.7374999999999998</v>
      </c>
      <c r="AH175" s="42">
        <f t="shared" si="209"/>
        <v>2.7374999999999998</v>
      </c>
      <c r="AI175" s="42">
        <f t="shared" si="209"/>
        <v>2.7374999999999998</v>
      </c>
      <c r="AJ175" s="72">
        <f t="shared" si="190"/>
        <v>10.95</v>
      </c>
      <c r="AK175" s="42">
        <f t="shared" si="166"/>
        <v>2.7374999999999998</v>
      </c>
      <c r="AL175" s="42">
        <f t="shared" si="167"/>
        <v>2.7374999999999998</v>
      </c>
      <c r="AM175" s="42">
        <f t="shared" si="168"/>
        <v>2.7374999999999998</v>
      </c>
      <c r="AN175" s="42">
        <f t="shared" si="169"/>
        <v>2.7374999999999998</v>
      </c>
      <c r="AO175" s="72">
        <f t="shared" si="191"/>
        <v>10.95</v>
      </c>
      <c r="AP175" s="42">
        <f t="shared" si="170"/>
        <v>2.7374999999999998</v>
      </c>
      <c r="AQ175" s="42">
        <f t="shared" si="171"/>
        <v>2.7374999999999998</v>
      </c>
      <c r="AR175" s="42">
        <f t="shared" si="172"/>
        <v>2.7374999999999998</v>
      </c>
      <c r="AS175" s="42">
        <f t="shared" si="173"/>
        <v>2.7374999999999998</v>
      </c>
      <c r="AT175" s="72">
        <f t="shared" si="205"/>
        <v>10.95</v>
      </c>
      <c r="AU175" s="42">
        <f t="shared" si="174"/>
        <v>2.7374999999999998</v>
      </c>
      <c r="AV175" s="42">
        <f t="shared" si="175"/>
        <v>2.7374999999999998</v>
      </c>
      <c r="AW175" s="42">
        <f t="shared" si="176"/>
        <v>2.7374999999999998</v>
      </c>
      <c r="AX175" s="42">
        <f t="shared" si="177"/>
        <v>2.7374999999999998</v>
      </c>
      <c r="AY175" s="72">
        <f t="shared" si="206"/>
        <v>10.95</v>
      </c>
      <c r="AZ175" s="42">
        <f t="shared" si="178"/>
        <v>2.7374999999999998</v>
      </c>
      <c r="BA175" s="42">
        <f t="shared" si="179"/>
        <v>2.7374999999999998</v>
      </c>
      <c r="BB175" s="42">
        <f t="shared" si="180"/>
        <v>2.7374999999999998</v>
      </c>
      <c r="BC175" s="42">
        <f t="shared" si="181"/>
        <v>2.7374999999999998</v>
      </c>
      <c r="BD175" s="72">
        <f t="shared" si="207"/>
        <v>10.95</v>
      </c>
      <c r="BE175" s="42">
        <f t="shared" si="182"/>
        <v>2.7374999999999998</v>
      </c>
      <c r="BF175" s="42">
        <f t="shared" si="183"/>
        <v>2.7374999999999998</v>
      </c>
      <c r="BG175" s="42">
        <f t="shared" si="184"/>
        <v>2.7374999999999998</v>
      </c>
      <c r="BH175" s="42">
        <f t="shared" si="185"/>
        <v>2.7374999999999998</v>
      </c>
      <c r="BI175" s="72">
        <f t="shared" si="208"/>
        <v>10.95</v>
      </c>
    </row>
    <row r="176" spans="1:61" s="26" customFormat="1">
      <c r="A176" s="3" t="s">
        <v>384</v>
      </c>
      <c r="B176" s="41"/>
      <c r="C176" s="41"/>
      <c r="D176" s="41"/>
      <c r="E176" s="42"/>
      <c r="F176" s="43"/>
      <c r="G176" s="41"/>
      <c r="H176" s="41"/>
      <c r="I176" s="41"/>
      <c r="J176" s="42"/>
      <c r="K176" s="43"/>
      <c r="L176" s="41"/>
      <c r="M176" s="41"/>
      <c r="N176" s="41"/>
      <c r="O176" s="42"/>
      <c r="P176" s="72">
        <f t="shared" si="201"/>
        <v>0</v>
      </c>
      <c r="Q176" s="42">
        <f t="shared" si="202"/>
        <v>0</v>
      </c>
      <c r="R176" s="42">
        <f t="shared" si="202"/>
        <v>0</v>
      </c>
      <c r="S176" s="42">
        <f t="shared" si="202"/>
        <v>0</v>
      </c>
      <c r="T176" s="42">
        <f t="shared" si="202"/>
        <v>0</v>
      </c>
      <c r="U176" s="72">
        <f t="shared" si="186"/>
        <v>0</v>
      </c>
      <c r="V176" s="42">
        <f t="shared" si="203"/>
        <v>0</v>
      </c>
      <c r="W176" s="42">
        <f t="shared" si="203"/>
        <v>0</v>
      </c>
      <c r="X176" s="42">
        <f t="shared" si="203"/>
        <v>5.859375</v>
      </c>
      <c r="Y176" s="42">
        <f t="shared" si="203"/>
        <v>11.71875</v>
      </c>
      <c r="Z176" s="72">
        <f t="shared" si="187"/>
        <v>17.578125</v>
      </c>
      <c r="AA176" s="42">
        <f t="shared" si="204"/>
        <v>11.71875</v>
      </c>
      <c r="AB176" s="42">
        <f t="shared" si="204"/>
        <v>11.71875</v>
      </c>
      <c r="AC176" s="42">
        <f t="shared" si="204"/>
        <v>11.71875</v>
      </c>
      <c r="AD176" s="42">
        <f t="shared" si="204"/>
        <v>11.71875</v>
      </c>
      <c r="AE176" s="72">
        <f t="shared" si="189"/>
        <v>46.875</v>
      </c>
      <c r="AF176" s="42">
        <f t="shared" si="209"/>
        <v>11.71875</v>
      </c>
      <c r="AG176" s="42">
        <f t="shared" si="209"/>
        <v>11.71875</v>
      </c>
      <c r="AH176" s="42">
        <f t="shared" si="209"/>
        <v>11.71875</v>
      </c>
      <c r="AI176" s="42">
        <f t="shared" si="209"/>
        <v>11.71875</v>
      </c>
      <c r="AJ176" s="72">
        <f t="shared" si="190"/>
        <v>46.875</v>
      </c>
      <c r="AK176" s="42">
        <f t="shared" si="166"/>
        <v>11.71875</v>
      </c>
      <c r="AL176" s="42">
        <f t="shared" si="167"/>
        <v>11.71875</v>
      </c>
      <c r="AM176" s="42">
        <f t="shared" si="168"/>
        <v>11.71875</v>
      </c>
      <c r="AN176" s="42">
        <f t="shared" si="169"/>
        <v>11.71875</v>
      </c>
      <c r="AO176" s="72">
        <f t="shared" si="191"/>
        <v>46.875</v>
      </c>
      <c r="AP176" s="42">
        <f t="shared" si="170"/>
        <v>11.71875</v>
      </c>
      <c r="AQ176" s="42">
        <f t="shared" si="171"/>
        <v>11.71875</v>
      </c>
      <c r="AR176" s="42">
        <f t="shared" si="172"/>
        <v>11.71875</v>
      </c>
      <c r="AS176" s="42">
        <f t="shared" si="173"/>
        <v>11.71875</v>
      </c>
      <c r="AT176" s="72">
        <f t="shared" si="205"/>
        <v>46.875</v>
      </c>
      <c r="AU176" s="42">
        <f t="shared" si="174"/>
        <v>11.71875</v>
      </c>
      <c r="AV176" s="42">
        <f t="shared" si="175"/>
        <v>11.71875</v>
      </c>
      <c r="AW176" s="42">
        <f t="shared" si="176"/>
        <v>11.71875</v>
      </c>
      <c r="AX176" s="42">
        <f t="shared" si="177"/>
        <v>11.71875</v>
      </c>
      <c r="AY176" s="72">
        <f t="shared" si="206"/>
        <v>46.875</v>
      </c>
      <c r="AZ176" s="42">
        <f t="shared" si="178"/>
        <v>11.71875</v>
      </c>
      <c r="BA176" s="42">
        <f t="shared" si="179"/>
        <v>11.71875</v>
      </c>
      <c r="BB176" s="42">
        <f t="shared" si="180"/>
        <v>11.71875</v>
      </c>
      <c r="BC176" s="42">
        <f t="shared" si="181"/>
        <v>11.71875</v>
      </c>
      <c r="BD176" s="72">
        <f t="shared" si="207"/>
        <v>46.875</v>
      </c>
      <c r="BE176" s="42">
        <f t="shared" si="182"/>
        <v>11.71875</v>
      </c>
      <c r="BF176" s="42">
        <f t="shared" si="183"/>
        <v>11.71875</v>
      </c>
      <c r="BG176" s="42">
        <f t="shared" si="184"/>
        <v>11.71875</v>
      </c>
      <c r="BH176" s="42">
        <f t="shared" si="185"/>
        <v>11.71875</v>
      </c>
      <c r="BI176" s="72">
        <f t="shared" si="208"/>
        <v>46.875</v>
      </c>
    </row>
    <row r="177" spans="1:61" s="26" customFormat="1">
      <c r="A177" s="3" t="s">
        <v>385</v>
      </c>
      <c r="B177" s="41"/>
      <c r="C177" s="41"/>
      <c r="D177" s="41"/>
      <c r="E177" s="42"/>
      <c r="F177" s="43"/>
      <c r="G177" s="41"/>
      <c r="H177" s="41"/>
      <c r="I177" s="41"/>
      <c r="J177" s="42"/>
      <c r="K177" s="43"/>
      <c r="L177" s="41"/>
      <c r="M177" s="41"/>
      <c r="N177" s="41"/>
      <c r="O177" s="42"/>
      <c r="P177" s="72">
        <f t="shared" si="201"/>
        <v>0</v>
      </c>
      <c r="Q177" s="42">
        <f t="shared" si="202"/>
        <v>0</v>
      </c>
      <c r="R177" s="42">
        <f t="shared" si="202"/>
        <v>0</v>
      </c>
      <c r="S177" s="42">
        <f t="shared" si="202"/>
        <v>0</v>
      </c>
      <c r="T177" s="42">
        <f t="shared" si="202"/>
        <v>0</v>
      </c>
      <c r="U177" s="72">
        <f t="shared" si="186"/>
        <v>0</v>
      </c>
      <c r="V177" s="42">
        <f t="shared" si="203"/>
        <v>1.434375</v>
      </c>
      <c r="W177" s="42">
        <f t="shared" si="203"/>
        <v>2.8687499999999999</v>
      </c>
      <c r="X177" s="42">
        <f t="shared" si="203"/>
        <v>2.8687499999999999</v>
      </c>
      <c r="Y177" s="42">
        <f t="shared" si="203"/>
        <v>2.8687499999999999</v>
      </c>
      <c r="Z177" s="72">
        <f t="shared" si="187"/>
        <v>10.040625</v>
      </c>
      <c r="AA177" s="42">
        <f t="shared" si="204"/>
        <v>2.8687499999999999</v>
      </c>
      <c r="AB177" s="42">
        <f t="shared" si="204"/>
        <v>2.8687499999999999</v>
      </c>
      <c r="AC177" s="42">
        <f t="shared" si="204"/>
        <v>2.8687499999999999</v>
      </c>
      <c r="AD177" s="42">
        <f t="shared" si="204"/>
        <v>2.8687499999999999</v>
      </c>
      <c r="AE177" s="72">
        <f t="shared" si="189"/>
        <v>11.475</v>
      </c>
      <c r="AF177" s="42">
        <f t="shared" si="209"/>
        <v>2.8687499999999999</v>
      </c>
      <c r="AG177" s="42">
        <f t="shared" si="209"/>
        <v>2.8687499999999999</v>
      </c>
      <c r="AH177" s="42">
        <f t="shared" si="209"/>
        <v>2.8687499999999999</v>
      </c>
      <c r="AI177" s="42">
        <f t="shared" si="209"/>
        <v>2.8687499999999999</v>
      </c>
      <c r="AJ177" s="72">
        <f t="shared" si="190"/>
        <v>11.475</v>
      </c>
      <c r="AK177" s="42">
        <f t="shared" si="166"/>
        <v>2.8687499999999999</v>
      </c>
      <c r="AL177" s="42">
        <f t="shared" si="167"/>
        <v>2.8687499999999999</v>
      </c>
      <c r="AM177" s="42">
        <f t="shared" si="168"/>
        <v>2.8687499999999999</v>
      </c>
      <c r="AN177" s="42">
        <f t="shared" si="169"/>
        <v>2.8687499999999999</v>
      </c>
      <c r="AO177" s="72">
        <f t="shared" si="191"/>
        <v>11.475</v>
      </c>
      <c r="AP177" s="42">
        <f t="shared" si="170"/>
        <v>2.8687499999999999</v>
      </c>
      <c r="AQ177" s="42">
        <f t="shared" si="171"/>
        <v>2.8687499999999999</v>
      </c>
      <c r="AR177" s="42">
        <f t="shared" si="172"/>
        <v>2.8687499999999999</v>
      </c>
      <c r="AS177" s="42">
        <f t="shared" si="173"/>
        <v>2.8687499999999999</v>
      </c>
      <c r="AT177" s="72">
        <f t="shared" si="205"/>
        <v>11.475</v>
      </c>
      <c r="AU177" s="42">
        <f t="shared" si="174"/>
        <v>2.8687499999999999</v>
      </c>
      <c r="AV177" s="42">
        <f t="shared" si="175"/>
        <v>2.8687499999999999</v>
      </c>
      <c r="AW177" s="42">
        <f t="shared" si="176"/>
        <v>2.8687499999999999</v>
      </c>
      <c r="AX177" s="42">
        <f t="shared" si="177"/>
        <v>2.8687499999999999</v>
      </c>
      <c r="AY177" s="72">
        <f t="shared" si="206"/>
        <v>11.475</v>
      </c>
      <c r="AZ177" s="42">
        <f t="shared" si="178"/>
        <v>2.8687499999999999</v>
      </c>
      <c r="BA177" s="42">
        <f t="shared" si="179"/>
        <v>2.8687499999999999</v>
      </c>
      <c r="BB177" s="42">
        <f t="shared" si="180"/>
        <v>2.8687499999999999</v>
      </c>
      <c r="BC177" s="42">
        <f t="shared" si="181"/>
        <v>2.8687499999999999</v>
      </c>
      <c r="BD177" s="72">
        <f t="shared" si="207"/>
        <v>11.475</v>
      </c>
      <c r="BE177" s="42">
        <f t="shared" si="182"/>
        <v>2.8687499999999999</v>
      </c>
      <c r="BF177" s="42">
        <f t="shared" si="183"/>
        <v>2.8687499999999999</v>
      </c>
      <c r="BG177" s="42">
        <f t="shared" si="184"/>
        <v>2.8687499999999999</v>
      </c>
      <c r="BH177" s="42">
        <f t="shared" si="185"/>
        <v>2.8687499999999999</v>
      </c>
      <c r="BI177" s="72">
        <f t="shared" si="208"/>
        <v>11.475</v>
      </c>
    </row>
    <row r="178" spans="1:61" s="26" customFormat="1">
      <c r="A178" s="3" t="s">
        <v>386</v>
      </c>
      <c r="B178" s="41"/>
      <c r="C178" s="41"/>
      <c r="D178" s="41"/>
      <c r="E178" s="42"/>
      <c r="F178" s="43"/>
      <c r="G178" s="41"/>
      <c r="H178" s="41"/>
      <c r="I178" s="41"/>
      <c r="J178" s="42"/>
      <c r="K178" s="43"/>
      <c r="L178" s="41"/>
      <c r="M178" s="41"/>
      <c r="N178" s="41"/>
      <c r="O178" s="42"/>
      <c r="P178" s="72">
        <f t="shared" si="201"/>
        <v>0</v>
      </c>
      <c r="Q178" s="42">
        <f t="shared" si="202"/>
        <v>0</v>
      </c>
      <c r="R178" s="42">
        <f t="shared" si="202"/>
        <v>0</v>
      </c>
      <c r="S178" s="42">
        <f t="shared" si="202"/>
        <v>0</v>
      </c>
      <c r="T178" s="42">
        <f t="shared" si="202"/>
        <v>1.684375</v>
      </c>
      <c r="U178" s="72">
        <f t="shared" si="186"/>
        <v>1.684375</v>
      </c>
      <c r="V178" s="42">
        <f t="shared" si="203"/>
        <v>3.3687499999999999</v>
      </c>
      <c r="W178" s="42">
        <f t="shared" si="203"/>
        <v>3.3687499999999999</v>
      </c>
      <c r="X178" s="42">
        <f t="shared" si="203"/>
        <v>3.3687499999999999</v>
      </c>
      <c r="Y178" s="42">
        <f t="shared" si="203"/>
        <v>3.3687499999999999</v>
      </c>
      <c r="Z178" s="72">
        <f t="shared" si="187"/>
        <v>13.475</v>
      </c>
      <c r="AA178" s="42">
        <f t="shared" si="204"/>
        <v>3.3687499999999999</v>
      </c>
      <c r="AB178" s="42">
        <f t="shared" si="204"/>
        <v>3.3687499999999999</v>
      </c>
      <c r="AC178" s="42">
        <f t="shared" si="204"/>
        <v>3.3687499999999999</v>
      </c>
      <c r="AD178" s="42">
        <f t="shared" si="204"/>
        <v>3.3687499999999999</v>
      </c>
      <c r="AE178" s="72">
        <f t="shared" si="189"/>
        <v>13.475</v>
      </c>
      <c r="AF178" s="42">
        <f t="shared" si="209"/>
        <v>3.3687499999999999</v>
      </c>
      <c r="AG178" s="42">
        <f t="shared" si="209"/>
        <v>3.3687499999999999</v>
      </c>
      <c r="AH178" s="42">
        <f t="shared" si="209"/>
        <v>3.3687499999999999</v>
      </c>
      <c r="AI178" s="42">
        <f t="shared" si="209"/>
        <v>3.3687499999999999</v>
      </c>
      <c r="AJ178" s="72">
        <f t="shared" si="190"/>
        <v>13.475</v>
      </c>
      <c r="AK178" s="42">
        <f t="shared" si="166"/>
        <v>3.3687499999999999</v>
      </c>
      <c r="AL178" s="42">
        <f t="shared" si="167"/>
        <v>3.3687499999999999</v>
      </c>
      <c r="AM178" s="42">
        <f t="shared" si="168"/>
        <v>3.3687499999999999</v>
      </c>
      <c r="AN178" s="42">
        <f t="shared" si="169"/>
        <v>3.3687499999999999</v>
      </c>
      <c r="AO178" s="72">
        <f t="shared" si="191"/>
        <v>13.475</v>
      </c>
      <c r="AP178" s="42">
        <f t="shared" si="170"/>
        <v>3.3687499999999999</v>
      </c>
      <c r="AQ178" s="42">
        <f t="shared" si="171"/>
        <v>3.3687499999999999</v>
      </c>
      <c r="AR178" s="42">
        <f t="shared" si="172"/>
        <v>3.3687499999999999</v>
      </c>
      <c r="AS178" s="42">
        <f t="shared" si="173"/>
        <v>3.3687499999999999</v>
      </c>
      <c r="AT178" s="72">
        <f t="shared" si="205"/>
        <v>13.475</v>
      </c>
      <c r="AU178" s="42">
        <f t="shared" si="174"/>
        <v>3.3687499999999999</v>
      </c>
      <c r="AV178" s="42">
        <f t="shared" si="175"/>
        <v>3.3687499999999999</v>
      </c>
      <c r="AW178" s="42">
        <f t="shared" si="176"/>
        <v>3.3687499999999999</v>
      </c>
      <c r="AX178" s="42">
        <f t="shared" si="177"/>
        <v>3.3687499999999999</v>
      </c>
      <c r="AY178" s="72">
        <f t="shared" si="206"/>
        <v>13.475</v>
      </c>
      <c r="AZ178" s="42">
        <f t="shared" si="178"/>
        <v>3.3687499999999999</v>
      </c>
      <c r="BA178" s="42">
        <f t="shared" si="179"/>
        <v>3.3687499999999999</v>
      </c>
      <c r="BB178" s="42">
        <f t="shared" si="180"/>
        <v>3.3687499999999999</v>
      </c>
      <c r="BC178" s="42">
        <f t="shared" si="181"/>
        <v>3.3687499999999999</v>
      </c>
      <c r="BD178" s="72">
        <f t="shared" si="207"/>
        <v>13.475</v>
      </c>
      <c r="BE178" s="42">
        <f t="shared" si="182"/>
        <v>3.3687499999999999</v>
      </c>
      <c r="BF178" s="42">
        <f t="shared" si="183"/>
        <v>3.3687499999999999</v>
      </c>
      <c r="BG178" s="42">
        <f t="shared" si="184"/>
        <v>3.3687499999999999</v>
      </c>
      <c r="BH178" s="42">
        <f t="shared" si="185"/>
        <v>3.3687499999999999</v>
      </c>
      <c r="BI178" s="72">
        <f t="shared" si="208"/>
        <v>13.475</v>
      </c>
    </row>
    <row r="179" spans="1:61" s="26" customFormat="1">
      <c r="A179" s="3" t="s">
        <v>387</v>
      </c>
      <c r="B179" s="41"/>
      <c r="C179" s="41"/>
      <c r="D179" s="41"/>
      <c r="E179" s="42"/>
      <c r="F179" s="43"/>
      <c r="G179" s="41"/>
      <c r="H179" s="41"/>
      <c r="I179" s="41"/>
      <c r="J179" s="42"/>
      <c r="K179" s="43"/>
      <c r="L179" s="41"/>
      <c r="M179" s="41"/>
      <c r="N179" s="41"/>
      <c r="O179" s="42"/>
      <c r="P179" s="72">
        <f t="shared" si="201"/>
        <v>0</v>
      </c>
      <c r="Q179" s="42">
        <f t="shared" ref="Q179:T198" si="210">+AVERAGE(Q43,P43)*Q114/4</f>
        <v>0</v>
      </c>
      <c r="R179" s="42">
        <f t="shared" si="210"/>
        <v>0</v>
      </c>
      <c r="S179" s="42">
        <f t="shared" si="210"/>
        <v>0</v>
      </c>
      <c r="T179" s="42">
        <f t="shared" si="210"/>
        <v>0</v>
      </c>
      <c r="U179" s="72">
        <f t="shared" si="186"/>
        <v>0</v>
      </c>
      <c r="V179" s="42">
        <f t="shared" ref="V179:Y198" si="211">+AVERAGE(V43,U43)*V114/4</f>
        <v>0</v>
      </c>
      <c r="W179" s="42">
        <f t="shared" si="211"/>
        <v>3.9</v>
      </c>
      <c r="X179" s="42">
        <f t="shared" si="211"/>
        <v>7.8</v>
      </c>
      <c r="Y179" s="42">
        <f t="shared" si="211"/>
        <v>7.8</v>
      </c>
      <c r="Z179" s="72">
        <f t="shared" si="187"/>
        <v>19.5</v>
      </c>
      <c r="AA179" s="42">
        <f t="shared" ref="AA179:AD198" si="212">+AVERAGE(AA43,Z43)*AA114/4</f>
        <v>7.8</v>
      </c>
      <c r="AB179" s="42">
        <f t="shared" si="212"/>
        <v>7.8</v>
      </c>
      <c r="AC179" s="42">
        <f t="shared" si="212"/>
        <v>7.8</v>
      </c>
      <c r="AD179" s="42">
        <f t="shared" si="212"/>
        <v>7.8</v>
      </c>
      <c r="AE179" s="72">
        <f t="shared" si="189"/>
        <v>31.2</v>
      </c>
      <c r="AF179" s="42">
        <f t="shared" si="209"/>
        <v>7.8</v>
      </c>
      <c r="AG179" s="42">
        <f t="shared" si="209"/>
        <v>7.8</v>
      </c>
      <c r="AH179" s="42">
        <f t="shared" si="209"/>
        <v>7.8</v>
      </c>
      <c r="AI179" s="42">
        <f t="shared" si="209"/>
        <v>7.8</v>
      </c>
      <c r="AJ179" s="72">
        <f t="shared" si="190"/>
        <v>31.2</v>
      </c>
      <c r="AK179" s="42">
        <f t="shared" si="166"/>
        <v>7.8</v>
      </c>
      <c r="AL179" s="42">
        <f t="shared" si="167"/>
        <v>7.8</v>
      </c>
      <c r="AM179" s="42">
        <f t="shared" si="168"/>
        <v>7.8</v>
      </c>
      <c r="AN179" s="42">
        <f t="shared" si="169"/>
        <v>7.8</v>
      </c>
      <c r="AO179" s="72">
        <f t="shared" si="191"/>
        <v>31.2</v>
      </c>
      <c r="AP179" s="42">
        <f t="shared" si="170"/>
        <v>7.8</v>
      </c>
      <c r="AQ179" s="42">
        <f t="shared" si="171"/>
        <v>7.8</v>
      </c>
      <c r="AR179" s="42">
        <f t="shared" si="172"/>
        <v>7.8</v>
      </c>
      <c r="AS179" s="42">
        <f t="shared" si="173"/>
        <v>7.8</v>
      </c>
      <c r="AT179" s="72">
        <f t="shared" si="205"/>
        <v>31.2</v>
      </c>
      <c r="AU179" s="42">
        <f t="shared" si="174"/>
        <v>7.8</v>
      </c>
      <c r="AV179" s="42">
        <f t="shared" si="175"/>
        <v>7.8</v>
      </c>
      <c r="AW179" s="42">
        <f t="shared" si="176"/>
        <v>7.8</v>
      </c>
      <c r="AX179" s="42">
        <f t="shared" si="177"/>
        <v>7.8</v>
      </c>
      <c r="AY179" s="72">
        <f t="shared" si="206"/>
        <v>31.2</v>
      </c>
      <c r="AZ179" s="42">
        <f t="shared" si="178"/>
        <v>7.8</v>
      </c>
      <c r="BA179" s="42">
        <f t="shared" si="179"/>
        <v>7.8</v>
      </c>
      <c r="BB179" s="42">
        <f t="shared" si="180"/>
        <v>7.8</v>
      </c>
      <c r="BC179" s="42">
        <f t="shared" si="181"/>
        <v>7.8</v>
      </c>
      <c r="BD179" s="72">
        <f t="shared" si="207"/>
        <v>31.2</v>
      </c>
      <c r="BE179" s="42">
        <f t="shared" si="182"/>
        <v>7.8</v>
      </c>
      <c r="BF179" s="42">
        <f t="shared" si="183"/>
        <v>7.8</v>
      </c>
      <c r="BG179" s="42">
        <f t="shared" si="184"/>
        <v>7.8</v>
      </c>
      <c r="BH179" s="42">
        <f t="shared" si="185"/>
        <v>7.8</v>
      </c>
      <c r="BI179" s="72">
        <f t="shared" si="208"/>
        <v>31.2</v>
      </c>
    </row>
    <row r="180" spans="1:61" s="26" customFormat="1">
      <c r="A180" s="3" t="s">
        <v>388</v>
      </c>
      <c r="B180" s="41"/>
      <c r="C180" s="41"/>
      <c r="D180" s="41"/>
      <c r="E180" s="42"/>
      <c r="F180" s="43"/>
      <c r="G180" s="41"/>
      <c r="H180" s="41"/>
      <c r="I180" s="41"/>
      <c r="J180" s="42"/>
      <c r="K180" s="43"/>
      <c r="L180" s="41"/>
      <c r="M180" s="41"/>
      <c r="N180" s="41"/>
      <c r="O180" s="42"/>
      <c r="P180" s="72">
        <f t="shared" si="201"/>
        <v>0</v>
      </c>
      <c r="Q180" s="42">
        <f t="shared" si="210"/>
        <v>0</v>
      </c>
      <c r="R180" s="42">
        <f t="shared" si="210"/>
        <v>0</v>
      </c>
      <c r="S180" s="42">
        <f t="shared" si="210"/>
        <v>0</v>
      </c>
      <c r="T180" s="42">
        <f t="shared" si="210"/>
        <v>0</v>
      </c>
      <c r="U180" s="72">
        <f t="shared" si="186"/>
        <v>0</v>
      </c>
      <c r="V180" s="42">
        <f t="shared" si="211"/>
        <v>0</v>
      </c>
      <c r="W180" s="42">
        <f t="shared" si="211"/>
        <v>0</v>
      </c>
      <c r="X180" s="42">
        <f t="shared" si="211"/>
        <v>4.9375</v>
      </c>
      <c r="Y180" s="42">
        <f t="shared" si="211"/>
        <v>9.875</v>
      </c>
      <c r="Z180" s="72">
        <f t="shared" si="187"/>
        <v>14.8125</v>
      </c>
      <c r="AA180" s="42">
        <f t="shared" si="212"/>
        <v>9.875</v>
      </c>
      <c r="AB180" s="42">
        <f t="shared" si="212"/>
        <v>9.875</v>
      </c>
      <c r="AC180" s="42">
        <f t="shared" si="212"/>
        <v>9.875</v>
      </c>
      <c r="AD180" s="42">
        <f t="shared" si="212"/>
        <v>9.875</v>
      </c>
      <c r="AE180" s="72">
        <f t="shared" si="189"/>
        <v>39.5</v>
      </c>
      <c r="AF180" s="42">
        <f t="shared" ref="AF180:AI199" si="213">+AVERAGE(AF44,AE44)*AF115/4</f>
        <v>9.875</v>
      </c>
      <c r="AG180" s="42">
        <f t="shared" si="213"/>
        <v>9.875</v>
      </c>
      <c r="AH180" s="42">
        <f t="shared" si="213"/>
        <v>9.875</v>
      </c>
      <c r="AI180" s="42">
        <f t="shared" si="213"/>
        <v>9.875</v>
      </c>
      <c r="AJ180" s="72">
        <f t="shared" si="190"/>
        <v>39.5</v>
      </c>
      <c r="AK180" s="42">
        <f t="shared" si="166"/>
        <v>9.875</v>
      </c>
      <c r="AL180" s="42">
        <f t="shared" si="167"/>
        <v>9.875</v>
      </c>
      <c r="AM180" s="42">
        <f t="shared" si="168"/>
        <v>9.875</v>
      </c>
      <c r="AN180" s="42">
        <f t="shared" si="169"/>
        <v>9.875</v>
      </c>
      <c r="AO180" s="72">
        <f t="shared" si="191"/>
        <v>39.5</v>
      </c>
      <c r="AP180" s="42">
        <f t="shared" si="170"/>
        <v>9.875</v>
      </c>
      <c r="AQ180" s="42">
        <f t="shared" si="171"/>
        <v>9.875</v>
      </c>
      <c r="AR180" s="42">
        <f t="shared" si="172"/>
        <v>9.875</v>
      </c>
      <c r="AS180" s="42">
        <f t="shared" si="173"/>
        <v>9.875</v>
      </c>
      <c r="AT180" s="72">
        <f t="shared" si="205"/>
        <v>39.5</v>
      </c>
      <c r="AU180" s="42">
        <f t="shared" si="174"/>
        <v>9.875</v>
      </c>
      <c r="AV180" s="42">
        <f t="shared" si="175"/>
        <v>9.875</v>
      </c>
      <c r="AW180" s="42">
        <f t="shared" si="176"/>
        <v>9.875</v>
      </c>
      <c r="AX180" s="42">
        <f t="shared" si="177"/>
        <v>9.875</v>
      </c>
      <c r="AY180" s="72">
        <f t="shared" si="206"/>
        <v>39.5</v>
      </c>
      <c r="AZ180" s="42">
        <f t="shared" si="178"/>
        <v>9.875</v>
      </c>
      <c r="BA180" s="42">
        <f t="shared" si="179"/>
        <v>9.875</v>
      </c>
      <c r="BB180" s="42">
        <f t="shared" si="180"/>
        <v>9.875</v>
      </c>
      <c r="BC180" s="42">
        <f t="shared" si="181"/>
        <v>9.875</v>
      </c>
      <c r="BD180" s="72">
        <f t="shared" si="207"/>
        <v>39.5</v>
      </c>
      <c r="BE180" s="42">
        <f t="shared" si="182"/>
        <v>9.875</v>
      </c>
      <c r="BF180" s="42">
        <f t="shared" si="183"/>
        <v>9.875</v>
      </c>
      <c r="BG180" s="42">
        <f t="shared" si="184"/>
        <v>9.875</v>
      </c>
      <c r="BH180" s="42">
        <f t="shared" si="185"/>
        <v>9.875</v>
      </c>
      <c r="BI180" s="72">
        <f t="shared" si="208"/>
        <v>39.5</v>
      </c>
    </row>
    <row r="181" spans="1:61" s="26" customFormat="1">
      <c r="A181" s="3" t="s">
        <v>389</v>
      </c>
      <c r="B181" s="41"/>
      <c r="C181" s="41"/>
      <c r="D181" s="41"/>
      <c r="E181" s="42"/>
      <c r="F181" s="43"/>
      <c r="G181" s="41"/>
      <c r="H181" s="41"/>
      <c r="I181" s="41"/>
      <c r="J181" s="42"/>
      <c r="K181" s="43"/>
      <c r="L181" s="41"/>
      <c r="M181" s="41"/>
      <c r="N181" s="41"/>
      <c r="O181" s="42"/>
      <c r="P181" s="72">
        <f t="shared" si="201"/>
        <v>36.5625</v>
      </c>
      <c r="Q181" s="42">
        <f t="shared" si="210"/>
        <v>9.140625</v>
      </c>
      <c r="R181" s="42">
        <f t="shared" si="210"/>
        <v>9.140625</v>
      </c>
      <c r="S181" s="42">
        <f t="shared" si="210"/>
        <v>9.140625</v>
      </c>
      <c r="T181" s="42">
        <f t="shared" si="210"/>
        <v>9.140625</v>
      </c>
      <c r="U181" s="72">
        <f t="shared" si="186"/>
        <v>36.5625</v>
      </c>
      <c r="V181" s="42">
        <f t="shared" si="211"/>
        <v>9.140625</v>
      </c>
      <c r="W181" s="42">
        <f t="shared" si="211"/>
        <v>9.140625</v>
      </c>
      <c r="X181" s="42">
        <f t="shared" si="211"/>
        <v>9.140625</v>
      </c>
      <c r="Y181" s="42">
        <f t="shared" si="211"/>
        <v>9.140625</v>
      </c>
      <c r="Z181" s="72">
        <f t="shared" si="187"/>
        <v>36.5625</v>
      </c>
      <c r="AA181" s="42">
        <f t="shared" si="212"/>
        <v>4.5703125</v>
      </c>
      <c r="AB181" s="42">
        <f t="shared" si="212"/>
        <v>0</v>
      </c>
      <c r="AC181" s="42">
        <f t="shared" si="212"/>
        <v>0</v>
      </c>
      <c r="AD181" s="42">
        <f t="shared" si="212"/>
        <v>0</v>
      </c>
      <c r="AE181" s="72">
        <f t="shared" si="189"/>
        <v>4.5703125</v>
      </c>
      <c r="AF181" s="42">
        <f t="shared" si="213"/>
        <v>0</v>
      </c>
      <c r="AG181" s="42">
        <f t="shared" si="213"/>
        <v>0</v>
      </c>
      <c r="AH181" s="42">
        <f t="shared" si="213"/>
        <v>0</v>
      </c>
      <c r="AI181" s="42">
        <f t="shared" si="213"/>
        <v>0</v>
      </c>
      <c r="AJ181" s="72">
        <f t="shared" si="190"/>
        <v>0</v>
      </c>
      <c r="AK181" s="42">
        <f t="shared" si="166"/>
        <v>0</v>
      </c>
      <c r="AL181" s="42">
        <f t="shared" si="167"/>
        <v>0</v>
      </c>
      <c r="AM181" s="42">
        <f t="shared" si="168"/>
        <v>0</v>
      </c>
      <c r="AN181" s="42">
        <f t="shared" si="169"/>
        <v>0</v>
      </c>
      <c r="AO181" s="72">
        <f t="shared" si="191"/>
        <v>0</v>
      </c>
      <c r="AP181" s="42">
        <f t="shared" si="170"/>
        <v>0</v>
      </c>
      <c r="AQ181" s="42">
        <f t="shared" si="171"/>
        <v>0</v>
      </c>
      <c r="AR181" s="42">
        <f t="shared" si="172"/>
        <v>0</v>
      </c>
      <c r="AS181" s="42">
        <f t="shared" si="173"/>
        <v>0</v>
      </c>
      <c r="AT181" s="72">
        <f t="shared" si="205"/>
        <v>0</v>
      </c>
      <c r="AU181" s="42">
        <f t="shared" si="174"/>
        <v>0</v>
      </c>
      <c r="AV181" s="42">
        <f t="shared" si="175"/>
        <v>0</v>
      </c>
      <c r="AW181" s="42">
        <f t="shared" si="176"/>
        <v>0</v>
      </c>
      <c r="AX181" s="42">
        <f t="shared" si="177"/>
        <v>0</v>
      </c>
      <c r="AY181" s="72">
        <f t="shared" si="206"/>
        <v>0</v>
      </c>
      <c r="AZ181" s="42">
        <f t="shared" si="178"/>
        <v>0</v>
      </c>
      <c r="BA181" s="42">
        <f t="shared" si="179"/>
        <v>0</v>
      </c>
      <c r="BB181" s="42">
        <f t="shared" si="180"/>
        <v>0</v>
      </c>
      <c r="BC181" s="42">
        <f t="shared" si="181"/>
        <v>0</v>
      </c>
      <c r="BD181" s="72">
        <f t="shared" si="207"/>
        <v>0</v>
      </c>
      <c r="BE181" s="42">
        <f t="shared" si="182"/>
        <v>0</v>
      </c>
      <c r="BF181" s="42">
        <f t="shared" si="183"/>
        <v>0</v>
      </c>
      <c r="BG181" s="42">
        <f t="shared" si="184"/>
        <v>0</v>
      </c>
      <c r="BH181" s="42">
        <f t="shared" si="185"/>
        <v>0</v>
      </c>
      <c r="BI181" s="72">
        <f t="shared" si="208"/>
        <v>0</v>
      </c>
    </row>
    <row r="182" spans="1:61" s="26" customFormat="1">
      <c r="A182" s="3" t="s">
        <v>390</v>
      </c>
      <c r="B182" s="41"/>
      <c r="C182" s="41"/>
      <c r="D182" s="41"/>
      <c r="E182" s="42"/>
      <c r="F182" s="43"/>
      <c r="G182" s="41"/>
      <c r="H182" s="41"/>
      <c r="I182" s="41"/>
      <c r="J182" s="42"/>
      <c r="K182" s="43"/>
      <c r="L182" s="41"/>
      <c r="M182" s="41"/>
      <c r="N182" s="41"/>
      <c r="O182" s="42"/>
      <c r="P182" s="72">
        <f t="shared" si="201"/>
        <v>26.4375</v>
      </c>
      <c r="Q182" s="42">
        <f t="shared" si="210"/>
        <v>6.609375</v>
      </c>
      <c r="R182" s="42">
        <f t="shared" si="210"/>
        <v>6.609375</v>
      </c>
      <c r="S182" s="42">
        <f t="shared" si="210"/>
        <v>6.609375</v>
      </c>
      <c r="T182" s="42">
        <f t="shared" si="210"/>
        <v>6.609375</v>
      </c>
      <c r="U182" s="72">
        <f t="shared" si="186"/>
        <v>26.4375</v>
      </c>
      <c r="V182" s="42">
        <f t="shared" si="211"/>
        <v>6.609375</v>
      </c>
      <c r="W182" s="42">
        <f t="shared" si="211"/>
        <v>6.609375</v>
      </c>
      <c r="X182" s="42">
        <f t="shared" si="211"/>
        <v>6.609375</v>
      </c>
      <c r="Y182" s="42">
        <f t="shared" si="211"/>
        <v>6.609375</v>
      </c>
      <c r="Z182" s="72">
        <f t="shared" si="187"/>
        <v>26.4375</v>
      </c>
      <c r="AA182" s="42">
        <f t="shared" si="212"/>
        <v>6.609375</v>
      </c>
      <c r="AB182" s="42">
        <f t="shared" si="212"/>
        <v>6.609375</v>
      </c>
      <c r="AC182" s="42">
        <f t="shared" si="212"/>
        <v>6.609375</v>
      </c>
      <c r="AD182" s="42">
        <f t="shared" si="212"/>
        <v>6.609375</v>
      </c>
      <c r="AE182" s="72">
        <f t="shared" si="189"/>
        <v>26.4375</v>
      </c>
      <c r="AF182" s="42">
        <f t="shared" si="213"/>
        <v>6.609375</v>
      </c>
      <c r="AG182" s="42">
        <f t="shared" si="213"/>
        <v>6.609375</v>
      </c>
      <c r="AH182" s="42">
        <f t="shared" si="213"/>
        <v>6.609375</v>
      </c>
      <c r="AI182" s="42">
        <f t="shared" si="213"/>
        <v>6.609375</v>
      </c>
      <c r="AJ182" s="72">
        <f t="shared" si="190"/>
        <v>26.4375</v>
      </c>
      <c r="AK182" s="42">
        <f t="shared" si="166"/>
        <v>6.609375</v>
      </c>
      <c r="AL182" s="42">
        <f t="shared" si="167"/>
        <v>6.609375</v>
      </c>
      <c r="AM182" s="42">
        <f t="shared" si="168"/>
        <v>6.609375</v>
      </c>
      <c r="AN182" s="42">
        <f t="shared" si="169"/>
        <v>6.609375</v>
      </c>
      <c r="AO182" s="72">
        <f t="shared" si="191"/>
        <v>26.4375</v>
      </c>
      <c r="AP182" s="42">
        <f t="shared" si="170"/>
        <v>6.609375</v>
      </c>
      <c r="AQ182" s="42">
        <f t="shared" si="171"/>
        <v>6.609375</v>
      </c>
      <c r="AR182" s="42">
        <f t="shared" si="172"/>
        <v>6.609375</v>
      </c>
      <c r="AS182" s="42">
        <f t="shared" si="173"/>
        <v>6.609375</v>
      </c>
      <c r="AT182" s="72">
        <f t="shared" si="205"/>
        <v>26.4375</v>
      </c>
      <c r="AU182" s="42">
        <f t="shared" si="174"/>
        <v>6.609375</v>
      </c>
      <c r="AV182" s="42">
        <f t="shared" si="175"/>
        <v>6.609375</v>
      </c>
      <c r="AW182" s="42">
        <f t="shared" si="176"/>
        <v>6.609375</v>
      </c>
      <c r="AX182" s="42">
        <f t="shared" si="177"/>
        <v>6.609375</v>
      </c>
      <c r="AY182" s="72">
        <f t="shared" si="206"/>
        <v>26.4375</v>
      </c>
      <c r="AZ182" s="42">
        <f t="shared" si="178"/>
        <v>6.609375</v>
      </c>
      <c r="BA182" s="42">
        <f t="shared" si="179"/>
        <v>6.609375</v>
      </c>
      <c r="BB182" s="42">
        <f t="shared" si="180"/>
        <v>6.609375</v>
      </c>
      <c r="BC182" s="42">
        <f t="shared" si="181"/>
        <v>6.609375</v>
      </c>
      <c r="BD182" s="72">
        <f t="shared" si="207"/>
        <v>26.4375</v>
      </c>
      <c r="BE182" s="42">
        <f t="shared" si="182"/>
        <v>6.609375</v>
      </c>
      <c r="BF182" s="42">
        <f t="shared" si="183"/>
        <v>6.609375</v>
      </c>
      <c r="BG182" s="42">
        <f t="shared" si="184"/>
        <v>6.609375</v>
      </c>
      <c r="BH182" s="42">
        <f t="shared" si="185"/>
        <v>6.609375</v>
      </c>
      <c r="BI182" s="72">
        <f t="shared" si="208"/>
        <v>26.4375</v>
      </c>
    </row>
    <row r="183" spans="1:61" s="26" customFormat="1">
      <c r="A183" s="3" t="s">
        <v>391</v>
      </c>
      <c r="B183" s="41"/>
      <c r="C183" s="41"/>
      <c r="D183" s="41"/>
      <c r="E183" s="42"/>
      <c r="F183" s="43"/>
      <c r="G183" s="41"/>
      <c r="H183" s="41"/>
      <c r="I183" s="41"/>
      <c r="J183" s="42"/>
      <c r="K183" s="43"/>
      <c r="L183" s="41"/>
      <c r="M183" s="41"/>
      <c r="N183" s="41"/>
      <c r="O183" s="42"/>
      <c r="P183" s="72">
        <f t="shared" si="201"/>
        <v>39</v>
      </c>
      <c r="Q183" s="42">
        <f t="shared" si="210"/>
        <v>9.75</v>
      </c>
      <c r="R183" s="42">
        <f t="shared" si="210"/>
        <v>9.75</v>
      </c>
      <c r="S183" s="42">
        <f t="shared" si="210"/>
        <v>9.75</v>
      </c>
      <c r="T183" s="42">
        <f t="shared" si="210"/>
        <v>9.75</v>
      </c>
      <c r="U183" s="72">
        <f t="shared" si="186"/>
        <v>39</v>
      </c>
      <c r="V183" s="42">
        <f t="shared" si="211"/>
        <v>4.875</v>
      </c>
      <c r="W183" s="42">
        <f t="shared" si="211"/>
        <v>0</v>
      </c>
      <c r="X183" s="42">
        <f t="shared" si="211"/>
        <v>0</v>
      </c>
      <c r="Y183" s="42">
        <f t="shared" si="211"/>
        <v>0</v>
      </c>
      <c r="Z183" s="72">
        <f t="shared" si="187"/>
        <v>4.875</v>
      </c>
      <c r="AA183" s="42">
        <f t="shared" si="212"/>
        <v>0</v>
      </c>
      <c r="AB183" s="42">
        <f t="shared" si="212"/>
        <v>0</v>
      </c>
      <c r="AC183" s="42">
        <f t="shared" si="212"/>
        <v>0</v>
      </c>
      <c r="AD183" s="42">
        <f t="shared" si="212"/>
        <v>0</v>
      </c>
      <c r="AE183" s="72">
        <f t="shared" si="189"/>
        <v>0</v>
      </c>
      <c r="AF183" s="42">
        <f t="shared" si="213"/>
        <v>0</v>
      </c>
      <c r="AG183" s="42">
        <f t="shared" si="213"/>
        <v>0</v>
      </c>
      <c r="AH183" s="42">
        <f t="shared" si="213"/>
        <v>0</v>
      </c>
      <c r="AI183" s="42">
        <f t="shared" si="213"/>
        <v>0</v>
      </c>
      <c r="AJ183" s="72">
        <f t="shared" si="190"/>
        <v>0</v>
      </c>
      <c r="AK183" s="42">
        <f t="shared" si="166"/>
        <v>0</v>
      </c>
      <c r="AL183" s="42">
        <f t="shared" si="167"/>
        <v>0</v>
      </c>
      <c r="AM183" s="42">
        <f t="shared" si="168"/>
        <v>0</v>
      </c>
      <c r="AN183" s="42">
        <f t="shared" si="169"/>
        <v>0</v>
      </c>
      <c r="AO183" s="72">
        <f t="shared" si="191"/>
        <v>0</v>
      </c>
      <c r="AP183" s="42">
        <f t="shared" si="170"/>
        <v>0</v>
      </c>
      <c r="AQ183" s="42">
        <f t="shared" si="171"/>
        <v>0</v>
      </c>
      <c r="AR183" s="42">
        <f t="shared" si="172"/>
        <v>0</v>
      </c>
      <c r="AS183" s="42">
        <f t="shared" si="173"/>
        <v>0</v>
      </c>
      <c r="AT183" s="72">
        <f t="shared" si="205"/>
        <v>0</v>
      </c>
      <c r="AU183" s="42">
        <f t="shared" si="174"/>
        <v>0</v>
      </c>
      <c r="AV183" s="42">
        <f t="shared" si="175"/>
        <v>0</v>
      </c>
      <c r="AW183" s="42">
        <f t="shared" si="176"/>
        <v>0</v>
      </c>
      <c r="AX183" s="42">
        <f t="shared" si="177"/>
        <v>0</v>
      </c>
      <c r="AY183" s="72">
        <f t="shared" si="206"/>
        <v>0</v>
      </c>
      <c r="AZ183" s="42">
        <f t="shared" si="178"/>
        <v>0</v>
      </c>
      <c r="BA183" s="42">
        <f t="shared" si="179"/>
        <v>0</v>
      </c>
      <c r="BB183" s="42">
        <f t="shared" si="180"/>
        <v>0</v>
      </c>
      <c r="BC183" s="42">
        <f t="shared" si="181"/>
        <v>0</v>
      </c>
      <c r="BD183" s="72">
        <f t="shared" si="207"/>
        <v>0</v>
      </c>
      <c r="BE183" s="42">
        <f t="shared" si="182"/>
        <v>0</v>
      </c>
      <c r="BF183" s="42">
        <f t="shared" si="183"/>
        <v>0</v>
      </c>
      <c r="BG183" s="42">
        <f t="shared" si="184"/>
        <v>0</v>
      </c>
      <c r="BH183" s="42">
        <f t="shared" si="185"/>
        <v>0</v>
      </c>
      <c r="BI183" s="72">
        <f t="shared" si="208"/>
        <v>0</v>
      </c>
    </row>
    <row r="184" spans="1:61" s="26" customFormat="1">
      <c r="A184" s="3" t="s">
        <v>392</v>
      </c>
      <c r="B184" s="41"/>
      <c r="C184" s="41"/>
      <c r="D184" s="41"/>
      <c r="E184" s="42"/>
      <c r="F184" s="43"/>
      <c r="G184" s="41"/>
      <c r="H184" s="41"/>
      <c r="I184" s="41"/>
      <c r="J184" s="42"/>
      <c r="K184" s="43"/>
      <c r="L184" s="41"/>
      <c r="M184" s="41"/>
      <c r="N184" s="41"/>
      <c r="O184" s="42"/>
      <c r="P184" s="72">
        <f t="shared" si="201"/>
        <v>24.5</v>
      </c>
      <c r="Q184" s="42">
        <f t="shared" si="210"/>
        <v>6.125</v>
      </c>
      <c r="R184" s="42">
        <f t="shared" si="210"/>
        <v>6.125</v>
      </c>
      <c r="S184" s="42">
        <f t="shared" si="210"/>
        <v>6.125</v>
      </c>
      <c r="T184" s="42">
        <f t="shared" si="210"/>
        <v>6.125</v>
      </c>
      <c r="U184" s="72">
        <f t="shared" si="186"/>
        <v>24.5</v>
      </c>
      <c r="V184" s="42">
        <f t="shared" si="211"/>
        <v>6.125</v>
      </c>
      <c r="W184" s="42">
        <f t="shared" si="211"/>
        <v>6.125</v>
      </c>
      <c r="X184" s="42">
        <f t="shared" si="211"/>
        <v>6.125</v>
      </c>
      <c r="Y184" s="42">
        <f t="shared" si="211"/>
        <v>6.125</v>
      </c>
      <c r="Z184" s="72">
        <f t="shared" si="187"/>
        <v>24.5</v>
      </c>
      <c r="AA184" s="42">
        <f t="shared" si="212"/>
        <v>6.125</v>
      </c>
      <c r="AB184" s="42">
        <f t="shared" si="212"/>
        <v>6.125</v>
      </c>
      <c r="AC184" s="42">
        <f t="shared" si="212"/>
        <v>6.125</v>
      </c>
      <c r="AD184" s="42">
        <f t="shared" si="212"/>
        <v>6.125</v>
      </c>
      <c r="AE184" s="72">
        <f t="shared" si="189"/>
        <v>24.5</v>
      </c>
      <c r="AF184" s="42">
        <f t="shared" si="213"/>
        <v>6.125</v>
      </c>
      <c r="AG184" s="42">
        <f t="shared" si="213"/>
        <v>6.125</v>
      </c>
      <c r="AH184" s="42">
        <f t="shared" si="213"/>
        <v>6.125</v>
      </c>
      <c r="AI184" s="42">
        <f t="shared" si="213"/>
        <v>6.125</v>
      </c>
      <c r="AJ184" s="72">
        <f t="shared" si="190"/>
        <v>24.5</v>
      </c>
      <c r="AK184" s="42">
        <f t="shared" si="166"/>
        <v>6.125</v>
      </c>
      <c r="AL184" s="42">
        <f t="shared" si="167"/>
        <v>6.125</v>
      </c>
      <c r="AM184" s="42">
        <f t="shared" si="168"/>
        <v>6.125</v>
      </c>
      <c r="AN184" s="42">
        <f t="shared" si="169"/>
        <v>6.125</v>
      </c>
      <c r="AO184" s="72">
        <f t="shared" si="191"/>
        <v>24.5</v>
      </c>
      <c r="AP184" s="42">
        <f t="shared" si="170"/>
        <v>6.125</v>
      </c>
      <c r="AQ184" s="42">
        <f t="shared" si="171"/>
        <v>6.125</v>
      </c>
      <c r="AR184" s="42">
        <f t="shared" si="172"/>
        <v>6.125</v>
      </c>
      <c r="AS184" s="42">
        <f t="shared" si="173"/>
        <v>6.125</v>
      </c>
      <c r="AT184" s="72">
        <f t="shared" si="205"/>
        <v>24.5</v>
      </c>
      <c r="AU184" s="42">
        <f t="shared" si="174"/>
        <v>6.125</v>
      </c>
      <c r="AV184" s="42">
        <f t="shared" si="175"/>
        <v>6.125</v>
      </c>
      <c r="AW184" s="42">
        <f t="shared" si="176"/>
        <v>6.125</v>
      </c>
      <c r="AX184" s="42">
        <f t="shared" si="177"/>
        <v>6.125</v>
      </c>
      <c r="AY184" s="72">
        <f t="shared" si="206"/>
        <v>24.5</v>
      </c>
      <c r="AZ184" s="42">
        <f t="shared" si="178"/>
        <v>6.125</v>
      </c>
      <c r="BA184" s="42">
        <f t="shared" si="179"/>
        <v>6.125</v>
      </c>
      <c r="BB184" s="42">
        <f t="shared" si="180"/>
        <v>6.125</v>
      </c>
      <c r="BC184" s="42">
        <f t="shared" si="181"/>
        <v>6.125</v>
      </c>
      <c r="BD184" s="72">
        <f t="shared" si="207"/>
        <v>24.5</v>
      </c>
      <c r="BE184" s="42">
        <f t="shared" si="182"/>
        <v>6.125</v>
      </c>
      <c r="BF184" s="42">
        <f t="shared" si="183"/>
        <v>6.125</v>
      </c>
      <c r="BG184" s="42">
        <f t="shared" si="184"/>
        <v>6.125</v>
      </c>
      <c r="BH184" s="42">
        <f t="shared" si="185"/>
        <v>6.125</v>
      </c>
      <c r="BI184" s="72">
        <f t="shared" si="208"/>
        <v>24.5</v>
      </c>
    </row>
    <row r="185" spans="1:61" s="26" customFormat="1">
      <c r="A185" s="3" t="s">
        <v>393</v>
      </c>
      <c r="B185" s="41"/>
      <c r="C185" s="41"/>
      <c r="D185" s="41"/>
      <c r="E185" s="42"/>
      <c r="F185" s="43"/>
      <c r="G185" s="41"/>
      <c r="H185" s="41"/>
      <c r="I185" s="41"/>
      <c r="J185" s="42"/>
      <c r="K185" s="43"/>
      <c r="L185" s="41"/>
      <c r="M185" s="41"/>
      <c r="N185" s="41"/>
      <c r="O185" s="42"/>
      <c r="P185" s="72">
        <f t="shared" si="201"/>
        <v>19.875</v>
      </c>
      <c r="Q185" s="42">
        <f t="shared" si="210"/>
        <v>4.96875</v>
      </c>
      <c r="R185" s="42">
        <f t="shared" si="210"/>
        <v>4.96875</v>
      </c>
      <c r="S185" s="42">
        <f t="shared" si="210"/>
        <v>4.96875</v>
      </c>
      <c r="T185" s="42">
        <f t="shared" si="210"/>
        <v>4.96875</v>
      </c>
      <c r="U185" s="72">
        <f t="shared" si="186"/>
        <v>19.875</v>
      </c>
      <c r="V185" s="42">
        <f t="shared" si="211"/>
        <v>4.96875</v>
      </c>
      <c r="W185" s="42">
        <f t="shared" si="211"/>
        <v>4.96875</v>
      </c>
      <c r="X185" s="42">
        <f t="shared" si="211"/>
        <v>4.96875</v>
      </c>
      <c r="Y185" s="42">
        <f t="shared" si="211"/>
        <v>4.96875</v>
      </c>
      <c r="Z185" s="72">
        <f t="shared" si="187"/>
        <v>19.875</v>
      </c>
      <c r="AA185" s="42">
        <f t="shared" si="212"/>
        <v>4.96875</v>
      </c>
      <c r="AB185" s="42">
        <f t="shared" si="212"/>
        <v>4.96875</v>
      </c>
      <c r="AC185" s="42">
        <f t="shared" si="212"/>
        <v>4.96875</v>
      </c>
      <c r="AD185" s="42">
        <f t="shared" si="212"/>
        <v>4.96875</v>
      </c>
      <c r="AE185" s="72">
        <f t="shared" si="189"/>
        <v>19.875</v>
      </c>
      <c r="AF185" s="42">
        <f t="shared" si="213"/>
        <v>4.96875</v>
      </c>
      <c r="AG185" s="42">
        <f t="shared" si="213"/>
        <v>4.96875</v>
      </c>
      <c r="AH185" s="42">
        <f t="shared" si="213"/>
        <v>4.96875</v>
      </c>
      <c r="AI185" s="42">
        <f t="shared" si="213"/>
        <v>4.96875</v>
      </c>
      <c r="AJ185" s="72">
        <f t="shared" si="190"/>
        <v>19.875</v>
      </c>
      <c r="AK185" s="42">
        <f t="shared" si="166"/>
        <v>4.96875</v>
      </c>
      <c r="AL185" s="42">
        <f t="shared" si="167"/>
        <v>4.96875</v>
      </c>
      <c r="AM185" s="42">
        <f t="shared" si="168"/>
        <v>4.96875</v>
      </c>
      <c r="AN185" s="42">
        <f t="shared" si="169"/>
        <v>4.96875</v>
      </c>
      <c r="AO185" s="72">
        <f t="shared" si="191"/>
        <v>19.875</v>
      </c>
      <c r="AP185" s="42">
        <f t="shared" si="170"/>
        <v>4.96875</v>
      </c>
      <c r="AQ185" s="42">
        <f t="shared" si="171"/>
        <v>4.96875</v>
      </c>
      <c r="AR185" s="42">
        <f t="shared" si="172"/>
        <v>4.96875</v>
      </c>
      <c r="AS185" s="42">
        <f t="shared" si="173"/>
        <v>4.96875</v>
      </c>
      <c r="AT185" s="72">
        <f t="shared" si="205"/>
        <v>19.875</v>
      </c>
      <c r="AU185" s="42">
        <f t="shared" si="174"/>
        <v>4.96875</v>
      </c>
      <c r="AV185" s="42">
        <f t="shared" si="175"/>
        <v>4.96875</v>
      </c>
      <c r="AW185" s="42">
        <f t="shared" si="176"/>
        <v>4.96875</v>
      </c>
      <c r="AX185" s="42">
        <f t="shared" si="177"/>
        <v>4.96875</v>
      </c>
      <c r="AY185" s="72">
        <f t="shared" si="206"/>
        <v>19.875</v>
      </c>
      <c r="AZ185" s="42">
        <f t="shared" si="178"/>
        <v>4.96875</v>
      </c>
      <c r="BA185" s="42">
        <f t="shared" si="179"/>
        <v>4.96875</v>
      </c>
      <c r="BB185" s="42">
        <f t="shared" si="180"/>
        <v>4.96875</v>
      </c>
      <c r="BC185" s="42">
        <f t="shared" si="181"/>
        <v>4.96875</v>
      </c>
      <c r="BD185" s="72">
        <f t="shared" si="207"/>
        <v>19.875</v>
      </c>
      <c r="BE185" s="42">
        <f t="shared" si="182"/>
        <v>4.96875</v>
      </c>
      <c r="BF185" s="42">
        <f t="shared" si="183"/>
        <v>4.96875</v>
      </c>
      <c r="BG185" s="42">
        <f t="shared" si="184"/>
        <v>4.96875</v>
      </c>
      <c r="BH185" s="42">
        <f t="shared" si="185"/>
        <v>4.96875</v>
      </c>
      <c r="BI185" s="72">
        <f t="shared" si="208"/>
        <v>19.875</v>
      </c>
    </row>
    <row r="186" spans="1:61" s="26" customFormat="1">
      <c r="A186" s="3" t="s">
        <v>394</v>
      </c>
      <c r="B186" s="41"/>
      <c r="C186" s="41"/>
      <c r="D186" s="41"/>
      <c r="E186" s="42"/>
      <c r="F186" s="43"/>
      <c r="G186" s="41"/>
      <c r="H186" s="41"/>
      <c r="I186" s="41"/>
      <c r="J186" s="42"/>
      <c r="K186" s="43"/>
      <c r="L186" s="41"/>
      <c r="M186" s="41"/>
      <c r="N186" s="41"/>
      <c r="O186" s="42"/>
      <c r="P186" s="72">
        <f t="shared" si="201"/>
        <v>34.375</v>
      </c>
      <c r="Q186" s="42">
        <f t="shared" si="210"/>
        <v>8.59375</v>
      </c>
      <c r="R186" s="42">
        <f t="shared" si="210"/>
        <v>8.59375</v>
      </c>
      <c r="S186" s="42">
        <f t="shared" si="210"/>
        <v>8.59375</v>
      </c>
      <c r="T186" s="42">
        <f t="shared" si="210"/>
        <v>8.59375</v>
      </c>
      <c r="U186" s="72">
        <f t="shared" si="186"/>
        <v>34.375</v>
      </c>
      <c r="V186" s="42">
        <f t="shared" si="211"/>
        <v>8.59375</v>
      </c>
      <c r="W186" s="42">
        <f t="shared" si="211"/>
        <v>8.59375</v>
      </c>
      <c r="X186" s="42">
        <f t="shared" si="211"/>
        <v>8.59375</v>
      </c>
      <c r="Y186" s="42">
        <f t="shared" si="211"/>
        <v>8.59375</v>
      </c>
      <c r="Z186" s="72">
        <f t="shared" si="187"/>
        <v>34.375</v>
      </c>
      <c r="AA186" s="42">
        <f t="shared" si="212"/>
        <v>8.59375</v>
      </c>
      <c r="AB186" s="42">
        <f t="shared" si="212"/>
        <v>8.59375</v>
      </c>
      <c r="AC186" s="42">
        <f t="shared" si="212"/>
        <v>8.59375</v>
      </c>
      <c r="AD186" s="42">
        <f t="shared" si="212"/>
        <v>8.59375</v>
      </c>
      <c r="AE186" s="72">
        <f t="shared" si="189"/>
        <v>34.375</v>
      </c>
      <c r="AF186" s="42">
        <f t="shared" si="213"/>
        <v>8.59375</v>
      </c>
      <c r="AG186" s="42">
        <f t="shared" si="213"/>
        <v>8.59375</v>
      </c>
      <c r="AH186" s="42">
        <f t="shared" si="213"/>
        <v>8.59375</v>
      </c>
      <c r="AI186" s="42">
        <f t="shared" si="213"/>
        <v>8.59375</v>
      </c>
      <c r="AJ186" s="72">
        <f t="shared" si="190"/>
        <v>34.375</v>
      </c>
      <c r="AK186" s="42">
        <f t="shared" si="166"/>
        <v>8.59375</v>
      </c>
      <c r="AL186" s="42">
        <f t="shared" si="167"/>
        <v>8.59375</v>
      </c>
      <c r="AM186" s="42">
        <f t="shared" si="168"/>
        <v>8.59375</v>
      </c>
      <c r="AN186" s="42">
        <f t="shared" si="169"/>
        <v>8.59375</v>
      </c>
      <c r="AO186" s="72">
        <f t="shared" si="191"/>
        <v>34.375</v>
      </c>
      <c r="AP186" s="42">
        <f t="shared" si="170"/>
        <v>8.59375</v>
      </c>
      <c r="AQ186" s="42">
        <f t="shared" si="171"/>
        <v>8.59375</v>
      </c>
      <c r="AR186" s="42">
        <f t="shared" si="172"/>
        <v>8.59375</v>
      </c>
      <c r="AS186" s="42">
        <f t="shared" si="173"/>
        <v>8.59375</v>
      </c>
      <c r="AT186" s="72">
        <f t="shared" si="205"/>
        <v>34.375</v>
      </c>
      <c r="AU186" s="42">
        <f t="shared" si="174"/>
        <v>8.59375</v>
      </c>
      <c r="AV186" s="42">
        <f t="shared" si="175"/>
        <v>8.59375</v>
      </c>
      <c r="AW186" s="42">
        <f t="shared" si="176"/>
        <v>8.59375</v>
      </c>
      <c r="AX186" s="42">
        <f t="shared" si="177"/>
        <v>8.59375</v>
      </c>
      <c r="AY186" s="72">
        <f t="shared" si="206"/>
        <v>34.375</v>
      </c>
      <c r="AZ186" s="42">
        <f t="shared" si="178"/>
        <v>8.59375</v>
      </c>
      <c r="BA186" s="42">
        <f t="shared" si="179"/>
        <v>8.59375</v>
      </c>
      <c r="BB186" s="42">
        <f t="shared" si="180"/>
        <v>8.59375</v>
      </c>
      <c r="BC186" s="42">
        <f t="shared" si="181"/>
        <v>8.59375</v>
      </c>
      <c r="BD186" s="72">
        <f t="shared" si="207"/>
        <v>34.375</v>
      </c>
      <c r="BE186" s="42">
        <f t="shared" si="182"/>
        <v>8.59375</v>
      </c>
      <c r="BF186" s="42">
        <f t="shared" si="183"/>
        <v>8.59375</v>
      </c>
      <c r="BG186" s="42">
        <f t="shared" si="184"/>
        <v>8.59375</v>
      </c>
      <c r="BH186" s="42">
        <f t="shared" si="185"/>
        <v>8.59375</v>
      </c>
      <c r="BI186" s="72">
        <f t="shared" si="208"/>
        <v>34.375</v>
      </c>
    </row>
    <row r="187" spans="1:61" s="26" customFormat="1">
      <c r="A187" s="3" t="s">
        <v>395</v>
      </c>
      <c r="B187" s="41"/>
      <c r="C187" s="41"/>
      <c r="D187" s="41"/>
      <c r="E187" s="42"/>
      <c r="F187" s="43"/>
      <c r="G187" s="41"/>
      <c r="H187" s="41"/>
      <c r="I187" s="41"/>
      <c r="J187" s="42"/>
      <c r="K187" s="43"/>
      <c r="L187" s="41"/>
      <c r="M187" s="41"/>
      <c r="N187" s="41"/>
      <c r="O187" s="42"/>
      <c r="P187" s="72">
        <f t="shared" si="201"/>
        <v>8.59375</v>
      </c>
      <c r="Q187" s="42">
        <f t="shared" si="210"/>
        <v>2.1484375</v>
      </c>
      <c r="R187" s="42">
        <f t="shared" si="210"/>
        <v>2.1484375</v>
      </c>
      <c r="S187" s="42">
        <f t="shared" si="210"/>
        <v>2.1484375</v>
      </c>
      <c r="T187" s="42">
        <f t="shared" si="210"/>
        <v>2.1484375</v>
      </c>
      <c r="U187" s="72">
        <f t="shared" si="186"/>
        <v>8.59375</v>
      </c>
      <c r="V187" s="42">
        <f t="shared" si="211"/>
        <v>2.1484375</v>
      </c>
      <c r="W187" s="42">
        <f t="shared" si="211"/>
        <v>2.1484375</v>
      </c>
      <c r="X187" s="42">
        <f t="shared" si="211"/>
        <v>2.1484375</v>
      </c>
      <c r="Y187" s="42">
        <f t="shared" si="211"/>
        <v>2.1483515625000003</v>
      </c>
      <c r="Z187" s="72">
        <f t="shared" si="187"/>
        <v>8.5936640625000003</v>
      </c>
      <c r="AA187" s="42">
        <f t="shared" si="212"/>
        <v>2.1483515625000003</v>
      </c>
      <c r="AB187" s="42">
        <f t="shared" si="212"/>
        <v>2.1484375</v>
      </c>
      <c r="AC187" s="42">
        <f t="shared" si="212"/>
        <v>2.1484375</v>
      </c>
      <c r="AD187" s="42">
        <f t="shared" si="212"/>
        <v>2.1484375</v>
      </c>
      <c r="AE187" s="72">
        <f t="shared" si="189"/>
        <v>8.5936640625000003</v>
      </c>
      <c r="AF187" s="42">
        <f t="shared" si="213"/>
        <v>2.1484375</v>
      </c>
      <c r="AG187" s="42">
        <f t="shared" si="213"/>
        <v>2.1484375</v>
      </c>
      <c r="AH187" s="42">
        <f t="shared" si="213"/>
        <v>2.1484375</v>
      </c>
      <c r="AI187" s="42">
        <f t="shared" si="213"/>
        <v>2.1484375</v>
      </c>
      <c r="AJ187" s="72">
        <f t="shared" si="190"/>
        <v>8.59375</v>
      </c>
      <c r="AK187" s="42">
        <f t="shared" si="166"/>
        <v>2.1484375</v>
      </c>
      <c r="AL187" s="42">
        <f t="shared" si="167"/>
        <v>2.1484375</v>
      </c>
      <c r="AM187" s="42">
        <f t="shared" si="168"/>
        <v>2.1484375</v>
      </c>
      <c r="AN187" s="42">
        <f t="shared" si="169"/>
        <v>2.1484375</v>
      </c>
      <c r="AO187" s="72">
        <f t="shared" si="191"/>
        <v>8.59375</v>
      </c>
      <c r="AP187" s="42">
        <f t="shared" si="170"/>
        <v>2.1484375</v>
      </c>
      <c r="AQ187" s="42">
        <f t="shared" si="171"/>
        <v>2.1484375</v>
      </c>
      <c r="AR187" s="42">
        <f t="shared" si="172"/>
        <v>2.1484375</v>
      </c>
      <c r="AS187" s="42">
        <f t="shared" si="173"/>
        <v>2.1484375</v>
      </c>
      <c r="AT187" s="72">
        <f t="shared" si="205"/>
        <v>8.59375</v>
      </c>
      <c r="AU187" s="42">
        <f t="shared" si="174"/>
        <v>2.1484375</v>
      </c>
      <c r="AV187" s="42">
        <f t="shared" si="175"/>
        <v>2.1484375</v>
      </c>
      <c r="AW187" s="42">
        <f t="shared" si="176"/>
        <v>2.1484375</v>
      </c>
      <c r="AX187" s="42">
        <f t="shared" si="177"/>
        <v>2.1484375</v>
      </c>
      <c r="AY187" s="72">
        <f t="shared" si="206"/>
        <v>8.59375</v>
      </c>
      <c r="AZ187" s="42">
        <f t="shared" si="178"/>
        <v>2.1484375</v>
      </c>
      <c r="BA187" s="42">
        <f t="shared" si="179"/>
        <v>2.1484375</v>
      </c>
      <c r="BB187" s="42">
        <f t="shared" si="180"/>
        <v>2.1484375</v>
      </c>
      <c r="BC187" s="42">
        <f t="shared" si="181"/>
        <v>2.1484375</v>
      </c>
      <c r="BD187" s="72">
        <f t="shared" si="207"/>
        <v>8.59375</v>
      </c>
      <c r="BE187" s="42">
        <f t="shared" si="182"/>
        <v>2.1484375</v>
      </c>
      <c r="BF187" s="42">
        <f t="shared" si="183"/>
        <v>2.1484375</v>
      </c>
      <c r="BG187" s="42">
        <f t="shared" si="184"/>
        <v>2.1484375</v>
      </c>
      <c r="BH187" s="42">
        <f t="shared" si="185"/>
        <v>2.1484375</v>
      </c>
      <c r="BI187" s="72">
        <f t="shared" si="208"/>
        <v>8.59375</v>
      </c>
    </row>
    <row r="188" spans="1:61" s="26" customFormat="1">
      <c r="A188" s="3" t="s">
        <v>396</v>
      </c>
      <c r="B188" s="41"/>
      <c r="C188" s="41"/>
      <c r="D188" s="41"/>
      <c r="E188" s="42"/>
      <c r="F188" s="43"/>
      <c r="G188" s="41"/>
      <c r="H188" s="41"/>
      <c r="I188" s="41"/>
      <c r="J188" s="42"/>
      <c r="K188" s="43"/>
      <c r="L188" s="41"/>
      <c r="M188" s="41"/>
      <c r="N188" s="41"/>
      <c r="O188" s="42"/>
      <c r="P188" s="72">
        <f t="shared" si="201"/>
        <v>17.907499999999999</v>
      </c>
      <c r="Q188" s="42">
        <f t="shared" si="210"/>
        <v>4.4768749999999997</v>
      </c>
      <c r="R188" s="42">
        <f t="shared" si="210"/>
        <v>4.4768749999999997</v>
      </c>
      <c r="S188" s="42">
        <f t="shared" si="210"/>
        <v>4.4768749999999997</v>
      </c>
      <c r="T188" s="42">
        <f t="shared" si="210"/>
        <v>4.4768749999999997</v>
      </c>
      <c r="U188" s="72">
        <f t="shared" si="186"/>
        <v>17.907499999999999</v>
      </c>
      <c r="V188" s="42">
        <f t="shared" si="211"/>
        <v>4.4768749999999997</v>
      </c>
      <c r="W188" s="42">
        <f t="shared" si="211"/>
        <v>4.4768749999999997</v>
      </c>
      <c r="X188" s="42">
        <f t="shared" si="211"/>
        <v>4.4768749999999997</v>
      </c>
      <c r="Y188" s="42">
        <f t="shared" si="211"/>
        <v>4.5021865624999995</v>
      </c>
      <c r="Z188" s="72">
        <f t="shared" si="187"/>
        <v>17.9328115625</v>
      </c>
      <c r="AA188" s="42">
        <f t="shared" si="212"/>
        <v>4.5293740624999996</v>
      </c>
      <c r="AB188" s="42">
        <f t="shared" si="212"/>
        <v>4.53125</v>
      </c>
      <c r="AC188" s="42">
        <f t="shared" si="212"/>
        <v>4.53125</v>
      </c>
      <c r="AD188" s="42">
        <f t="shared" si="212"/>
        <v>4.53125</v>
      </c>
      <c r="AE188" s="72">
        <f t="shared" si="189"/>
        <v>18.123124062500001</v>
      </c>
      <c r="AF188" s="42">
        <f t="shared" si="213"/>
        <v>4.53125</v>
      </c>
      <c r="AG188" s="42">
        <f t="shared" si="213"/>
        <v>4.53125</v>
      </c>
      <c r="AH188" s="42">
        <f t="shared" si="213"/>
        <v>4.53125</v>
      </c>
      <c r="AI188" s="42">
        <f t="shared" si="213"/>
        <v>4.53125</v>
      </c>
      <c r="AJ188" s="72">
        <f t="shared" si="190"/>
        <v>18.125</v>
      </c>
      <c r="AK188" s="42">
        <f t="shared" si="166"/>
        <v>4.53125</v>
      </c>
      <c r="AL188" s="42">
        <f t="shared" si="167"/>
        <v>4.53125</v>
      </c>
      <c r="AM188" s="42">
        <f t="shared" si="168"/>
        <v>4.53125</v>
      </c>
      <c r="AN188" s="42">
        <f t="shared" si="169"/>
        <v>4.53125</v>
      </c>
      <c r="AO188" s="72">
        <f t="shared" si="191"/>
        <v>18.125</v>
      </c>
      <c r="AP188" s="42">
        <f t="shared" si="170"/>
        <v>4.53125</v>
      </c>
      <c r="AQ188" s="42">
        <f t="shared" si="171"/>
        <v>4.53125</v>
      </c>
      <c r="AR188" s="42">
        <f t="shared" si="172"/>
        <v>4.53125</v>
      </c>
      <c r="AS188" s="42">
        <f t="shared" si="173"/>
        <v>4.53125</v>
      </c>
      <c r="AT188" s="72">
        <f t="shared" si="205"/>
        <v>18.125</v>
      </c>
      <c r="AU188" s="42">
        <f t="shared" si="174"/>
        <v>4.53125</v>
      </c>
      <c r="AV188" s="42">
        <f t="shared" si="175"/>
        <v>4.53125</v>
      </c>
      <c r="AW188" s="42">
        <f t="shared" si="176"/>
        <v>4.53125</v>
      </c>
      <c r="AX188" s="42">
        <f t="shared" si="177"/>
        <v>4.53125</v>
      </c>
      <c r="AY188" s="72">
        <f t="shared" si="206"/>
        <v>18.125</v>
      </c>
      <c r="AZ188" s="42">
        <f t="shared" si="178"/>
        <v>4.53125</v>
      </c>
      <c r="BA188" s="42">
        <f t="shared" si="179"/>
        <v>4.53125</v>
      </c>
      <c r="BB188" s="42">
        <f t="shared" si="180"/>
        <v>4.53125</v>
      </c>
      <c r="BC188" s="42">
        <f t="shared" si="181"/>
        <v>4.53125</v>
      </c>
      <c r="BD188" s="72">
        <f t="shared" si="207"/>
        <v>18.125</v>
      </c>
      <c r="BE188" s="42">
        <f t="shared" si="182"/>
        <v>4.53125</v>
      </c>
      <c r="BF188" s="42">
        <f t="shared" si="183"/>
        <v>4.53125</v>
      </c>
      <c r="BG188" s="42">
        <f t="shared" si="184"/>
        <v>2.265625</v>
      </c>
      <c r="BH188" s="42">
        <f t="shared" si="185"/>
        <v>0</v>
      </c>
      <c r="BI188" s="72">
        <f t="shared" si="208"/>
        <v>11.328125</v>
      </c>
    </row>
    <row r="189" spans="1:61" s="26" customFormat="1">
      <c r="A189" s="3" t="s">
        <v>397</v>
      </c>
      <c r="B189" s="41"/>
      <c r="C189" s="41"/>
      <c r="D189" s="41"/>
      <c r="E189" s="42"/>
      <c r="F189" s="43"/>
      <c r="G189" s="41"/>
      <c r="H189" s="41"/>
      <c r="I189" s="41"/>
      <c r="J189" s="42"/>
      <c r="K189" s="43"/>
      <c r="L189" s="41"/>
      <c r="M189" s="41"/>
      <c r="N189" s="41"/>
      <c r="O189" s="42"/>
      <c r="P189" s="72">
        <f t="shared" si="201"/>
        <v>7.5</v>
      </c>
      <c r="Q189" s="42">
        <f t="shared" si="210"/>
        <v>1.875</v>
      </c>
      <c r="R189" s="42">
        <f t="shared" si="210"/>
        <v>1.875</v>
      </c>
      <c r="S189" s="42">
        <f t="shared" si="210"/>
        <v>1.875</v>
      </c>
      <c r="T189" s="42">
        <f t="shared" si="210"/>
        <v>1.875</v>
      </c>
      <c r="U189" s="72">
        <f t="shared" si="186"/>
        <v>7.5</v>
      </c>
      <c r="V189" s="42">
        <f t="shared" si="211"/>
        <v>1.875</v>
      </c>
      <c r="W189" s="42">
        <f t="shared" si="211"/>
        <v>1.875</v>
      </c>
      <c r="X189" s="42">
        <f t="shared" si="211"/>
        <v>1.875</v>
      </c>
      <c r="Y189" s="42">
        <f t="shared" si="211"/>
        <v>1.87490625</v>
      </c>
      <c r="Z189" s="72">
        <f t="shared" si="187"/>
        <v>7.4999062500000004</v>
      </c>
      <c r="AA189" s="42">
        <f t="shared" si="212"/>
        <v>1.87490625</v>
      </c>
      <c r="AB189" s="42">
        <f t="shared" si="212"/>
        <v>1.875</v>
      </c>
      <c r="AC189" s="42">
        <f t="shared" si="212"/>
        <v>1.875</v>
      </c>
      <c r="AD189" s="42">
        <f t="shared" si="212"/>
        <v>1.875</v>
      </c>
      <c r="AE189" s="72">
        <f t="shared" si="189"/>
        <v>7.4999062500000004</v>
      </c>
      <c r="AF189" s="42">
        <f t="shared" si="213"/>
        <v>1.875</v>
      </c>
      <c r="AG189" s="42">
        <f t="shared" si="213"/>
        <v>1.875</v>
      </c>
      <c r="AH189" s="42">
        <f t="shared" si="213"/>
        <v>1.875</v>
      </c>
      <c r="AI189" s="42">
        <f t="shared" si="213"/>
        <v>1.875</v>
      </c>
      <c r="AJ189" s="72">
        <f t="shared" si="190"/>
        <v>7.5</v>
      </c>
      <c r="AK189" s="42">
        <f t="shared" si="166"/>
        <v>1.875</v>
      </c>
      <c r="AL189" s="42">
        <f t="shared" si="167"/>
        <v>1.875</v>
      </c>
      <c r="AM189" s="42">
        <f t="shared" si="168"/>
        <v>1.875</v>
      </c>
      <c r="AN189" s="42">
        <f t="shared" si="169"/>
        <v>1.875</v>
      </c>
      <c r="AO189" s="72">
        <f t="shared" si="191"/>
        <v>7.5</v>
      </c>
      <c r="AP189" s="42">
        <f t="shared" si="170"/>
        <v>1.875</v>
      </c>
      <c r="AQ189" s="42">
        <f t="shared" si="171"/>
        <v>1.875</v>
      </c>
      <c r="AR189" s="42">
        <f t="shared" si="172"/>
        <v>1.875</v>
      </c>
      <c r="AS189" s="42">
        <f t="shared" si="173"/>
        <v>1.875</v>
      </c>
      <c r="AT189" s="72">
        <f t="shared" si="205"/>
        <v>7.5</v>
      </c>
      <c r="AU189" s="42">
        <f t="shared" si="174"/>
        <v>1.875</v>
      </c>
      <c r="AV189" s="42">
        <f t="shared" si="175"/>
        <v>1.875</v>
      </c>
      <c r="AW189" s="42">
        <f t="shared" si="176"/>
        <v>1.875</v>
      </c>
      <c r="AX189" s="42">
        <f t="shared" si="177"/>
        <v>1.875</v>
      </c>
      <c r="AY189" s="72">
        <f t="shared" si="206"/>
        <v>7.5</v>
      </c>
      <c r="AZ189" s="42">
        <f t="shared" si="178"/>
        <v>1.875</v>
      </c>
      <c r="BA189" s="42">
        <f t="shared" si="179"/>
        <v>1.875</v>
      </c>
      <c r="BB189" s="42">
        <f t="shared" si="180"/>
        <v>1.875</v>
      </c>
      <c r="BC189" s="42">
        <f t="shared" si="181"/>
        <v>1.875</v>
      </c>
      <c r="BD189" s="72">
        <f t="shared" si="207"/>
        <v>7.5</v>
      </c>
      <c r="BE189" s="42">
        <f t="shared" si="182"/>
        <v>1.875</v>
      </c>
      <c r="BF189" s="42">
        <f t="shared" si="183"/>
        <v>1.875</v>
      </c>
      <c r="BG189" s="42">
        <f t="shared" si="184"/>
        <v>1.875</v>
      </c>
      <c r="BH189" s="42">
        <f t="shared" si="185"/>
        <v>1.875</v>
      </c>
      <c r="BI189" s="72">
        <f t="shared" si="208"/>
        <v>7.5</v>
      </c>
    </row>
    <row r="190" spans="1:61" s="26" customFormat="1">
      <c r="A190" s="3" t="s">
        <v>398</v>
      </c>
      <c r="B190" s="41"/>
      <c r="C190" s="41"/>
      <c r="D190" s="41"/>
      <c r="E190" s="42"/>
      <c r="F190" s="43"/>
      <c r="G190" s="41"/>
      <c r="H190" s="41"/>
      <c r="I190" s="41"/>
      <c r="J190" s="42"/>
      <c r="K190" s="43"/>
      <c r="L190" s="41"/>
      <c r="M190" s="41"/>
      <c r="N190" s="41"/>
      <c r="O190" s="42"/>
      <c r="P190" s="72">
        <f t="shared" si="201"/>
        <v>13.78125</v>
      </c>
      <c r="Q190" s="42">
        <f t="shared" si="210"/>
        <v>3.4453125</v>
      </c>
      <c r="R190" s="42">
        <f t="shared" si="210"/>
        <v>3.4453125</v>
      </c>
      <c r="S190" s="42">
        <f t="shared" si="210"/>
        <v>3.4453125</v>
      </c>
      <c r="T190" s="42">
        <f t="shared" si="210"/>
        <v>3.4453125</v>
      </c>
      <c r="U190" s="72">
        <f t="shared" si="186"/>
        <v>13.78125</v>
      </c>
      <c r="V190" s="42">
        <f t="shared" si="211"/>
        <v>3.4453125</v>
      </c>
      <c r="W190" s="42">
        <f t="shared" si="211"/>
        <v>3.4453125</v>
      </c>
      <c r="X190" s="42">
        <f t="shared" si="211"/>
        <v>3.4453125</v>
      </c>
      <c r="Y190" s="42">
        <f t="shared" si="211"/>
        <v>3.4453125</v>
      </c>
      <c r="Z190" s="72">
        <f t="shared" si="187"/>
        <v>13.78125</v>
      </c>
      <c r="AA190" s="42">
        <f t="shared" si="212"/>
        <v>3.4453125</v>
      </c>
      <c r="AB190" s="42">
        <f t="shared" si="212"/>
        <v>3.4453125</v>
      </c>
      <c r="AC190" s="42">
        <f t="shared" si="212"/>
        <v>3.4453125</v>
      </c>
      <c r="AD190" s="42">
        <f t="shared" si="212"/>
        <v>3.4453125</v>
      </c>
      <c r="AE190" s="72">
        <f t="shared" si="189"/>
        <v>13.78125</v>
      </c>
      <c r="AF190" s="42">
        <f t="shared" si="213"/>
        <v>3.4453125</v>
      </c>
      <c r="AG190" s="42">
        <f t="shared" si="213"/>
        <v>3.4453125</v>
      </c>
      <c r="AH190" s="42">
        <f t="shared" si="213"/>
        <v>3.4453125</v>
      </c>
      <c r="AI190" s="42">
        <f t="shared" si="213"/>
        <v>3.4453125</v>
      </c>
      <c r="AJ190" s="72">
        <f t="shared" si="190"/>
        <v>13.78125</v>
      </c>
      <c r="AK190" s="42">
        <f t="shared" si="166"/>
        <v>3.4453125</v>
      </c>
      <c r="AL190" s="42">
        <f t="shared" si="167"/>
        <v>3.4453125</v>
      </c>
      <c r="AM190" s="42">
        <f t="shared" si="168"/>
        <v>3.4453125</v>
      </c>
      <c r="AN190" s="42">
        <f t="shared" si="169"/>
        <v>3.4453125</v>
      </c>
      <c r="AO190" s="72">
        <f t="shared" si="191"/>
        <v>13.78125</v>
      </c>
      <c r="AP190" s="42">
        <f t="shared" si="170"/>
        <v>3.4453125</v>
      </c>
      <c r="AQ190" s="42">
        <f t="shared" si="171"/>
        <v>3.4453125</v>
      </c>
      <c r="AR190" s="42">
        <f t="shared" si="172"/>
        <v>3.4453125</v>
      </c>
      <c r="AS190" s="42">
        <f t="shared" si="173"/>
        <v>3.4453125</v>
      </c>
      <c r="AT190" s="72">
        <f t="shared" si="205"/>
        <v>13.78125</v>
      </c>
      <c r="AU190" s="42">
        <f t="shared" si="174"/>
        <v>3.4453125</v>
      </c>
      <c r="AV190" s="42">
        <f t="shared" si="175"/>
        <v>3.4453125</v>
      </c>
      <c r="AW190" s="42">
        <f t="shared" si="176"/>
        <v>3.4453125</v>
      </c>
      <c r="AX190" s="42">
        <f t="shared" si="177"/>
        <v>3.4453125</v>
      </c>
      <c r="AY190" s="72">
        <f t="shared" si="206"/>
        <v>13.78125</v>
      </c>
      <c r="AZ190" s="42">
        <f t="shared" si="178"/>
        <v>3.4453125</v>
      </c>
      <c r="BA190" s="42">
        <f t="shared" si="179"/>
        <v>3.4453125</v>
      </c>
      <c r="BB190" s="42">
        <f t="shared" si="180"/>
        <v>3.4453125</v>
      </c>
      <c r="BC190" s="42">
        <f t="shared" si="181"/>
        <v>3.4453125</v>
      </c>
      <c r="BD190" s="72">
        <f t="shared" si="207"/>
        <v>13.78125</v>
      </c>
      <c r="BE190" s="42">
        <f t="shared" si="182"/>
        <v>3.4453125</v>
      </c>
      <c r="BF190" s="42">
        <f t="shared" si="183"/>
        <v>3.4453125</v>
      </c>
      <c r="BG190" s="42">
        <f t="shared" si="184"/>
        <v>3.4453125</v>
      </c>
      <c r="BH190" s="42">
        <f t="shared" si="185"/>
        <v>3.4453125</v>
      </c>
      <c r="BI190" s="72">
        <f t="shared" si="208"/>
        <v>13.78125</v>
      </c>
    </row>
    <row r="191" spans="1:61" s="26" customFormat="1">
      <c r="A191" s="3" t="s">
        <v>399</v>
      </c>
      <c r="B191" s="41"/>
      <c r="C191" s="41"/>
      <c r="D191" s="41"/>
      <c r="E191" s="42"/>
      <c r="F191" s="43"/>
      <c r="G191" s="41"/>
      <c r="H191" s="41"/>
      <c r="I191" s="41"/>
      <c r="J191" s="42"/>
      <c r="K191" s="43"/>
      <c r="L191" s="41"/>
      <c r="M191" s="41"/>
      <c r="N191" s="41"/>
      <c r="O191" s="42"/>
      <c r="P191" s="72">
        <f t="shared" si="201"/>
        <v>23.84046</v>
      </c>
      <c r="Q191" s="42">
        <f t="shared" si="210"/>
        <v>5.9601150000000001</v>
      </c>
      <c r="R191" s="42">
        <f t="shared" si="210"/>
        <v>5.9601150000000001</v>
      </c>
      <c r="S191" s="42">
        <f t="shared" si="210"/>
        <v>5.9601150000000001</v>
      </c>
      <c r="T191" s="42">
        <f t="shared" si="210"/>
        <v>5.9601150000000001</v>
      </c>
      <c r="U191" s="72">
        <f t="shared" si="186"/>
        <v>23.84046</v>
      </c>
      <c r="V191" s="42">
        <f t="shared" si="211"/>
        <v>5.9601150000000001</v>
      </c>
      <c r="W191" s="42">
        <f t="shared" si="211"/>
        <v>5.9601150000000001</v>
      </c>
      <c r="X191" s="42">
        <f t="shared" si="211"/>
        <v>5.9601150000000001</v>
      </c>
      <c r="Y191" s="42">
        <f t="shared" si="211"/>
        <v>5.9601150000000001</v>
      </c>
      <c r="Z191" s="72">
        <f t="shared" si="187"/>
        <v>23.84046</v>
      </c>
      <c r="AA191" s="42">
        <f t="shared" si="212"/>
        <v>5.9613075000000002</v>
      </c>
      <c r="AB191" s="42">
        <f t="shared" si="212"/>
        <v>5.9625000000000004</v>
      </c>
      <c r="AC191" s="42">
        <f t="shared" si="212"/>
        <v>5.9625000000000004</v>
      </c>
      <c r="AD191" s="42">
        <f t="shared" si="212"/>
        <v>5.9625000000000004</v>
      </c>
      <c r="AE191" s="72">
        <f t="shared" si="189"/>
        <v>23.848807499999999</v>
      </c>
      <c r="AF191" s="42">
        <f t="shared" si="213"/>
        <v>5.9625000000000004</v>
      </c>
      <c r="AG191" s="42">
        <f t="shared" si="213"/>
        <v>5.9625000000000004</v>
      </c>
      <c r="AH191" s="42">
        <f t="shared" si="213"/>
        <v>5.9625000000000004</v>
      </c>
      <c r="AI191" s="42">
        <f t="shared" si="213"/>
        <v>5.9625000000000004</v>
      </c>
      <c r="AJ191" s="72">
        <f t="shared" si="190"/>
        <v>23.85</v>
      </c>
      <c r="AK191" s="42">
        <f t="shared" si="166"/>
        <v>5.9625000000000004</v>
      </c>
      <c r="AL191" s="42">
        <f t="shared" si="167"/>
        <v>5.9625000000000004</v>
      </c>
      <c r="AM191" s="42">
        <f t="shared" si="168"/>
        <v>5.9625000000000004</v>
      </c>
      <c r="AN191" s="42">
        <f t="shared" si="169"/>
        <v>5.9625000000000004</v>
      </c>
      <c r="AO191" s="72">
        <f t="shared" si="191"/>
        <v>23.85</v>
      </c>
      <c r="AP191" s="42">
        <f t="shared" si="170"/>
        <v>5.9625000000000004</v>
      </c>
      <c r="AQ191" s="42">
        <f t="shared" si="171"/>
        <v>5.9625000000000004</v>
      </c>
      <c r="AR191" s="42">
        <f t="shared" si="172"/>
        <v>5.9625000000000004</v>
      </c>
      <c r="AS191" s="42">
        <f t="shared" si="173"/>
        <v>5.9625000000000004</v>
      </c>
      <c r="AT191" s="72">
        <f t="shared" si="205"/>
        <v>23.85</v>
      </c>
      <c r="AU191" s="42">
        <f t="shared" si="174"/>
        <v>5.9625000000000004</v>
      </c>
      <c r="AV191" s="42">
        <f t="shared" si="175"/>
        <v>5.9625000000000004</v>
      </c>
      <c r="AW191" s="42">
        <f t="shared" si="176"/>
        <v>2.9812500000000002</v>
      </c>
      <c r="AX191" s="42">
        <f t="shared" si="177"/>
        <v>0</v>
      </c>
      <c r="AY191" s="72">
        <f t="shared" si="206"/>
        <v>14.90625</v>
      </c>
      <c r="AZ191" s="42">
        <f t="shared" si="178"/>
        <v>0</v>
      </c>
      <c r="BA191" s="42">
        <f t="shared" si="179"/>
        <v>0</v>
      </c>
      <c r="BB191" s="42">
        <f t="shared" si="180"/>
        <v>0</v>
      </c>
      <c r="BC191" s="42">
        <f t="shared" si="181"/>
        <v>0</v>
      </c>
      <c r="BD191" s="72">
        <f t="shared" si="207"/>
        <v>0</v>
      </c>
      <c r="BE191" s="42">
        <f t="shared" si="182"/>
        <v>0</v>
      </c>
      <c r="BF191" s="42">
        <f t="shared" si="183"/>
        <v>0</v>
      </c>
      <c r="BG191" s="42">
        <f t="shared" si="184"/>
        <v>0</v>
      </c>
      <c r="BH191" s="42">
        <f t="shared" si="185"/>
        <v>0</v>
      </c>
      <c r="BI191" s="72">
        <f t="shared" si="208"/>
        <v>0</v>
      </c>
    </row>
    <row r="192" spans="1:61" s="26" customFormat="1">
      <c r="A192" s="3" t="s">
        <v>400</v>
      </c>
      <c r="B192" s="41"/>
      <c r="C192" s="41"/>
      <c r="D192" s="41"/>
      <c r="E192" s="42"/>
      <c r="F192" s="43"/>
      <c r="G192" s="41"/>
      <c r="H192" s="41"/>
      <c r="I192" s="41"/>
      <c r="J192" s="42"/>
      <c r="K192" s="43"/>
      <c r="L192" s="41"/>
      <c r="M192" s="41"/>
      <c r="N192" s="41"/>
      <c r="O192" s="42"/>
      <c r="P192" s="72">
        <f t="shared" si="201"/>
        <v>15.093749999999998</v>
      </c>
      <c r="Q192" s="42">
        <f t="shared" si="210"/>
        <v>3.7734374999999996</v>
      </c>
      <c r="R192" s="42">
        <f t="shared" si="210"/>
        <v>3.7734374999999996</v>
      </c>
      <c r="S192" s="42">
        <f t="shared" si="210"/>
        <v>3.7734374999999996</v>
      </c>
      <c r="T192" s="42">
        <f t="shared" si="210"/>
        <v>3.7734374999999996</v>
      </c>
      <c r="U192" s="72">
        <f t="shared" si="186"/>
        <v>15.093749999999998</v>
      </c>
      <c r="V192" s="42">
        <f t="shared" si="211"/>
        <v>3.7734374999999996</v>
      </c>
      <c r="W192" s="42">
        <f t="shared" si="211"/>
        <v>3.7734374999999996</v>
      </c>
      <c r="X192" s="42">
        <f t="shared" si="211"/>
        <v>3.7734374999999996</v>
      </c>
      <c r="Y192" s="42">
        <f t="shared" si="211"/>
        <v>3.7734374999999996</v>
      </c>
      <c r="Z192" s="72">
        <f t="shared" si="187"/>
        <v>15.093749999999998</v>
      </c>
      <c r="AA192" s="42">
        <f t="shared" si="212"/>
        <v>3.7734374999999996</v>
      </c>
      <c r="AB192" s="42">
        <f t="shared" si="212"/>
        <v>3.7734374999999996</v>
      </c>
      <c r="AC192" s="42">
        <f t="shared" si="212"/>
        <v>3.7734374999999996</v>
      </c>
      <c r="AD192" s="42">
        <f t="shared" si="212"/>
        <v>3.7734374999999996</v>
      </c>
      <c r="AE192" s="72">
        <f t="shared" si="189"/>
        <v>15.093749999999998</v>
      </c>
      <c r="AF192" s="42">
        <f t="shared" si="213"/>
        <v>3.7734374999999996</v>
      </c>
      <c r="AG192" s="42">
        <f t="shared" si="213"/>
        <v>3.7734374999999996</v>
      </c>
      <c r="AH192" s="42">
        <f t="shared" si="213"/>
        <v>3.7734374999999996</v>
      </c>
      <c r="AI192" s="42">
        <f t="shared" si="213"/>
        <v>3.7734374999999996</v>
      </c>
      <c r="AJ192" s="72">
        <f t="shared" si="190"/>
        <v>15.093749999999998</v>
      </c>
      <c r="AK192" s="42">
        <f t="shared" si="166"/>
        <v>3.7734374999999996</v>
      </c>
      <c r="AL192" s="42">
        <f t="shared" si="167"/>
        <v>3.7734374999999996</v>
      </c>
      <c r="AM192" s="42">
        <f t="shared" si="168"/>
        <v>3.7734374999999996</v>
      </c>
      <c r="AN192" s="42">
        <f t="shared" si="169"/>
        <v>3.7734374999999996</v>
      </c>
      <c r="AO192" s="72">
        <f t="shared" si="191"/>
        <v>15.093749999999998</v>
      </c>
      <c r="AP192" s="42">
        <f t="shared" si="170"/>
        <v>3.7734374999999996</v>
      </c>
      <c r="AQ192" s="42">
        <f t="shared" si="171"/>
        <v>3.7734374999999996</v>
      </c>
      <c r="AR192" s="42">
        <f t="shared" si="172"/>
        <v>3.7734374999999996</v>
      </c>
      <c r="AS192" s="42">
        <f t="shared" si="173"/>
        <v>3.7734374999999996</v>
      </c>
      <c r="AT192" s="72">
        <f t="shared" si="205"/>
        <v>15.093749999999998</v>
      </c>
      <c r="AU192" s="42">
        <f t="shared" si="174"/>
        <v>3.7734374999999996</v>
      </c>
      <c r="AV192" s="42">
        <f t="shared" si="175"/>
        <v>3.7734374999999996</v>
      </c>
      <c r="AW192" s="42">
        <f t="shared" si="176"/>
        <v>3.7734374999999996</v>
      </c>
      <c r="AX192" s="42">
        <f t="shared" si="177"/>
        <v>3.7734374999999996</v>
      </c>
      <c r="AY192" s="72">
        <f t="shared" si="206"/>
        <v>15.093749999999998</v>
      </c>
      <c r="AZ192" s="42">
        <f t="shared" si="178"/>
        <v>3.7734374999999996</v>
      </c>
      <c r="BA192" s="42">
        <f t="shared" si="179"/>
        <v>3.7734374999999996</v>
      </c>
      <c r="BB192" s="42">
        <f t="shared" si="180"/>
        <v>3.7734374999999996</v>
      </c>
      <c r="BC192" s="42">
        <f t="shared" si="181"/>
        <v>3.7734374999999996</v>
      </c>
      <c r="BD192" s="72">
        <f t="shared" si="207"/>
        <v>15.093749999999998</v>
      </c>
      <c r="BE192" s="42">
        <f t="shared" si="182"/>
        <v>3.7734374999999996</v>
      </c>
      <c r="BF192" s="42">
        <f t="shared" si="183"/>
        <v>3.7734374999999996</v>
      </c>
      <c r="BG192" s="42">
        <f t="shared" si="184"/>
        <v>3.7734374999999996</v>
      </c>
      <c r="BH192" s="42">
        <f t="shared" si="185"/>
        <v>3.7734374999999996</v>
      </c>
      <c r="BI192" s="72">
        <f t="shared" si="208"/>
        <v>15.093749999999998</v>
      </c>
    </row>
    <row r="193" spans="1:61" s="26" customFormat="1">
      <c r="A193" s="3" t="s">
        <v>401</v>
      </c>
      <c r="B193" s="41"/>
      <c r="C193" s="41"/>
      <c r="D193" s="41"/>
      <c r="E193" s="42"/>
      <c r="F193" s="43"/>
      <c r="G193" s="41"/>
      <c r="H193" s="41"/>
      <c r="I193" s="41"/>
      <c r="J193" s="42"/>
      <c r="K193" s="43"/>
      <c r="L193" s="41"/>
      <c r="M193" s="41"/>
      <c r="N193" s="41"/>
      <c r="O193" s="42"/>
      <c r="P193" s="72">
        <f t="shared" si="201"/>
        <v>21.7</v>
      </c>
      <c r="Q193" s="42">
        <f t="shared" si="210"/>
        <v>5.4249999999999998</v>
      </c>
      <c r="R193" s="42">
        <f t="shared" si="210"/>
        <v>5.4249999999999998</v>
      </c>
      <c r="S193" s="42">
        <f t="shared" si="210"/>
        <v>5.4249999999999998</v>
      </c>
      <c r="T193" s="42">
        <f t="shared" si="210"/>
        <v>5.4249999999999998</v>
      </c>
      <c r="U193" s="72">
        <f t="shared" si="186"/>
        <v>21.7</v>
      </c>
      <c r="V193" s="42">
        <f t="shared" si="211"/>
        <v>5.4249999999999998</v>
      </c>
      <c r="W193" s="42">
        <f t="shared" si="211"/>
        <v>5.4249999999999998</v>
      </c>
      <c r="X193" s="42">
        <f t="shared" si="211"/>
        <v>5.4249999999999998</v>
      </c>
      <c r="Y193" s="42">
        <f t="shared" si="211"/>
        <v>5.4466562500000002</v>
      </c>
      <c r="Z193" s="72">
        <f t="shared" si="187"/>
        <v>21.721656249999999</v>
      </c>
      <c r="AA193" s="42">
        <f t="shared" si="212"/>
        <v>5.4685312499999998</v>
      </c>
      <c r="AB193" s="42">
        <f t="shared" si="212"/>
        <v>5.46875</v>
      </c>
      <c r="AC193" s="42">
        <f t="shared" si="212"/>
        <v>5.46875</v>
      </c>
      <c r="AD193" s="42">
        <f t="shared" si="212"/>
        <v>5.46875</v>
      </c>
      <c r="AE193" s="72">
        <f t="shared" si="189"/>
        <v>21.874781249999998</v>
      </c>
      <c r="AF193" s="42">
        <f t="shared" si="213"/>
        <v>5.46875</v>
      </c>
      <c r="AG193" s="42">
        <f t="shared" si="213"/>
        <v>5.46875</v>
      </c>
      <c r="AH193" s="42">
        <f t="shared" si="213"/>
        <v>5.46875</v>
      </c>
      <c r="AI193" s="42">
        <f t="shared" si="213"/>
        <v>5.46875</v>
      </c>
      <c r="AJ193" s="72">
        <f t="shared" si="190"/>
        <v>21.875</v>
      </c>
      <c r="AK193" s="42">
        <f t="shared" si="166"/>
        <v>5.46875</v>
      </c>
      <c r="AL193" s="42">
        <f t="shared" si="167"/>
        <v>5.46875</v>
      </c>
      <c r="AM193" s="42">
        <f t="shared" si="168"/>
        <v>5.46875</v>
      </c>
      <c r="AN193" s="42">
        <f t="shared" si="169"/>
        <v>5.46875</v>
      </c>
      <c r="AO193" s="72">
        <f t="shared" si="191"/>
        <v>21.875</v>
      </c>
      <c r="AP193" s="42">
        <f t="shared" si="170"/>
        <v>5.46875</v>
      </c>
      <c r="AQ193" s="42">
        <f t="shared" si="171"/>
        <v>5.46875</v>
      </c>
      <c r="AR193" s="42">
        <f t="shared" si="172"/>
        <v>5.46875</v>
      </c>
      <c r="AS193" s="42">
        <f t="shared" si="173"/>
        <v>5.46875</v>
      </c>
      <c r="AT193" s="72">
        <f t="shared" si="205"/>
        <v>21.875</v>
      </c>
      <c r="AU193" s="42">
        <f t="shared" si="174"/>
        <v>5.46875</v>
      </c>
      <c r="AV193" s="42">
        <f t="shared" si="175"/>
        <v>5.46875</v>
      </c>
      <c r="AW193" s="42">
        <f t="shared" si="176"/>
        <v>5.46875</v>
      </c>
      <c r="AX193" s="42">
        <f t="shared" si="177"/>
        <v>5.46875</v>
      </c>
      <c r="AY193" s="72">
        <f t="shared" si="206"/>
        <v>21.875</v>
      </c>
      <c r="AZ193" s="42">
        <f t="shared" si="178"/>
        <v>5.46875</v>
      </c>
      <c r="BA193" s="42">
        <f t="shared" si="179"/>
        <v>5.46875</v>
      </c>
      <c r="BB193" s="42">
        <f t="shared" si="180"/>
        <v>5.46875</v>
      </c>
      <c r="BC193" s="42">
        <f t="shared" si="181"/>
        <v>5.46875</v>
      </c>
      <c r="BD193" s="72">
        <f t="shared" si="207"/>
        <v>21.875</v>
      </c>
      <c r="BE193" s="42">
        <f t="shared" si="182"/>
        <v>5.46875</v>
      </c>
      <c r="BF193" s="42">
        <f t="shared" si="183"/>
        <v>5.46875</v>
      </c>
      <c r="BG193" s="42">
        <f t="shared" si="184"/>
        <v>5.46875</v>
      </c>
      <c r="BH193" s="42">
        <f t="shared" si="185"/>
        <v>5.46875</v>
      </c>
      <c r="BI193" s="72">
        <f t="shared" si="208"/>
        <v>21.875</v>
      </c>
    </row>
    <row r="194" spans="1:61" s="26" customFormat="1">
      <c r="A194" s="3" t="s">
        <v>402</v>
      </c>
      <c r="B194" s="41"/>
      <c r="C194" s="41"/>
      <c r="D194" s="41"/>
      <c r="E194" s="42"/>
      <c r="F194" s="43"/>
      <c r="G194" s="41"/>
      <c r="H194" s="41"/>
      <c r="I194" s="41"/>
      <c r="J194" s="42"/>
      <c r="K194" s="43"/>
      <c r="L194" s="41"/>
      <c r="M194" s="41"/>
      <c r="N194" s="41"/>
      <c r="O194" s="42"/>
      <c r="P194" s="72">
        <f t="shared" si="201"/>
        <v>34.824999999999996</v>
      </c>
      <c r="Q194" s="42">
        <f t="shared" si="210"/>
        <v>8.7062499999999989</v>
      </c>
      <c r="R194" s="42">
        <f t="shared" si="210"/>
        <v>8.7062499999999989</v>
      </c>
      <c r="S194" s="42">
        <f t="shared" si="210"/>
        <v>8.7062499999999989</v>
      </c>
      <c r="T194" s="42">
        <f t="shared" si="210"/>
        <v>8.7062499999999989</v>
      </c>
      <c r="U194" s="72">
        <f t="shared" si="186"/>
        <v>34.824999999999996</v>
      </c>
      <c r="V194" s="42">
        <f t="shared" si="211"/>
        <v>8.7062499999999989</v>
      </c>
      <c r="W194" s="42">
        <f t="shared" si="211"/>
        <v>8.7062499999999989</v>
      </c>
      <c r="X194" s="42">
        <f t="shared" si="211"/>
        <v>8.7062499999999989</v>
      </c>
      <c r="Y194" s="42">
        <f t="shared" si="211"/>
        <v>8.7277312499999979</v>
      </c>
      <c r="Z194" s="72">
        <f t="shared" si="187"/>
        <v>34.846481249999997</v>
      </c>
      <c r="AA194" s="42">
        <f t="shared" si="212"/>
        <v>8.7496062499999994</v>
      </c>
      <c r="AB194" s="42">
        <f t="shared" si="212"/>
        <v>8.75</v>
      </c>
      <c r="AC194" s="42">
        <f t="shared" si="212"/>
        <v>8.75</v>
      </c>
      <c r="AD194" s="42">
        <f t="shared" si="212"/>
        <v>8.75</v>
      </c>
      <c r="AE194" s="72">
        <f t="shared" si="189"/>
        <v>34.999606249999999</v>
      </c>
      <c r="AF194" s="42">
        <f t="shared" si="213"/>
        <v>8.75</v>
      </c>
      <c r="AG194" s="42">
        <f t="shared" si="213"/>
        <v>8.75</v>
      </c>
      <c r="AH194" s="42">
        <f t="shared" si="213"/>
        <v>4.375</v>
      </c>
      <c r="AI194" s="42">
        <f t="shared" si="213"/>
        <v>0</v>
      </c>
      <c r="AJ194" s="72">
        <f t="shared" si="190"/>
        <v>21.875</v>
      </c>
      <c r="AK194" s="42">
        <f t="shared" si="166"/>
        <v>0</v>
      </c>
      <c r="AL194" s="42">
        <f t="shared" si="167"/>
        <v>0</v>
      </c>
      <c r="AM194" s="42">
        <f t="shared" si="168"/>
        <v>0</v>
      </c>
      <c r="AN194" s="42">
        <f t="shared" si="169"/>
        <v>0</v>
      </c>
      <c r="AO194" s="72">
        <f t="shared" si="191"/>
        <v>0</v>
      </c>
      <c r="AP194" s="42">
        <f t="shared" si="170"/>
        <v>0</v>
      </c>
      <c r="AQ194" s="42">
        <f t="shared" si="171"/>
        <v>0</v>
      </c>
      <c r="AR194" s="42">
        <f t="shared" si="172"/>
        <v>0</v>
      </c>
      <c r="AS194" s="42">
        <f t="shared" si="173"/>
        <v>0</v>
      </c>
      <c r="AT194" s="72">
        <f t="shared" si="205"/>
        <v>0</v>
      </c>
      <c r="AU194" s="42">
        <f t="shared" si="174"/>
        <v>0</v>
      </c>
      <c r="AV194" s="42">
        <f t="shared" si="175"/>
        <v>0</v>
      </c>
      <c r="AW194" s="42">
        <f t="shared" si="176"/>
        <v>0</v>
      </c>
      <c r="AX194" s="42">
        <f t="shared" si="177"/>
        <v>0</v>
      </c>
      <c r="AY194" s="72">
        <f t="shared" si="206"/>
        <v>0</v>
      </c>
      <c r="AZ194" s="42">
        <f t="shared" si="178"/>
        <v>0</v>
      </c>
      <c r="BA194" s="42">
        <f t="shared" si="179"/>
        <v>0</v>
      </c>
      <c r="BB194" s="42">
        <f t="shared" si="180"/>
        <v>0</v>
      </c>
      <c r="BC194" s="42">
        <f t="shared" si="181"/>
        <v>0</v>
      </c>
      <c r="BD194" s="72">
        <f t="shared" si="207"/>
        <v>0</v>
      </c>
      <c r="BE194" s="42">
        <f t="shared" si="182"/>
        <v>0</v>
      </c>
      <c r="BF194" s="42">
        <f t="shared" si="183"/>
        <v>0</v>
      </c>
      <c r="BG194" s="42">
        <f t="shared" si="184"/>
        <v>0</v>
      </c>
      <c r="BH194" s="42">
        <f t="shared" si="185"/>
        <v>0</v>
      </c>
      <c r="BI194" s="72">
        <f t="shared" si="208"/>
        <v>0</v>
      </c>
    </row>
    <row r="195" spans="1:61" s="26" customFormat="1">
      <c r="A195" s="3" t="s">
        <v>403</v>
      </c>
      <c r="B195" s="41"/>
      <c r="C195" s="41"/>
      <c r="D195" s="41"/>
      <c r="E195" s="42"/>
      <c r="F195" s="43"/>
      <c r="G195" s="41"/>
      <c r="H195" s="41"/>
      <c r="I195" s="41"/>
      <c r="J195" s="42"/>
      <c r="K195" s="43"/>
      <c r="L195" s="41"/>
      <c r="M195" s="41"/>
      <c r="N195" s="41"/>
      <c r="O195" s="42"/>
      <c r="P195" s="72">
        <f t="shared" si="201"/>
        <v>0</v>
      </c>
      <c r="Q195" s="42">
        <f t="shared" si="210"/>
        <v>0</v>
      </c>
      <c r="R195" s="42">
        <f t="shared" si="210"/>
        <v>0</v>
      </c>
      <c r="S195" s="42">
        <f t="shared" si="210"/>
        <v>0</v>
      </c>
      <c r="T195" s="42">
        <f t="shared" si="210"/>
        <v>0</v>
      </c>
      <c r="U195" s="72">
        <f t="shared" si="186"/>
        <v>0</v>
      </c>
      <c r="V195" s="42">
        <f t="shared" si="211"/>
        <v>0</v>
      </c>
      <c r="W195" s="42">
        <f t="shared" si="211"/>
        <v>0</v>
      </c>
      <c r="X195" s="42">
        <f t="shared" si="211"/>
        <v>0</v>
      </c>
      <c r="Y195" s="42">
        <f t="shared" si="211"/>
        <v>0</v>
      </c>
      <c r="Z195" s="72">
        <f t="shared" si="187"/>
        <v>0</v>
      </c>
      <c r="AA195" s="42">
        <f t="shared" si="212"/>
        <v>43.784927083333336</v>
      </c>
      <c r="AB195" s="42">
        <f t="shared" si="212"/>
        <v>55.503457916666662</v>
      </c>
      <c r="AC195" s="42">
        <f t="shared" si="212"/>
        <v>55.503457916666662</v>
      </c>
      <c r="AD195" s="42">
        <f t="shared" si="212"/>
        <v>55.503457916666662</v>
      </c>
      <c r="AE195" s="72">
        <f t="shared" si="189"/>
        <v>210.29530083333333</v>
      </c>
      <c r="AF195" s="42">
        <f t="shared" si="213"/>
        <v>40.898646452083327</v>
      </c>
      <c r="AG195" s="42">
        <f t="shared" si="213"/>
        <v>9.1386179624999997</v>
      </c>
      <c r="AH195" s="42">
        <f t="shared" si="213"/>
        <v>0</v>
      </c>
      <c r="AI195" s="42">
        <f t="shared" si="213"/>
        <v>0</v>
      </c>
      <c r="AJ195" s="72">
        <f t="shared" si="190"/>
        <v>50.037264414583326</v>
      </c>
      <c r="AK195" s="42">
        <f t="shared" si="166"/>
        <v>0</v>
      </c>
      <c r="AL195" s="42">
        <f t="shared" si="167"/>
        <v>0</v>
      </c>
      <c r="AM195" s="42">
        <f t="shared" si="168"/>
        <v>0</v>
      </c>
      <c r="AN195" s="42">
        <f t="shared" si="169"/>
        <v>0</v>
      </c>
      <c r="AO195" s="72">
        <f t="shared" si="191"/>
        <v>0</v>
      </c>
      <c r="AP195" s="42">
        <f t="shared" si="170"/>
        <v>0</v>
      </c>
      <c r="AQ195" s="42">
        <f t="shared" si="171"/>
        <v>0</v>
      </c>
      <c r="AR195" s="42">
        <f t="shared" si="172"/>
        <v>0</v>
      </c>
      <c r="AS195" s="42">
        <f t="shared" si="173"/>
        <v>0</v>
      </c>
      <c r="AT195" s="72">
        <f t="shared" si="205"/>
        <v>0</v>
      </c>
      <c r="AU195" s="42">
        <f t="shared" si="174"/>
        <v>0</v>
      </c>
      <c r="AV195" s="42">
        <f t="shared" si="175"/>
        <v>0</v>
      </c>
      <c r="AW195" s="42">
        <f t="shared" si="176"/>
        <v>0</v>
      </c>
      <c r="AX195" s="42">
        <f t="shared" si="177"/>
        <v>0</v>
      </c>
      <c r="AY195" s="72">
        <f t="shared" si="206"/>
        <v>0</v>
      </c>
      <c r="AZ195" s="42">
        <f t="shared" si="178"/>
        <v>0</v>
      </c>
      <c r="BA195" s="42">
        <f t="shared" si="179"/>
        <v>0</v>
      </c>
      <c r="BB195" s="42">
        <f t="shared" si="180"/>
        <v>0</v>
      </c>
      <c r="BC195" s="42">
        <f t="shared" si="181"/>
        <v>0</v>
      </c>
      <c r="BD195" s="72">
        <f t="shared" si="207"/>
        <v>0</v>
      </c>
      <c r="BE195" s="42">
        <f t="shared" si="182"/>
        <v>0</v>
      </c>
      <c r="BF195" s="42">
        <f t="shared" si="183"/>
        <v>0</v>
      </c>
      <c r="BG195" s="42">
        <f t="shared" si="184"/>
        <v>0</v>
      </c>
      <c r="BH195" s="42">
        <f t="shared" si="185"/>
        <v>0</v>
      </c>
      <c r="BI195" s="72">
        <f t="shared" si="208"/>
        <v>0</v>
      </c>
    </row>
    <row r="196" spans="1:61" s="26" customFormat="1">
      <c r="A196" s="3" t="s">
        <v>228</v>
      </c>
      <c r="B196" s="41"/>
      <c r="C196" s="41"/>
      <c r="D196" s="41"/>
      <c r="E196" s="42"/>
      <c r="F196" s="43"/>
      <c r="G196" s="41"/>
      <c r="H196" s="41"/>
      <c r="I196" s="41"/>
      <c r="J196" s="42"/>
      <c r="K196" s="43"/>
      <c r="L196" s="41"/>
      <c r="M196" s="41"/>
      <c r="N196" s="41"/>
      <c r="O196" s="42"/>
      <c r="P196" s="72">
        <f t="shared" si="201"/>
        <v>12</v>
      </c>
      <c r="Q196" s="42">
        <f t="shared" si="210"/>
        <v>3</v>
      </c>
      <c r="R196" s="42">
        <f t="shared" si="210"/>
        <v>3</v>
      </c>
      <c r="S196" s="42">
        <f t="shared" si="210"/>
        <v>3</v>
      </c>
      <c r="T196" s="42">
        <f t="shared" si="210"/>
        <v>6.2374999999999998</v>
      </c>
      <c r="U196" s="72">
        <f t="shared" si="186"/>
        <v>15.237500000000001</v>
      </c>
      <c r="V196" s="42">
        <f t="shared" si="211"/>
        <v>9.7174999999999994</v>
      </c>
      <c r="W196" s="42">
        <f t="shared" si="211"/>
        <v>12.4475</v>
      </c>
      <c r="X196" s="42">
        <f t="shared" si="211"/>
        <v>14.942500000000001</v>
      </c>
      <c r="Y196" s="42">
        <f t="shared" si="211"/>
        <v>22.747499999999999</v>
      </c>
      <c r="Z196" s="72">
        <f t="shared" si="187"/>
        <v>59.855000000000004</v>
      </c>
      <c r="AA196" s="42">
        <f t="shared" si="212"/>
        <v>27.022500000000001</v>
      </c>
      <c r="AB196" s="42">
        <f t="shared" si="212"/>
        <v>17.75</v>
      </c>
      <c r="AC196" s="42">
        <f t="shared" si="212"/>
        <v>6.25</v>
      </c>
      <c r="AD196" s="42">
        <f t="shared" si="212"/>
        <v>-4.25</v>
      </c>
      <c r="AE196" s="72">
        <f t="shared" si="189"/>
        <v>46.772500000000001</v>
      </c>
      <c r="AF196" s="42">
        <f t="shared" si="213"/>
        <v>-4.5</v>
      </c>
      <c r="AG196" s="42">
        <f t="shared" si="213"/>
        <v>0</v>
      </c>
      <c r="AH196" s="42">
        <f t="shared" si="213"/>
        <v>0</v>
      </c>
      <c r="AI196" s="42">
        <f t="shared" si="213"/>
        <v>0</v>
      </c>
      <c r="AJ196" s="72">
        <f t="shared" si="190"/>
        <v>-4.5</v>
      </c>
      <c r="AK196" s="42">
        <f t="shared" si="166"/>
        <v>0</v>
      </c>
      <c r="AL196" s="42">
        <f t="shared" si="167"/>
        <v>0</v>
      </c>
      <c r="AM196" s="42">
        <f t="shared" si="168"/>
        <v>0</v>
      </c>
      <c r="AN196" s="42">
        <f t="shared" si="169"/>
        <v>0</v>
      </c>
      <c r="AO196" s="72">
        <f t="shared" si="191"/>
        <v>0</v>
      </c>
      <c r="AP196" s="42">
        <f t="shared" si="170"/>
        <v>0</v>
      </c>
      <c r="AQ196" s="42">
        <f t="shared" si="171"/>
        <v>0</v>
      </c>
      <c r="AR196" s="42">
        <f t="shared" si="172"/>
        <v>0</v>
      </c>
      <c r="AS196" s="42">
        <f t="shared" si="173"/>
        <v>0</v>
      </c>
      <c r="AT196" s="72">
        <f t="shared" si="205"/>
        <v>0</v>
      </c>
      <c r="AU196" s="42">
        <f t="shared" si="174"/>
        <v>0</v>
      </c>
      <c r="AV196" s="42">
        <f t="shared" si="175"/>
        <v>0</v>
      </c>
      <c r="AW196" s="42">
        <f t="shared" si="176"/>
        <v>0</v>
      </c>
      <c r="AX196" s="42">
        <f t="shared" si="177"/>
        <v>0</v>
      </c>
      <c r="AY196" s="72">
        <f t="shared" si="206"/>
        <v>0</v>
      </c>
      <c r="AZ196" s="42">
        <f t="shared" si="178"/>
        <v>0</v>
      </c>
      <c r="BA196" s="42">
        <f t="shared" si="179"/>
        <v>0</v>
      </c>
      <c r="BB196" s="42">
        <f t="shared" si="180"/>
        <v>0</v>
      </c>
      <c r="BC196" s="42">
        <f t="shared" si="181"/>
        <v>0</v>
      </c>
      <c r="BD196" s="72">
        <f t="shared" si="207"/>
        <v>0</v>
      </c>
      <c r="BE196" s="42">
        <f t="shared" si="182"/>
        <v>0</v>
      </c>
      <c r="BF196" s="42">
        <f t="shared" si="183"/>
        <v>0</v>
      </c>
      <c r="BG196" s="42">
        <f t="shared" si="184"/>
        <v>0</v>
      </c>
      <c r="BH196" s="42">
        <f t="shared" si="185"/>
        <v>0</v>
      </c>
      <c r="BI196" s="72">
        <f t="shared" si="208"/>
        <v>0</v>
      </c>
    </row>
    <row r="197" spans="1:61" s="26" customFormat="1">
      <c r="A197" s="3" t="s">
        <v>404</v>
      </c>
      <c r="B197" s="41"/>
      <c r="C197" s="41"/>
      <c r="D197" s="41"/>
      <c r="E197" s="42"/>
      <c r="F197" s="43"/>
      <c r="G197" s="41"/>
      <c r="H197" s="41"/>
      <c r="I197" s="41"/>
      <c r="J197" s="42"/>
      <c r="K197" s="43"/>
      <c r="L197" s="41"/>
      <c r="M197" s="41"/>
      <c r="N197" s="41"/>
      <c r="O197" s="42"/>
      <c r="P197" s="72">
        <f t="shared" si="201"/>
        <v>6.7492000000000001</v>
      </c>
      <c r="Q197" s="42">
        <f t="shared" si="210"/>
        <v>1.6403000000000001</v>
      </c>
      <c r="R197" s="42">
        <f t="shared" si="210"/>
        <v>1.6403000000000001</v>
      </c>
      <c r="S197" s="42">
        <f t="shared" si="210"/>
        <v>1.6403000000000001</v>
      </c>
      <c r="T197" s="42">
        <f t="shared" si="210"/>
        <v>1.3611</v>
      </c>
      <c r="U197" s="72">
        <f t="shared" si="186"/>
        <v>6.282</v>
      </c>
      <c r="V197" s="42">
        <f t="shared" si="211"/>
        <v>1.0819000000000001</v>
      </c>
      <c r="W197" s="42">
        <f t="shared" si="211"/>
        <v>1.0819000000000001</v>
      </c>
      <c r="X197" s="42">
        <f t="shared" si="211"/>
        <v>1.0819000000000001</v>
      </c>
      <c r="Y197" s="42">
        <f t="shared" si="211"/>
        <v>0.86377499999999996</v>
      </c>
      <c r="Z197" s="72">
        <f t="shared" si="187"/>
        <v>4.1094749999999998</v>
      </c>
      <c r="AA197" s="42">
        <f t="shared" si="212"/>
        <v>0.64565000000000006</v>
      </c>
      <c r="AB197" s="42">
        <f t="shared" si="212"/>
        <v>0.64565000000000006</v>
      </c>
      <c r="AC197" s="42">
        <f t="shared" si="212"/>
        <v>0.64565000000000006</v>
      </c>
      <c r="AD197" s="42">
        <f t="shared" si="212"/>
        <v>0.64565000000000006</v>
      </c>
      <c r="AE197" s="72">
        <f t="shared" si="189"/>
        <v>2.5826000000000002</v>
      </c>
      <c r="AF197" s="42">
        <f t="shared" si="213"/>
        <v>0.64565000000000006</v>
      </c>
      <c r="AG197" s="42">
        <f t="shared" si="213"/>
        <v>0.64565000000000006</v>
      </c>
      <c r="AH197" s="42">
        <f t="shared" si="213"/>
        <v>0.64565000000000006</v>
      </c>
      <c r="AI197" s="42">
        <f t="shared" si="213"/>
        <v>0.32282500000000003</v>
      </c>
      <c r="AJ197" s="72">
        <f t="shared" si="190"/>
        <v>2.2597750000000003</v>
      </c>
      <c r="AK197" s="42">
        <f t="shared" si="166"/>
        <v>0</v>
      </c>
      <c r="AL197" s="42">
        <f t="shared" si="167"/>
        <v>0</v>
      </c>
      <c r="AM197" s="42">
        <f t="shared" si="168"/>
        <v>0</v>
      </c>
      <c r="AN197" s="42">
        <f t="shared" si="169"/>
        <v>0</v>
      </c>
      <c r="AO197" s="72">
        <f t="shared" si="191"/>
        <v>0</v>
      </c>
      <c r="AP197" s="42">
        <f t="shared" si="170"/>
        <v>0</v>
      </c>
      <c r="AQ197" s="42">
        <f t="shared" si="171"/>
        <v>0</v>
      </c>
      <c r="AR197" s="42">
        <f t="shared" si="172"/>
        <v>0</v>
      </c>
      <c r="AS197" s="42">
        <f t="shared" si="173"/>
        <v>0</v>
      </c>
      <c r="AT197" s="72">
        <f t="shared" si="205"/>
        <v>0</v>
      </c>
      <c r="AU197" s="42">
        <f t="shared" si="174"/>
        <v>0</v>
      </c>
      <c r="AV197" s="42">
        <f t="shared" si="175"/>
        <v>0</v>
      </c>
      <c r="AW197" s="42">
        <f t="shared" si="176"/>
        <v>0</v>
      </c>
      <c r="AX197" s="42">
        <f t="shared" si="177"/>
        <v>0</v>
      </c>
      <c r="AY197" s="72">
        <f t="shared" si="206"/>
        <v>0</v>
      </c>
      <c r="AZ197" s="42">
        <f t="shared" si="178"/>
        <v>0</v>
      </c>
      <c r="BA197" s="42">
        <f t="shared" si="179"/>
        <v>0</v>
      </c>
      <c r="BB197" s="42">
        <f t="shared" si="180"/>
        <v>0</v>
      </c>
      <c r="BC197" s="42">
        <f t="shared" si="181"/>
        <v>0</v>
      </c>
      <c r="BD197" s="72">
        <f t="shared" si="207"/>
        <v>0</v>
      </c>
      <c r="BE197" s="42">
        <f t="shared" si="182"/>
        <v>0</v>
      </c>
      <c r="BF197" s="42">
        <f t="shared" si="183"/>
        <v>0</v>
      </c>
      <c r="BG197" s="42">
        <f t="shared" si="184"/>
        <v>0</v>
      </c>
      <c r="BH197" s="42">
        <f t="shared" si="185"/>
        <v>0</v>
      </c>
      <c r="BI197" s="72">
        <f t="shared" si="208"/>
        <v>0</v>
      </c>
    </row>
    <row r="198" spans="1:61" s="26" customFormat="1">
      <c r="A198" s="3" t="s">
        <v>405</v>
      </c>
      <c r="B198" s="41"/>
      <c r="C198" s="41"/>
      <c r="D198" s="41"/>
      <c r="E198" s="42"/>
      <c r="F198" s="43"/>
      <c r="G198" s="41"/>
      <c r="H198" s="41"/>
      <c r="I198" s="41"/>
      <c r="J198" s="42"/>
      <c r="K198" s="43"/>
      <c r="L198" s="41"/>
      <c r="M198" s="41"/>
      <c r="N198" s="41"/>
      <c r="O198" s="42"/>
      <c r="P198" s="72">
        <f t="shared" si="201"/>
        <v>6.21</v>
      </c>
      <c r="Q198" s="42">
        <f t="shared" si="210"/>
        <v>1.5525</v>
      </c>
      <c r="R198" s="42">
        <f t="shared" si="210"/>
        <v>1.5525</v>
      </c>
      <c r="S198" s="42">
        <f t="shared" si="210"/>
        <v>1.5525</v>
      </c>
      <c r="T198" s="42">
        <f t="shared" si="210"/>
        <v>1.6537499999999998</v>
      </c>
      <c r="U198" s="72">
        <f t="shared" si="186"/>
        <v>6.3112499999999994</v>
      </c>
      <c r="V198" s="42">
        <f t="shared" si="211"/>
        <v>1.7549999999999999</v>
      </c>
      <c r="W198" s="42">
        <f t="shared" si="211"/>
        <v>1.7549999999999999</v>
      </c>
      <c r="X198" s="42">
        <f t="shared" si="211"/>
        <v>1.7549999999999999</v>
      </c>
      <c r="Y198" s="42">
        <f t="shared" si="211"/>
        <v>2.1656249999999999</v>
      </c>
      <c r="Z198" s="72">
        <f t="shared" si="187"/>
        <v>7.4306249999999991</v>
      </c>
      <c r="AA198" s="42">
        <f t="shared" si="212"/>
        <v>2.5762499999999999</v>
      </c>
      <c r="AB198" s="42">
        <f t="shared" si="212"/>
        <v>2.5762499999999999</v>
      </c>
      <c r="AC198" s="42">
        <f t="shared" si="212"/>
        <v>2.5762499999999999</v>
      </c>
      <c r="AD198" s="42">
        <f t="shared" si="212"/>
        <v>2.5762499999999999</v>
      </c>
      <c r="AE198" s="72">
        <f t="shared" si="189"/>
        <v>10.305</v>
      </c>
      <c r="AF198" s="42">
        <f t="shared" si="213"/>
        <v>2.5762499999999999</v>
      </c>
      <c r="AG198" s="42">
        <f t="shared" si="213"/>
        <v>2.5762499999999999</v>
      </c>
      <c r="AH198" s="42">
        <f t="shared" si="213"/>
        <v>2.5762499999999999</v>
      </c>
      <c r="AI198" s="42">
        <f t="shared" si="213"/>
        <v>2.5762499999999999</v>
      </c>
      <c r="AJ198" s="72">
        <f t="shared" si="190"/>
        <v>10.305</v>
      </c>
      <c r="AK198" s="42">
        <f t="shared" si="166"/>
        <v>2.5762499999999999</v>
      </c>
      <c r="AL198" s="42">
        <f t="shared" si="167"/>
        <v>2.5762499999999999</v>
      </c>
      <c r="AM198" s="42">
        <f t="shared" si="168"/>
        <v>2.5762499999999999</v>
      </c>
      <c r="AN198" s="42">
        <f t="shared" si="169"/>
        <v>2.5762499999999999</v>
      </c>
      <c r="AO198" s="72">
        <f t="shared" si="191"/>
        <v>10.305</v>
      </c>
      <c r="AP198" s="42">
        <f t="shared" si="170"/>
        <v>2.5762499999999999</v>
      </c>
      <c r="AQ198" s="42">
        <f t="shared" si="171"/>
        <v>2.5762499999999999</v>
      </c>
      <c r="AR198" s="42">
        <f t="shared" si="172"/>
        <v>2.5762499999999999</v>
      </c>
      <c r="AS198" s="42">
        <f t="shared" si="173"/>
        <v>2.5762499999999999</v>
      </c>
      <c r="AT198" s="72">
        <f t="shared" si="205"/>
        <v>10.305</v>
      </c>
      <c r="AU198" s="42">
        <f t="shared" si="174"/>
        <v>2.5762499999999999</v>
      </c>
      <c r="AV198" s="42">
        <f t="shared" si="175"/>
        <v>2.5762499999999999</v>
      </c>
      <c r="AW198" s="42">
        <f t="shared" si="176"/>
        <v>2.5762499999999999</v>
      </c>
      <c r="AX198" s="42">
        <f t="shared" si="177"/>
        <v>2.5762499999999999</v>
      </c>
      <c r="AY198" s="72">
        <f t="shared" si="206"/>
        <v>10.305</v>
      </c>
      <c r="AZ198" s="42">
        <f t="shared" si="178"/>
        <v>2.5762499999999999</v>
      </c>
      <c r="BA198" s="42">
        <f t="shared" si="179"/>
        <v>2.5762499999999999</v>
      </c>
      <c r="BB198" s="42">
        <f t="shared" si="180"/>
        <v>2.5762499999999999</v>
      </c>
      <c r="BC198" s="42">
        <f t="shared" si="181"/>
        <v>2.5762499999999999</v>
      </c>
      <c r="BD198" s="72">
        <f t="shared" si="207"/>
        <v>10.305</v>
      </c>
      <c r="BE198" s="42">
        <f t="shared" si="182"/>
        <v>2.5762499999999999</v>
      </c>
      <c r="BF198" s="42">
        <f t="shared" si="183"/>
        <v>2.5762499999999999</v>
      </c>
      <c r="BG198" s="42">
        <f t="shared" si="184"/>
        <v>2.5762499999999999</v>
      </c>
      <c r="BH198" s="42">
        <f t="shared" si="185"/>
        <v>2.5762499999999999</v>
      </c>
      <c r="BI198" s="72">
        <f t="shared" si="208"/>
        <v>10.305</v>
      </c>
    </row>
    <row r="199" spans="1:61" s="26" customFormat="1">
      <c r="A199" s="3" t="s">
        <v>226</v>
      </c>
      <c r="B199" s="41"/>
      <c r="C199" s="41"/>
      <c r="D199" s="41"/>
      <c r="E199" s="42"/>
      <c r="F199" s="43"/>
      <c r="G199" s="41"/>
      <c r="H199" s="41"/>
      <c r="I199" s="41"/>
      <c r="J199" s="42"/>
      <c r="K199" s="43"/>
      <c r="L199" s="41"/>
      <c r="M199" s="41"/>
      <c r="N199" s="41"/>
      <c r="O199" s="42"/>
      <c r="P199" s="72">
        <f t="shared" si="201"/>
        <v>2.7</v>
      </c>
      <c r="Q199" s="42">
        <f t="shared" ref="Q199:T200" si="214">+AVERAGE(Q63,P63)*Q134/4</f>
        <v>0.67500000000000004</v>
      </c>
      <c r="R199" s="42">
        <f t="shared" si="214"/>
        <v>0.67500000000000004</v>
      </c>
      <c r="S199" s="42">
        <f t="shared" si="214"/>
        <v>0.67500000000000004</v>
      </c>
      <c r="T199" s="42">
        <f t="shared" si="214"/>
        <v>0.76250000000000007</v>
      </c>
      <c r="U199" s="72">
        <f t="shared" si="186"/>
        <v>2.7875000000000005</v>
      </c>
      <c r="V199" s="42">
        <f t="shared" ref="V199:Y200" si="215">+AVERAGE(V63,U63)*V134/4</f>
        <v>0.85</v>
      </c>
      <c r="W199" s="42">
        <f t="shared" si="215"/>
        <v>0.85</v>
      </c>
      <c r="X199" s="42">
        <f t="shared" si="215"/>
        <v>0.85</v>
      </c>
      <c r="Y199" s="42">
        <f t="shared" si="215"/>
        <v>0.78500000000000003</v>
      </c>
      <c r="Z199" s="72">
        <f t="shared" si="187"/>
        <v>3.335</v>
      </c>
      <c r="AA199" s="42">
        <f t="shared" ref="AA199:AD200" si="216">+AVERAGE(AA63,Z63)*AA134/4</f>
        <v>0.72</v>
      </c>
      <c r="AB199" s="42">
        <f t="shared" si="216"/>
        <v>0.72</v>
      </c>
      <c r="AC199" s="42">
        <f t="shared" si="216"/>
        <v>0.72</v>
      </c>
      <c r="AD199" s="42">
        <f t="shared" si="216"/>
        <v>0.72</v>
      </c>
      <c r="AE199" s="72">
        <f t="shared" si="189"/>
        <v>2.88</v>
      </c>
      <c r="AF199" s="42">
        <f t="shared" si="213"/>
        <v>0.72</v>
      </c>
      <c r="AG199" s="42">
        <f t="shared" si="213"/>
        <v>0.72</v>
      </c>
      <c r="AH199" s="42">
        <f t="shared" si="213"/>
        <v>0.72</v>
      </c>
      <c r="AI199" s="42">
        <f t="shared" si="213"/>
        <v>0.72</v>
      </c>
      <c r="AJ199" s="72">
        <f t="shared" si="190"/>
        <v>2.88</v>
      </c>
      <c r="AK199" s="42">
        <f t="shared" si="166"/>
        <v>0.72</v>
      </c>
      <c r="AL199" s="42">
        <f t="shared" si="167"/>
        <v>0.72</v>
      </c>
      <c r="AM199" s="42">
        <f t="shared" si="168"/>
        <v>0.72</v>
      </c>
      <c r="AN199" s="42">
        <f t="shared" si="169"/>
        <v>0.72</v>
      </c>
      <c r="AO199" s="72">
        <f t="shared" si="191"/>
        <v>2.88</v>
      </c>
      <c r="AP199" s="42">
        <f t="shared" si="170"/>
        <v>0.72</v>
      </c>
      <c r="AQ199" s="42">
        <f t="shared" si="171"/>
        <v>0.72</v>
      </c>
      <c r="AR199" s="42">
        <f t="shared" si="172"/>
        <v>0.72</v>
      </c>
      <c r="AS199" s="42">
        <f t="shared" si="173"/>
        <v>0.72</v>
      </c>
      <c r="AT199" s="72">
        <f t="shared" si="205"/>
        <v>2.88</v>
      </c>
      <c r="AU199" s="42">
        <f t="shared" si="174"/>
        <v>0.72</v>
      </c>
      <c r="AV199" s="42">
        <f t="shared" si="175"/>
        <v>0.72</v>
      </c>
      <c r="AW199" s="42">
        <f t="shared" si="176"/>
        <v>0.72</v>
      </c>
      <c r="AX199" s="42">
        <f t="shared" si="177"/>
        <v>0.72</v>
      </c>
      <c r="AY199" s="72">
        <f t="shared" si="206"/>
        <v>2.88</v>
      </c>
      <c r="AZ199" s="42">
        <f t="shared" si="178"/>
        <v>0.72</v>
      </c>
      <c r="BA199" s="42">
        <f t="shared" si="179"/>
        <v>0.72</v>
      </c>
      <c r="BB199" s="42">
        <f t="shared" si="180"/>
        <v>0.72</v>
      </c>
      <c r="BC199" s="42">
        <f t="shared" si="181"/>
        <v>0.72</v>
      </c>
      <c r="BD199" s="72">
        <f t="shared" si="207"/>
        <v>2.88</v>
      </c>
      <c r="BE199" s="42">
        <f t="shared" si="182"/>
        <v>0.72</v>
      </c>
      <c r="BF199" s="42">
        <f t="shared" si="183"/>
        <v>0.72</v>
      </c>
      <c r="BG199" s="42">
        <f t="shared" si="184"/>
        <v>0.72</v>
      </c>
      <c r="BH199" s="42">
        <f t="shared" si="185"/>
        <v>0.72</v>
      </c>
      <c r="BI199" s="72">
        <f t="shared" si="208"/>
        <v>2.88</v>
      </c>
    </row>
    <row r="200" spans="1:61" s="26" customFormat="1">
      <c r="A200" s="3" t="s">
        <v>227</v>
      </c>
      <c r="B200" s="41"/>
      <c r="C200" s="41"/>
      <c r="D200" s="41"/>
      <c r="E200" s="42"/>
      <c r="F200" s="43"/>
      <c r="G200" s="41"/>
      <c r="H200" s="41"/>
      <c r="I200" s="41"/>
      <c r="J200" s="42"/>
      <c r="K200" s="43"/>
      <c r="L200" s="41"/>
      <c r="M200" s="41"/>
      <c r="N200" s="41"/>
      <c r="O200" s="42"/>
      <c r="P200" s="72">
        <f t="shared" si="201"/>
        <v>0</v>
      </c>
      <c r="Q200" s="42">
        <f t="shared" si="214"/>
        <v>0</v>
      </c>
      <c r="R200" s="42">
        <f t="shared" si="214"/>
        <v>0</v>
      </c>
      <c r="S200" s="42">
        <f t="shared" si="214"/>
        <v>0</v>
      </c>
      <c r="T200" s="42">
        <f t="shared" si="214"/>
        <v>0</v>
      </c>
      <c r="U200" s="72">
        <f t="shared" si="186"/>
        <v>0</v>
      </c>
      <c r="V200" s="42">
        <f t="shared" si="215"/>
        <v>0</v>
      </c>
      <c r="W200" s="42">
        <f t="shared" si="215"/>
        <v>0</v>
      </c>
      <c r="X200" s="42">
        <f t="shared" si="215"/>
        <v>0</v>
      </c>
      <c r="Y200" s="42">
        <f t="shared" si="215"/>
        <v>0</v>
      </c>
      <c r="Z200" s="72">
        <f t="shared" si="187"/>
        <v>0</v>
      </c>
      <c r="AA200" s="42">
        <f t="shared" si="216"/>
        <v>0</v>
      </c>
      <c r="AB200" s="42">
        <f t="shared" si="216"/>
        <v>171.875</v>
      </c>
      <c r="AC200" s="42">
        <f t="shared" si="216"/>
        <v>343.75</v>
      </c>
      <c r="AD200" s="42">
        <f t="shared" si="216"/>
        <v>359.21875</v>
      </c>
      <c r="AE200" s="72">
        <f t="shared" si="189"/>
        <v>874.84375</v>
      </c>
      <c r="AF200" s="42">
        <f>+AVERAGE(AF64,AE64)*AF135/4</f>
        <v>374.6875</v>
      </c>
      <c r="AG200" s="42">
        <f>+AVERAGE(AG64,AF64)*AG135/4</f>
        <v>374.6875</v>
      </c>
      <c r="AH200" s="42">
        <f>+AVERAGE(AH64,AG64)*AH135/4</f>
        <v>382.59375</v>
      </c>
      <c r="AI200" s="42">
        <f>+AVERAGE(AI64,AH64)*AI135/4</f>
        <v>392.81687499999998</v>
      </c>
      <c r="AJ200" s="72">
        <f>SUM(AF200:AI200)</f>
        <v>1524.785625</v>
      </c>
      <c r="AK200" s="42">
        <f t="shared" si="166"/>
        <v>359.64837500000004</v>
      </c>
      <c r="AL200" s="42">
        <f t="shared" si="166"/>
        <v>356.49212500000004</v>
      </c>
      <c r="AM200" s="42">
        <f t="shared" si="168"/>
        <v>356.49212500000004</v>
      </c>
      <c r="AN200" s="42">
        <f t="shared" si="169"/>
        <v>356.49212500000004</v>
      </c>
      <c r="AO200" s="72">
        <f>SUM(AK200:AN200)</f>
        <v>1429.1247500000002</v>
      </c>
      <c r="AP200" s="42">
        <f>+AVERAGE(AP64,AO64)*AP135/4</f>
        <v>340.71087500000004</v>
      </c>
      <c r="AQ200" s="42">
        <f t="shared" si="171"/>
        <v>328.14675</v>
      </c>
      <c r="AR200" s="42">
        <f t="shared" si="172"/>
        <v>328.14675</v>
      </c>
      <c r="AS200" s="42">
        <f t="shared" si="173"/>
        <v>328.14675</v>
      </c>
      <c r="AT200" s="72">
        <f>SUM(AP200:AS200)</f>
        <v>1325.1511250000001</v>
      </c>
      <c r="AU200" s="42">
        <f t="shared" si="174"/>
        <v>321.77175</v>
      </c>
      <c r="AV200" s="42">
        <f t="shared" si="175"/>
        <v>483.22624999999999</v>
      </c>
      <c r="AW200" s="42">
        <f t="shared" si="176"/>
        <v>564.47625000000005</v>
      </c>
      <c r="AX200" s="42">
        <f t="shared" si="177"/>
        <v>564.47625000000005</v>
      </c>
      <c r="AY200" s="72">
        <f>SUM(AU200:AX200)</f>
        <v>1933.9505000000004</v>
      </c>
      <c r="AZ200" s="42">
        <f t="shared" si="178"/>
        <v>540.8125</v>
      </c>
      <c r="BA200" s="42">
        <f t="shared" si="179"/>
        <v>536.90625</v>
      </c>
      <c r="BB200" s="42">
        <f t="shared" si="180"/>
        <v>532.609375</v>
      </c>
      <c r="BC200" s="42">
        <f t="shared" si="181"/>
        <v>528.3125</v>
      </c>
      <c r="BD200" s="72">
        <f>SUM(AZ200:BC200)</f>
        <v>2138.640625</v>
      </c>
      <c r="BE200" s="42">
        <f t="shared" si="182"/>
        <v>526.359375</v>
      </c>
      <c r="BF200" s="42">
        <f t="shared" si="183"/>
        <v>526.359375</v>
      </c>
      <c r="BG200" s="42">
        <f t="shared" si="184"/>
        <v>526.359375</v>
      </c>
      <c r="BH200" s="42">
        <f t="shared" si="185"/>
        <v>526.359375</v>
      </c>
      <c r="BI200" s="72">
        <f>SUM(BE200:BH200)</f>
        <v>2105.4375</v>
      </c>
    </row>
    <row r="201" spans="1:61" s="26" customFormat="1">
      <c r="A201" s="3" t="s">
        <v>409</v>
      </c>
      <c r="B201" s="41"/>
      <c r="C201" s="41"/>
      <c r="D201" s="41"/>
      <c r="E201" s="42"/>
      <c r="F201" s="43"/>
      <c r="G201" s="41"/>
      <c r="H201" s="41"/>
      <c r="I201" s="41"/>
      <c r="J201" s="42"/>
      <c r="K201" s="43"/>
      <c r="L201" s="41"/>
      <c r="M201" s="41"/>
      <c r="N201" s="41"/>
      <c r="O201" s="42"/>
      <c r="P201" s="72">
        <f t="shared" ref="P201:AD201" si="217">+P202-SUM(P140:P200)</f>
        <v>-108.62590999999998</v>
      </c>
      <c r="Q201" s="42" t="e">
        <f t="shared" si="217"/>
        <v>#DIV/0!</v>
      </c>
      <c r="R201" s="42" t="e">
        <f t="shared" si="217"/>
        <v>#DIV/0!</v>
      </c>
      <c r="S201" s="42" t="e">
        <f t="shared" si="217"/>
        <v>#DIV/0!</v>
      </c>
      <c r="T201" s="42" t="e">
        <f t="shared" si="217"/>
        <v>#DIV/0!</v>
      </c>
      <c r="U201" s="72">
        <f t="shared" si="217"/>
        <v>-38.20214749999991</v>
      </c>
      <c r="V201" s="42" t="e">
        <f t="shared" si="217"/>
        <v>#DIV/0!</v>
      </c>
      <c r="W201" s="42" t="e">
        <f t="shared" si="217"/>
        <v>#DIV/0!</v>
      </c>
      <c r="X201" s="42" t="e">
        <f t="shared" si="217"/>
        <v>#DIV/0!</v>
      </c>
      <c r="Y201" s="42" t="e">
        <f t="shared" si="217"/>
        <v>#DIV/0!</v>
      </c>
      <c r="Z201" s="72">
        <f t="shared" si="217"/>
        <v>-11.20882937500005</v>
      </c>
      <c r="AA201" s="42">
        <f t="shared" si="217"/>
        <v>-11.926716458333431</v>
      </c>
      <c r="AB201" s="42">
        <f t="shared" si="217"/>
        <v>109.31870458333327</v>
      </c>
      <c r="AC201" s="42">
        <f t="shared" si="217"/>
        <v>38.943704583333329</v>
      </c>
      <c r="AD201" s="42">
        <f t="shared" si="217"/>
        <v>89.696829583333283</v>
      </c>
      <c r="AE201" s="72">
        <f t="shared" si="189"/>
        <v>226.03252229166645</v>
      </c>
      <c r="AF201" s="42">
        <f>+AF202-SUM(AF140:AF200)</f>
        <v>-18.811608952083361</v>
      </c>
      <c r="AG201" s="42">
        <f>+AG202-SUM(AG140:AG200)</f>
        <v>2.4484195374999445</v>
      </c>
      <c r="AH201" s="42">
        <f>+AH202-SUM(AH140:AH200)</f>
        <v>6.2120374999999513</v>
      </c>
      <c r="AI201" s="42">
        <f>+AI202-SUM(AI140:AI200)</f>
        <v>-4.2757625000001553</v>
      </c>
      <c r="AJ201" s="72">
        <f>SUM(AF201:AI201)</f>
        <v>-14.426914414583621</v>
      </c>
      <c r="AK201" s="42">
        <f>+AK202-SUM(AK140:AK200)</f>
        <v>-0.10631250000005821</v>
      </c>
      <c r="AL201" s="42">
        <f>+AL202-SUM(AL140:AL200)</f>
        <v>25.871812499999805</v>
      </c>
      <c r="AM201" s="42">
        <f>+AM202-SUM(AM140:AM200)</f>
        <v>-1.1031875000001037</v>
      </c>
      <c r="AN201" s="42">
        <f>+AN202-SUM(AN140:AN200)</f>
        <v>10.584312499999896</v>
      </c>
      <c r="AO201" s="72">
        <f>SUM(AK201:AN201)</f>
        <v>35.24662499999954</v>
      </c>
      <c r="AP201" s="42">
        <f>+AP202-SUM(AP140:AP200)</f>
        <v>49.143749999999955</v>
      </c>
      <c r="AQ201" s="42">
        <f>+AQ202-SUM(AQ140:AQ200)</f>
        <v>39.267312500000003</v>
      </c>
      <c r="AR201" s="42">
        <f>+AR202-SUM(AR140:AR200)</f>
        <v>8.2048125000000027</v>
      </c>
      <c r="AS201" s="42">
        <f>+AS202-SUM(AS140:AS200)</f>
        <v>25.047312499999975</v>
      </c>
      <c r="AT201" s="72">
        <f>SUM(AP201:AS201)</f>
        <v>121.66318749999994</v>
      </c>
      <c r="AU201" s="42">
        <f>+AU202-SUM(AU140:AU200)</f>
        <v>12.569812500000012</v>
      </c>
      <c r="AV201" s="42">
        <f>+AV202-SUM(AV140:AV200)</f>
        <v>-38.110937499999977</v>
      </c>
      <c r="AW201" s="42">
        <f>+AW202-SUM(AW140:AW200)</f>
        <v>-61.379687500000045</v>
      </c>
      <c r="AX201" s="42">
        <f>+AX202-SUM(AX140:AX200)</f>
        <v>-30.329687500000091</v>
      </c>
      <c r="AY201" s="72">
        <f>SUM(AU201:AX201)</f>
        <v>-117.2505000000001</v>
      </c>
      <c r="AZ201" s="42">
        <f>+AZ202-SUM(AZ140:AZ200)</f>
        <v>-52.597187500000018</v>
      </c>
      <c r="BA201" s="42">
        <f>+BA202-SUM(BA140:BA200)</f>
        <v>-46.690937500000018</v>
      </c>
      <c r="BB201" s="42">
        <f>+BB202-SUM(BB140:BB200)</f>
        <v>-58.394062500000018</v>
      </c>
      <c r="BC201" s="42">
        <f>+BC202-SUM(BC140:BC200)</f>
        <v>-89.097187500000018</v>
      </c>
      <c r="BD201" s="72">
        <f>SUM(AZ201:BC201)</f>
        <v>-246.77937500000007</v>
      </c>
      <c r="BE201" s="446">
        <v>-52.430281250000007</v>
      </c>
      <c r="BF201" s="446">
        <v>-52.430281250000007</v>
      </c>
      <c r="BG201" s="446">
        <v>-52.430281250000007</v>
      </c>
      <c r="BH201" s="446">
        <v>-52.430281250000007</v>
      </c>
      <c r="BI201" s="72">
        <f>SUM(BE201:BH201)</f>
        <v>-209.72112500000003</v>
      </c>
    </row>
    <row r="202" spans="1:61" s="26" customFormat="1">
      <c r="A202" s="12" t="s">
        <v>203</v>
      </c>
      <c r="B202" s="95"/>
      <c r="C202" s="95"/>
      <c r="D202" s="95"/>
      <c r="E202" s="95"/>
      <c r="F202" s="96"/>
      <c r="G202" s="95"/>
      <c r="H202" s="95"/>
      <c r="I202" s="95"/>
      <c r="J202" s="95"/>
      <c r="K202" s="96"/>
      <c r="L202" s="95"/>
      <c r="M202" s="95"/>
      <c r="N202" s="95"/>
      <c r="O202" s="95"/>
      <c r="P202" s="184">
        <f>-Income_Statement_Qtr!P37</f>
        <v>360</v>
      </c>
      <c r="Q202" s="213">
        <f>-Income_Statement_Qtr!Q37</f>
        <v>102</v>
      </c>
      <c r="R202" s="213">
        <f>-Income_Statement_Qtr!R37</f>
        <v>109</v>
      </c>
      <c r="S202" s="213">
        <f>-Income_Statement_Qtr!S37</f>
        <v>106</v>
      </c>
      <c r="T202" s="213">
        <f>-Income_Statement_Qtr!T37</f>
        <v>158</v>
      </c>
      <c r="U202" s="184">
        <f>-Income_Statement_Qtr!U37</f>
        <v>475</v>
      </c>
      <c r="V202" s="213">
        <f>-Income_Statement_Qtr!V37</f>
        <v>123</v>
      </c>
      <c r="W202" s="213">
        <f>-Income_Statement_Qtr!W37</f>
        <v>154</v>
      </c>
      <c r="X202" s="213">
        <f>-Income_Statement_Qtr!X37</f>
        <v>203</v>
      </c>
      <c r="Y202" s="213">
        <f>-Income_Statement_Qtr!Y37</f>
        <v>242</v>
      </c>
      <c r="Z202" s="184">
        <f>-Income_Statement_Qtr!Z37</f>
        <v>722</v>
      </c>
      <c r="AA202" s="213">
        <f>-Income_Statement_Qtr!AA37</f>
        <v>262</v>
      </c>
      <c r="AB202" s="213">
        <f>-Income_Statement_Qtr!AB37</f>
        <v>553</v>
      </c>
      <c r="AC202" s="213">
        <f>-Income_Statement_Qtr!AC37</f>
        <v>643</v>
      </c>
      <c r="AD202" s="213">
        <f>-Income_Statement_Qtr!AD37</f>
        <v>698</v>
      </c>
      <c r="AE202" s="96">
        <f>SUM(AE140:AE201)</f>
        <v>2156</v>
      </c>
      <c r="AF202" s="213">
        <f>-Income_Statement_Qtr!AF37</f>
        <v>679</v>
      </c>
      <c r="AG202" s="213">
        <f>-Income_Statement_Qtr!AG37</f>
        <v>673</v>
      </c>
      <c r="AH202" s="213">
        <f>-Income_Statement_Qtr!AH37</f>
        <v>669</v>
      </c>
      <c r="AI202" s="213">
        <f>-Income_Statement_Qtr!AI37</f>
        <v>661</v>
      </c>
      <c r="AJ202" s="96">
        <f>SUM(AJ140:AJ201)</f>
        <v>2682</v>
      </c>
      <c r="AK202" s="213">
        <f>-Income_Statement_Qtr!AK37</f>
        <v>630</v>
      </c>
      <c r="AL202" s="213">
        <f>-Income_Statement_Qtr!AL37</f>
        <v>650</v>
      </c>
      <c r="AM202" s="213">
        <f>-Income_Statement_Qtr!AM37</f>
        <v>621</v>
      </c>
      <c r="AN202" s="213">
        <f>-Income_Statement_Qtr!AN37</f>
        <v>632</v>
      </c>
      <c r="AO202" s="96">
        <f>SUM(AO140:AO201)</f>
        <v>2533</v>
      </c>
      <c r="AP202" s="213">
        <f>-Income_Statement_Qtr!AP37</f>
        <v>649</v>
      </c>
      <c r="AQ202" s="213">
        <f>-Income_Statement_Qtr!AQ37</f>
        <v>621</v>
      </c>
      <c r="AR202" s="213">
        <f>-Income_Statement_Qtr!AR37</f>
        <v>589</v>
      </c>
      <c r="AS202" s="213">
        <f>-Income_Statement_Qtr!AS37</f>
        <v>600</v>
      </c>
      <c r="AT202" s="96">
        <f>SUM(AT140:AT201)</f>
        <v>2459</v>
      </c>
      <c r="AU202" s="213">
        <f>-Income_Statement_Qtr!AU37</f>
        <v>569</v>
      </c>
      <c r="AV202" s="213">
        <f>-Income_Statement_Qtr!AV37</f>
        <v>673</v>
      </c>
      <c r="AW202" s="213">
        <f>-Income_Statement_Qtr!AW37</f>
        <v>728</v>
      </c>
      <c r="AX202" s="213">
        <f>-Income_Statement_Qtr!AX37</f>
        <v>755</v>
      </c>
      <c r="AY202" s="96">
        <f>SUM(AY140:AY201)</f>
        <v>2725.0000000000005</v>
      </c>
      <c r="AZ202" s="213">
        <f>-Income_Statement_Qtr!AZ37</f>
        <v>708</v>
      </c>
      <c r="BA202" s="213">
        <f>-Income_Statement_Qtr!BA37</f>
        <v>710</v>
      </c>
      <c r="BB202" s="213">
        <f>-Income_Statement_Qtr!BB37</f>
        <v>694</v>
      </c>
      <c r="BC202" s="213">
        <f>-Income_Statement_Qtr!BC37</f>
        <v>659</v>
      </c>
      <c r="BD202" s="96">
        <f>SUM(BD140:BD201)</f>
        <v>2771</v>
      </c>
      <c r="BE202" s="95">
        <f t="shared" ref="BE202:BG202" si="218">SUM(BE140:BE201)</f>
        <v>691.95753124999999</v>
      </c>
      <c r="BF202" s="95">
        <f t="shared" si="218"/>
        <v>683.06428125000002</v>
      </c>
      <c r="BG202" s="95">
        <f t="shared" si="218"/>
        <v>670.01790625000001</v>
      </c>
      <c r="BH202" s="95">
        <f>SUM(BH140:BH201)</f>
        <v>664.10853124999994</v>
      </c>
      <c r="BI202" s="96">
        <f>SUM(BI140:BI201)</f>
        <v>2709.1482500000002</v>
      </c>
    </row>
    <row r="204" spans="1:61">
      <c r="BH204" s="513"/>
      <c r="BI204" s="74"/>
    </row>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12"/>
  <dimension ref="A1:CX283"/>
  <sheetViews>
    <sheetView showGridLines="0" zoomScale="85" zoomScaleNormal="85" workbookViewId="0">
      <pane xSplit="1" ySplit="2" topLeftCell="H30" activePane="bottomRight" state="frozen"/>
      <selection activeCell="Y5" sqref="Y5"/>
      <selection pane="topRight" activeCell="Y5" sqref="Y5"/>
      <selection pane="bottomLeft" activeCell="Y5" sqref="Y5"/>
      <selection pane="bottomRight" activeCell="CJ51" sqref="CJ51"/>
    </sheetView>
  </sheetViews>
  <sheetFormatPr defaultColWidth="9.1796875" defaultRowHeight="14.5" outlineLevelRow="1" outlineLevelCol="1"/>
  <cols>
    <col min="1" max="1" width="53.1796875" customWidth="1"/>
    <col min="2" max="8" width="12.26953125" style="26" customWidth="1" outlineLevel="1" collapsed="1"/>
    <col min="9" max="10" width="12.26953125" style="26" customWidth="1" outlineLevel="1"/>
    <col min="11" max="13" width="12.26953125" style="26" customWidth="1"/>
    <col min="14" max="17" width="12.26953125" style="26" customWidth="1" collapsed="1"/>
    <col min="18" max="22" width="12.26953125" style="26" customWidth="1"/>
    <col min="24" max="59" width="12.26953125" style="26" hidden="1" customWidth="1" outlineLevel="1"/>
    <col min="60" max="60" width="12.26953125" style="26" hidden="1" customWidth="1" outlineLevel="1" collapsed="1"/>
    <col min="61" max="70" width="12.26953125" style="26" hidden="1" customWidth="1" outlineLevel="1"/>
    <col min="71" max="71" width="14.1796875" style="26" hidden="1" customWidth="1" outlineLevel="1"/>
    <col min="72" max="73" width="12" hidden="1" customWidth="1" outlineLevel="1"/>
    <col min="74" max="74" width="13.453125" hidden="1" customWidth="1" outlineLevel="1"/>
    <col min="75" max="75" width="14.81640625" hidden="1" customWidth="1" outlineLevel="1"/>
    <col min="76" max="77" width="12" hidden="1" customWidth="1" outlineLevel="1"/>
    <col min="78" max="78" width="13.453125" hidden="1" customWidth="1" outlineLevel="1"/>
    <col min="79" max="79" width="14.81640625" hidden="1" customWidth="1" outlineLevel="1"/>
    <col min="80" max="81" width="12" hidden="1" customWidth="1" outlineLevel="1"/>
    <col min="82" max="82" width="13.453125" hidden="1" customWidth="1" outlineLevel="1"/>
    <col min="83" max="83" width="14.81640625" customWidth="1" collapsed="1"/>
    <col min="84" max="84" width="12" customWidth="1"/>
    <col min="85" max="85" width="13.453125" customWidth="1"/>
    <col min="86" max="87" width="14.81640625" customWidth="1"/>
    <col min="88" max="88" width="12" customWidth="1" outlineLevel="1"/>
    <col min="89" max="89" width="13.453125" customWidth="1" outlineLevel="1"/>
    <col min="90" max="91" width="14.81640625" customWidth="1" outlineLevel="1"/>
    <col min="95" max="98" width="8.7265625" customWidth="1"/>
  </cols>
  <sheetData>
    <row r="1" spans="1:99">
      <c r="A1" s="15" t="s">
        <v>508</v>
      </c>
      <c r="B1" s="68"/>
      <c r="C1" s="68"/>
      <c r="D1" s="68"/>
      <c r="E1" s="68"/>
      <c r="F1" s="68"/>
      <c r="G1" s="68"/>
      <c r="H1" s="68"/>
      <c r="I1" s="68"/>
      <c r="J1" s="68"/>
      <c r="K1" s="68"/>
      <c r="L1" s="68"/>
      <c r="M1" s="68"/>
      <c r="N1" s="68"/>
      <c r="O1" s="68"/>
      <c r="P1" s="68"/>
      <c r="Q1" s="68"/>
      <c r="R1" s="68"/>
      <c r="S1" s="68"/>
      <c r="T1" s="68"/>
      <c r="U1" s="68"/>
      <c r="V1" s="68"/>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14"/>
      <c r="BH1" s="114"/>
      <c r="BI1" s="114"/>
      <c r="BJ1" s="114"/>
      <c r="BK1" s="114"/>
      <c r="BL1" s="114"/>
      <c r="BM1" s="114"/>
      <c r="BN1" s="114"/>
      <c r="BO1" s="114"/>
      <c r="BP1" s="114"/>
      <c r="BQ1" s="114"/>
      <c r="BR1" s="114"/>
      <c r="BS1" s="114"/>
      <c r="BT1" s="114"/>
      <c r="BU1" s="114"/>
      <c r="BV1" s="114"/>
      <c r="BW1" s="114"/>
      <c r="BX1" s="114"/>
      <c r="BY1" s="114"/>
      <c r="BZ1" s="114"/>
      <c r="CA1" s="114"/>
      <c r="CB1" s="114"/>
      <c r="CC1" s="114"/>
      <c r="CD1" s="114"/>
      <c r="CE1" s="114"/>
      <c r="CF1" s="114"/>
      <c r="CG1" s="114"/>
      <c r="CH1" s="114"/>
      <c r="CI1" s="114"/>
      <c r="CJ1" s="114"/>
      <c r="CK1" s="114"/>
      <c r="CL1" s="114"/>
      <c r="CM1" s="114"/>
    </row>
    <row r="2" spans="1:99">
      <c r="A2" s="7"/>
      <c r="B2" s="107" t="str">
        <f>Balance_Sheet_Annual!L2</f>
        <v>CY2010A</v>
      </c>
      <c r="C2" s="107" t="str">
        <f>Balance_Sheet_Annual!M2</f>
        <v>CY2011A</v>
      </c>
      <c r="D2" s="107" t="str">
        <f>Balance_Sheet_Annual!N2</f>
        <v>CY2012A</v>
      </c>
      <c r="E2" s="107" t="str">
        <f>Balance_Sheet_Annual!O2</f>
        <v>CY2013A</v>
      </c>
      <c r="F2" s="107" t="str">
        <f>Balance_Sheet_Annual!P2</f>
        <v>CY2014A</v>
      </c>
      <c r="G2" s="107" t="str">
        <f>Balance_Sheet_Annual!Q2</f>
        <v>CY2015A</v>
      </c>
      <c r="H2" s="107" t="str">
        <f>Balance_Sheet_Annual!R2</f>
        <v>CY2016A</v>
      </c>
      <c r="I2" s="107" t="str">
        <f>Balance_Sheet_Annual!S2</f>
        <v>CY2017A</v>
      </c>
      <c r="J2" s="107" t="str">
        <f>Balance_Sheet_Annual!T2</f>
        <v>CY2018A</v>
      </c>
      <c r="K2" s="107" t="str">
        <f>Balance_Sheet_Annual!U2</f>
        <v>CY2019A</v>
      </c>
      <c r="L2" s="107" t="str">
        <f>Balance_Sheet_Annual!V2</f>
        <v>CY2020A</v>
      </c>
      <c r="M2" s="107" t="str">
        <f>Balance_Sheet_Annual!W2</f>
        <v>CY2021A</v>
      </c>
      <c r="N2" s="107" t="str">
        <f>Balance_Sheet_Annual!X2</f>
        <v>CY2022A</v>
      </c>
      <c r="O2" s="107" t="str">
        <f>Balance_Sheet_Annual!Y2</f>
        <v>CY2023A</v>
      </c>
      <c r="P2" s="107" t="str">
        <f>Balance_Sheet_Annual!Z2</f>
        <v>CY2024A</v>
      </c>
      <c r="Q2" s="107" t="str">
        <f>Balance_Sheet_Annual!AA2</f>
        <v>CY2025A</v>
      </c>
      <c r="R2" s="107" t="str">
        <f>Balance_Sheet_Annual!AB2</f>
        <v>CY2026E</v>
      </c>
      <c r="S2" s="107" t="str">
        <f>Balance_Sheet_Annual!AC2</f>
        <v>CY2027E</v>
      </c>
      <c r="T2" s="107" t="str">
        <f>Balance_Sheet_Annual!AD2</f>
        <v>CY2028E</v>
      </c>
      <c r="U2" s="107" t="str">
        <f>Balance_Sheet_Annual!AE2</f>
        <v>CY2029E</v>
      </c>
      <c r="V2" s="107" t="str">
        <f>Balance_Sheet_Annual!AF2</f>
        <v>CY2030E</v>
      </c>
      <c r="X2" s="11" t="s">
        <v>507</v>
      </c>
      <c r="Y2" s="11" t="s">
        <v>506</v>
      </c>
      <c r="Z2" s="11" t="s">
        <v>505</v>
      </c>
      <c r="AA2" s="11" t="s">
        <v>504</v>
      </c>
      <c r="AB2" s="11" t="s">
        <v>503</v>
      </c>
      <c r="AC2" s="11" t="s">
        <v>502</v>
      </c>
      <c r="AD2" s="11" t="s">
        <v>501</v>
      </c>
      <c r="AE2" s="11" t="s">
        <v>500</v>
      </c>
      <c r="AF2" s="11" t="s">
        <v>499</v>
      </c>
      <c r="AG2" s="11" t="s">
        <v>498</v>
      </c>
      <c r="AH2" s="11" t="s">
        <v>497</v>
      </c>
      <c r="AI2" s="11" t="s">
        <v>496</v>
      </c>
      <c r="AJ2" s="11" t="s">
        <v>495</v>
      </c>
      <c r="AK2" s="11" t="s">
        <v>494</v>
      </c>
      <c r="AL2" s="11" t="s">
        <v>493</v>
      </c>
      <c r="AM2" s="11" t="s">
        <v>492</v>
      </c>
      <c r="AN2" s="11" t="s">
        <v>488</v>
      </c>
      <c r="AO2" s="11" t="s">
        <v>489</v>
      </c>
      <c r="AP2" s="11" t="s">
        <v>490</v>
      </c>
      <c r="AQ2" s="11" t="s">
        <v>491</v>
      </c>
      <c r="AR2" s="107" t="str">
        <f>Income_Statement_Qtr!B2</f>
        <v>1Q15A</v>
      </c>
      <c r="AS2" s="107" t="str">
        <f>Income_Statement_Qtr!C2</f>
        <v>2Q15A</v>
      </c>
      <c r="AT2" s="107" t="str">
        <f>Income_Statement_Qtr!D2</f>
        <v>3Q15A</v>
      </c>
      <c r="AU2" s="107" t="str">
        <f>Income_Statement_Qtr!E2</f>
        <v>4Q15A</v>
      </c>
      <c r="AV2" s="107" t="str">
        <f>Income_Statement_Qtr!G2</f>
        <v>1Q16A</v>
      </c>
      <c r="AW2" s="107" t="str">
        <f>Income_Statement_Qtr!H2</f>
        <v>2Q16A</v>
      </c>
      <c r="AX2" s="107" t="str">
        <f>Income_Statement_Qtr!I2</f>
        <v>3Q16A</v>
      </c>
      <c r="AY2" s="107" t="str">
        <f>Income_Statement_Qtr!J2</f>
        <v>4Q16A</v>
      </c>
      <c r="AZ2" s="107" t="str">
        <f>Income_Statement_Qtr!L2</f>
        <v>1Q17A</v>
      </c>
      <c r="BA2" s="107" t="str">
        <f>Income_Statement_Qtr!M2</f>
        <v>2Q17A</v>
      </c>
      <c r="BB2" s="107" t="str">
        <f>Income_Statement_Qtr!N2</f>
        <v>3Q17A</v>
      </c>
      <c r="BC2" s="107" t="str">
        <f>Income_Statement_Qtr!O2</f>
        <v>4Q17A</v>
      </c>
      <c r="BD2" s="107" t="str">
        <f>Income_Statement_Qtr!Q2</f>
        <v>1Q18A</v>
      </c>
      <c r="BE2" s="107" t="str">
        <f>Income_Statement_Qtr!R2</f>
        <v>2Q18A</v>
      </c>
      <c r="BF2" s="107" t="str">
        <f>Income_Statement_Qtr!S2</f>
        <v>3Q18A</v>
      </c>
      <c r="BG2" s="107" t="str">
        <f>Income_Statement_Qtr!T2</f>
        <v>4Q18A</v>
      </c>
      <c r="BH2" s="107" t="str">
        <f>Income_Statement_Qtr!V2</f>
        <v>1Q19A</v>
      </c>
      <c r="BI2" s="107" t="str">
        <f>Income_Statement_Qtr!W2</f>
        <v>2Q19A</v>
      </c>
      <c r="BJ2" s="107" t="str">
        <f>Income_Statement_Qtr!X2</f>
        <v>3Q19A</v>
      </c>
      <c r="BK2" s="107" t="str">
        <f>Income_Statement_Qtr!Y2</f>
        <v>4Q19A</v>
      </c>
      <c r="BL2" s="107" t="str">
        <f>Income_Statement_Qtr!AA2</f>
        <v>1Q20A</v>
      </c>
      <c r="BM2" s="107" t="str">
        <f>Income_Statement_Qtr!AB2</f>
        <v>2Q20A</v>
      </c>
      <c r="BN2" s="107" t="str">
        <f>Income_Statement_Qtr!AC2</f>
        <v>3Q20A</v>
      </c>
      <c r="BO2" s="107" t="str">
        <f>Income_Statement_Qtr!AD2</f>
        <v>4Q20A</v>
      </c>
      <c r="BP2" s="107" t="str">
        <f>Income_Statement_Qtr!AF2</f>
        <v>1Q21A</v>
      </c>
      <c r="BQ2" s="107" t="str">
        <f>Income_Statement_Qtr!AG2</f>
        <v>2Q21A</v>
      </c>
      <c r="BR2" s="107" t="str">
        <f>Income_Statement_Qtr!AH2</f>
        <v>3Q21A</v>
      </c>
      <c r="BS2" s="107" t="str">
        <f>Income_Statement_Qtr!AI2</f>
        <v>4Q21A</v>
      </c>
      <c r="BT2" s="107" t="str">
        <f>Income_Statement_Qtr!AK2</f>
        <v>1Q22A</v>
      </c>
      <c r="BU2" s="107" t="str">
        <f>Income_Statement_Qtr!AL2</f>
        <v>2Q22A</v>
      </c>
      <c r="BV2" s="107" t="str">
        <f>Income_Statement_Qtr!AM2</f>
        <v>3Q22A</v>
      </c>
      <c r="BW2" s="107" t="str">
        <f>Income_Statement_Qtr!AN2</f>
        <v>4Q22A</v>
      </c>
      <c r="BX2" s="107" t="str">
        <f>Income_Statement_Qtr!AP2</f>
        <v>1Q23A</v>
      </c>
      <c r="BY2" s="107" t="str">
        <f>Income_Statement_Qtr!AQ2</f>
        <v>2Q23A</v>
      </c>
      <c r="BZ2" s="107" t="str">
        <f>Income_Statement_Qtr!AR2</f>
        <v>3Q23A</v>
      </c>
      <c r="CA2" s="107" t="str">
        <f>Income_Statement_Qtr!AS2</f>
        <v>4Q23A</v>
      </c>
      <c r="CB2" s="107" t="str">
        <f>Income_Statement_Qtr!AU2</f>
        <v>1Q24A</v>
      </c>
      <c r="CC2" s="107" t="str">
        <f>Income_Statement_Qtr!AV2</f>
        <v>2Q24A</v>
      </c>
      <c r="CD2" s="107" t="str">
        <f>Income_Statement_Qtr!AW2</f>
        <v>3Q24A</v>
      </c>
      <c r="CE2" s="107" t="str">
        <f>Income_Statement_Qtr!AX2</f>
        <v>4Q24A</v>
      </c>
      <c r="CF2" s="107" t="str">
        <f>Income_Statement_Qtr!AZ2</f>
        <v>1Q25A</v>
      </c>
      <c r="CG2" s="107" t="str">
        <f>Income_Statement_Qtr!BA2</f>
        <v>2Q25A</v>
      </c>
      <c r="CH2" s="107" t="str">
        <f>Income_Statement_Qtr!BB2</f>
        <v>3Q25A</v>
      </c>
      <c r="CI2" s="107" t="str">
        <f>Income_Statement_Qtr!BC2</f>
        <v>4Q25A</v>
      </c>
      <c r="CJ2" s="555" t="str">
        <f>Income_Statement_Qtr!BE2</f>
        <v>1Q26E</v>
      </c>
      <c r="CK2" s="555" t="str">
        <f>Income_Statement_Qtr!BF2</f>
        <v>2Q26E</v>
      </c>
      <c r="CL2" s="555" t="str">
        <f>Income_Statement_Qtr!BG2</f>
        <v>3Q26E</v>
      </c>
      <c r="CM2" s="555" t="str">
        <f>Income_Statement_Qtr!BH2</f>
        <v>4Q26E</v>
      </c>
      <c r="CN2" s="5"/>
    </row>
    <row r="3" spans="1:99">
      <c r="A3" s="16" t="s">
        <v>457</v>
      </c>
      <c r="B3" s="60"/>
      <c r="C3" s="60"/>
      <c r="D3" s="60"/>
      <c r="E3" s="60"/>
      <c r="F3" s="60"/>
      <c r="G3" s="60"/>
      <c r="H3" s="60"/>
      <c r="I3" s="60"/>
      <c r="J3" s="60"/>
      <c r="K3" s="60"/>
      <c r="L3" s="60"/>
      <c r="M3" s="60"/>
      <c r="N3" s="60"/>
      <c r="O3" s="60"/>
      <c r="P3" s="60"/>
      <c r="Q3" s="60"/>
      <c r="R3" s="60"/>
      <c r="S3" s="60"/>
      <c r="T3" s="60"/>
      <c r="U3" s="60"/>
      <c r="V3" s="60"/>
      <c r="X3" s="60"/>
      <c r="Y3" s="60"/>
      <c r="Z3" s="60"/>
      <c r="AA3" s="60"/>
      <c r="AB3" s="60"/>
      <c r="AC3" s="60"/>
      <c r="AD3" s="60"/>
      <c r="AE3" s="60"/>
      <c r="AF3" s="60"/>
      <c r="AG3" s="60"/>
      <c r="AH3" s="60"/>
      <c r="AI3" s="60"/>
      <c r="AJ3" s="60"/>
      <c r="AK3" s="60"/>
      <c r="AL3" s="60"/>
      <c r="AM3" s="60"/>
      <c r="AN3" s="60"/>
      <c r="AO3" s="60"/>
      <c r="AP3" s="60"/>
      <c r="AQ3" s="60"/>
      <c r="AR3" s="60"/>
      <c r="AS3" s="60"/>
      <c r="AT3" s="60"/>
      <c r="AU3" s="317"/>
      <c r="AV3" s="60"/>
      <c r="AW3" s="60"/>
      <c r="AX3" s="60"/>
      <c r="AY3" s="317"/>
      <c r="AZ3" s="60"/>
      <c r="BA3" s="60"/>
      <c r="BB3" s="60"/>
      <c r="BC3" s="317"/>
      <c r="BD3" s="60"/>
      <c r="BE3" s="60"/>
      <c r="BF3" s="60"/>
      <c r="BG3" s="317"/>
      <c r="BH3" s="60"/>
      <c r="BI3" s="60"/>
      <c r="BJ3" s="60"/>
      <c r="BK3" s="317"/>
      <c r="BL3" s="60"/>
      <c r="BM3" s="60"/>
      <c r="BN3" s="60"/>
      <c r="BO3" s="317"/>
      <c r="BP3" s="60"/>
      <c r="BQ3" s="60"/>
      <c r="BR3" s="60"/>
      <c r="BS3" s="317"/>
      <c r="BT3" s="317"/>
      <c r="BU3" s="317"/>
      <c r="BV3" s="317"/>
      <c r="BW3" s="317"/>
      <c r="BX3" s="317"/>
      <c r="BY3" s="317"/>
      <c r="BZ3" s="317"/>
      <c r="CA3" s="317"/>
      <c r="CB3" s="317"/>
      <c r="CC3" s="317"/>
      <c r="CD3" s="317"/>
      <c r="CE3" s="317"/>
      <c r="CF3" s="317"/>
      <c r="CG3" s="317"/>
      <c r="CH3" s="317"/>
      <c r="CI3" s="317"/>
      <c r="CJ3" s="317"/>
      <c r="CK3" s="317"/>
      <c r="CL3" s="317"/>
      <c r="CM3" s="317"/>
      <c r="CN3" s="5"/>
    </row>
    <row r="4" spans="1:99">
      <c r="A4" s="14"/>
      <c r="B4" s="78"/>
      <c r="C4" s="78"/>
      <c r="D4" s="78"/>
      <c r="E4" s="78"/>
      <c r="F4" s="78"/>
      <c r="G4" s="78"/>
      <c r="H4" s="78"/>
      <c r="I4" s="78"/>
      <c r="J4" s="78"/>
      <c r="K4" s="78"/>
      <c r="L4" s="78"/>
      <c r="M4" s="78"/>
      <c r="N4" s="78"/>
      <c r="O4" s="78"/>
      <c r="P4" s="314">
        <f>P5/12</f>
        <v>2.6666666666666665</v>
      </c>
      <c r="Q4" s="314">
        <f t="shared" ref="Q4:V4" si="0">Q5/12</f>
        <v>5.833333333333333</v>
      </c>
      <c r="R4" s="314">
        <f t="shared" si="0"/>
        <v>8</v>
      </c>
      <c r="S4" s="314">
        <f t="shared" si="0"/>
        <v>10</v>
      </c>
      <c r="T4" s="314">
        <f t="shared" si="0"/>
        <v>10</v>
      </c>
      <c r="U4" s="314">
        <f t="shared" si="0"/>
        <v>10</v>
      </c>
      <c r="V4" s="314">
        <f t="shared" si="0"/>
        <v>10</v>
      </c>
      <c r="X4" s="78"/>
      <c r="Y4" s="78"/>
      <c r="Z4" s="78"/>
      <c r="AA4" s="78"/>
      <c r="AB4" s="78"/>
      <c r="AC4" s="78"/>
      <c r="AD4" s="78"/>
      <c r="AE4" s="78"/>
      <c r="AF4" s="78"/>
      <c r="AG4" s="78"/>
      <c r="AH4" s="78"/>
      <c r="AI4" s="78"/>
      <c r="AJ4" s="78"/>
      <c r="AK4" s="78"/>
      <c r="AL4" s="78"/>
      <c r="AM4" s="78"/>
      <c r="AN4" s="78"/>
      <c r="AO4" s="78"/>
      <c r="AP4" s="78"/>
      <c r="AQ4" s="78"/>
      <c r="AR4" s="78"/>
      <c r="AS4" s="78"/>
      <c r="AT4" s="78"/>
      <c r="AU4" s="96"/>
      <c r="AV4" s="78"/>
      <c r="AW4" s="78"/>
      <c r="AX4" s="78"/>
      <c r="AY4" s="96"/>
      <c r="AZ4" s="78"/>
      <c r="BA4" s="78"/>
      <c r="BB4" s="78"/>
      <c r="BC4" s="96"/>
      <c r="BD4" s="78"/>
      <c r="BE4" s="78"/>
      <c r="BF4" s="78"/>
      <c r="BG4" s="96"/>
      <c r="BH4" s="78"/>
      <c r="BI4" s="78"/>
      <c r="BJ4" s="78"/>
      <c r="BK4" s="96"/>
      <c r="BL4" s="78"/>
      <c r="BM4" s="78"/>
      <c r="BN4" s="78"/>
      <c r="BO4" s="96"/>
      <c r="BP4" s="78"/>
      <c r="BQ4" s="78"/>
      <c r="BR4" s="78"/>
      <c r="BS4" s="96"/>
      <c r="BT4" s="96"/>
      <c r="BU4" s="96"/>
      <c r="BV4" s="96"/>
      <c r="BW4" s="96"/>
      <c r="BX4" s="96"/>
      <c r="BY4" s="96"/>
      <c r="BZ4" s="96"/>
      <c r="CA4" s="96"/>
      <c r="CB4" s="96"/>
      <c r="CC4" s="96"/>
      <c r="CD4" s="96"/>
      <c r="CE4" s="96"/>
      <c r="CF4" s="96"/>
      <c r="CG4" s="96"/>
      <c r="CH4" s="96"/>
      <c r="CI4" s="96"/>
      <c r="CJ4" s="314"/>
      <c r="CK4" s="314"/>
      <c r="CL4" s="314"/>
      <c r="CM4" s="314"/>
      <c r="CN4" s="5"/>
    </row>
    <row r="5" spans="1:99">
      <c r="A5" s="1" t="s">
        <v>479</v>
      </c>
      <c r="B5" s="72">
        <f>SUM(X5:AA5)</f>
        <v>0</v>
      </c>
      <c r="C5" s="72">
        <f>SUM(AB5:AE5)</f>
        <v>30</v>
      </c>
      <c r="D5" s="72">
        <f>SUM(AF5:AI5)</f>
        <v>51</v>
      </c>
      <c r="E5" s="72">
        <f>SUM(AJ5:AM5)</f>
        <v>87</v>
      </c>
      <c r="F5" s="72">
        <f>SUM(AN5:AQ5)</f>
        <v>120</v>
      </c>
      <c r="G5" s="72">
        <f>SUM(AR5:AU5)</f>
        <v>120</v>
      </c>
      <c r="H5" s="72">
        <f>SUM(AV5:AY5)</f>
        <v>138</v>
      </c>
      <c r="I5" s="72">
        <f>SUM(AZ5:BC5)</f>
        <v>144</v>
      </c>
      <c r="J5" s="72">
        <f>SUM(BD5:BG5)</f>
        <v>144</v>
      </c>
      <c r="K5" s="72">
        <f>SUM(BH5:BK5)</f>
        <v>168</v>
      </c>
      <c r="L5" s="72">
        <f>SUM(BL5:BO5)</f>
        <v>56</v>
      </c>
      <c r="M5" s="72">
        <f>SUM(BP5:BS5)</f>
        <v>21</v>
      </c>
      <c r="N5" s="72">
        <f>SUM(BT5:BW5)</f>
        <v>13</v>
      </c>
      <c r="O5" s="72">
        <f>SUM(BX5:CA5)</f>
        <v>24</v>
      </c>
      <c r="P5" s="72">
        <f>SUM(CB5:CE5)</f>
        <v>32</v>
      </c>
      <c r="Q5" s="72">
        <f>SUM(CF5:CI5)</f>
        <v>70</v>
      </c>
      <c r="R5" s="562">
        <f>SUM(CJ5:CM5)</f>
        <v>96</v>
      </c>
      <c r="S5" s="43">
        <f>10*12</f>
        <v>120</v>
      </c>
      <c r="T5" s="43">
        <f>10*12</f>
        <v>120</v>
      </c>
      <c r="U5" s="43">
        <f>10*12</f>
        <v>120</v>
      </c>
      <c r="V5" s="43">
        <f>10*12</f>
        <v>120</v>
      </c>
      <c r="X5" s="43">
        <v>0</v>
      </c>
      <c r="Y5" s="43">
        <v>0</v>
      </c>
      <c r="Z5" s="43">
        <v>0</v>
      </c>
      <c r="AA5" s="43">
        <v>0</v>
      </c>
      <c r="AB5" s="43">
        <f>2.5*3</f>
        <v>7.5</v>
      </c>
      <c r="AC5" s="43">
        <f>2.5*3</f>
        <v>7.5</v>
      </c>
      <c r="AD5" s="43">
        <f>2.5*3</f>
        <v>7.5</v>
      </c>
      <c r="AE5" s="43">
        <f>2.5*3</f>
        <v>7.5</v>
      </c>
      <c r="AF5" s="43">
        <f>3.5*3</f>
        <v>10.5</v>
      </c>
      <c r="AG5" s="43">
        <f>3.5*3</f>
        <v>10.5</v>
      </c>
      <c r="AH5" s="43">
        <f>5*3</f>
        <v>15</v>
      </c>
      <c r="AI5" s="43">
        <f>5*3</f>
        <v>15</v>
      </c>
      <c r="AJ5" s="43">
        <f>5*3</f>
        <v>15</v>
      </c>
      <c r="AK5" s="43">
        <f>7*3</f>
        <v>21</v>
      </c>
      <c r="AL5" s="43">
        <f>7*3</f>
        <v>21</v>
      </c>
      <c r="AM5" s="43">
        <f t="shared" ref="AM5:AU5" si="1">10*3</f>
        <v>30</v>
      </c>
      <c r="AN5" s="43">
        <f t="shared" si="1"/>
        <v>30</v>
      </c>
      <c r="AO5" s="43">
        <f t="shared" si="1"/>
        <v>30</v>
      </c>
      <c r="AP5" s="43">
        <f t="shared" si="1"/>
        <v>30</v>
      </c>
      <c r="AQ5" s="43">
        <f t="shared" si="1"/>
        <v>30</v>
      </c>
      <c r="AR5" s="43">
        <f t="shared" si="1"/>
        <v>30</v>
      </c>
      <c r="AS5" s="43">
        <f t="shared" si="1"/>
        <v>30</v>
      </c>
      <c r="AT5" s="43">
        <f t="shared" si="1"/>
        <v>30</v>
      </c>
      <c r="AU5" s="43">
        <f t="shared" si="1"/>
        <v>30</v>
      </c>
      <c r="AV5" s="43">
        <f>10*3</f>
        <v>30</v>
      </c>
      <c r="AW5" s="43">
        <f t="shared" ref="AW5:BG5" si="2">12*3</f>
        <v>36</v>
      </c>
      <c r="AX5" s="43">
        <f t="shared" si="2"/>
        <v>36</v>
      </c>
      <c r="AY5" s="43">
        <f t="shared" si="2"/>
        <v>36</v>
      </c>
      <c r="AZ5" s="43">
        <f t="shared" si="2"/>
        <v>36</v>
      </c>
      <c r="BA5" s="43">
        <f t="shared" si="2"/>
        <v>36</v>
      </c>
      <c r="BB5" s="43">
        <f t="shared" si="2"/>
        <v>36</v>
      </c>
      <c r="BC5" s="43">
        <f t="shared" si="2"/>
        <v>36</v>
      </c>
      <c r="BD5" s="43">
        <f t="shared" si="2"/>
        <v>36</v>
      </c>
      <c r="BE5" s="43">
        <f t="shared" si="2"/>
        <v>36</v>
      </c>
      <c r="BF5" s="43">
        <f t="shared" si="2"/>
        <v>36</v>
      </c>
      <c r="BG5" s="43">
        <f t="shared" si="2"/>
        <v>36</v>
      </c>
      <c r="BH5" s="43">
        <f>14*3</f>
        <v>42</v>
      </c>
      <c r="BI5" s="43">
        <f>14*3</f>
        <v>42</v>
      </c>
      <c r="BJ5" s="43">
        <f>14*3</f>
        <v>42</v>
      </c>
      <c r="BK5" s="43">
        <f>14*3</f>
        <v>42</v>
      </c>
      <c r="BL5" s="43">
        <f>BL6</f>
        <v>29</v>
      </c>
      <c r="BM5" s="43">
        <v>7</v>
      </c>
      <c r="BN5" s="43">
        <v>10</v>
      </c>
      <c r="BO5" s="43">
        <v>10</v>
      </c>
      <c r="BP5" s="43">
        <v>6</v>
      </c>
      <c r="BQ5" s="43">
        <v>6</v>
      </c>
      <c r="BR5" s="43">
        <v>6</v>
      </c>
      <c r="BS5" s="43">
        <v>3</v>
      </c>
      <c r="BT5" s="43">
        <v>0</v>
      </c>
      <c r="BU5" s="43">
        <v>0</v>
      </c>
      <c r="BV5" s="43">
        <v>4</v>
      </c>
      <c r="BW5" s="43">
        <f>3*3</f>
        <v>9</v>
      </c>
      <c r="BX5" s="43">
        <v>2</v>
      </c>
      <c r="BY5" s="43">
        <v>9</v>
      </c>
      <c r="BZ5" s="43">
        <v>6</v>
      </c>
      <c r="CA5" s="43">
        <v>7</v>
      </c>
      <c r="CB5" s="43">
        <v>9</v>
      </c>
      <c r="CC5" s="43">
        <v>4</v>
      </c>
      <c r="CD5" s="43">
        <v>9</v>
      </c>
      <c r="CE5" s="43">
        <v>10</v>
      </c>
      <c r="CF5" s="43">
        <v>8</v>
      </c>
      <c r="CG5" s="43">
        <v>19</v>
      </c>
      <c r="CH5" s="43">
        <v>20</v>
      </c>
      <c r="CI5" s="422">
        <v>23</v>
      </c>
      <c r="CJ5" s="43">
        <v>24</v>
      </c>
      <c r="CK5" s="43">
        <v>24</v>
      </c>
      <c r="CL5" s="43">
        <v>24</v>
      </c>
      <c r="CM5" s="43">
        <v>24</v>
      </c>
      <c r="CN5" s="5"/>
    </row>
    <row r="6" spans="1:99">
      <c r="A6" s="1" t="s">
        <v>515</v>
      </c>
      <c r="B6" s="72">
        <f>SUM(X6:AA6)</f>
        <v>0</v>
      </c>
      <c r="C6" s="72">
        <f>SUM(AB6:AE6)</f>
        <v>3</v>
      </c>
      <c r="D6" s="72">
        <f>SUM(AF6:AI6)</f>
        <v>46</v>
      </c>
      <c r="E6" s="72">
        <f>SUM(AJ6:AM6)</f>
        <v>65</v>
      </c>
      <c r="F6" s="72">
        <f>SUM(AN6:AQ6)</f>
        <v>114</v>
      </c>
      <c r="G6" s="72">
        <f>SUM(AR6:AU6)</f>
        <v>135</v>
      </c>
      <c r="H6" s="72">
        <f>SUM(AV6:AY6)</f>
        <v>137</v>
      </c>
      <c r="I6" s="72">
        <f>SUM(AZ6:BC6)</f>
        <v>136</v>
      </c>
      <c r="J6" s="72">
        <f>SUM(BD6:BG6)</f>
        <v>145</v>
      </c>
      <c r="K6" s="72">
        <f>SUM(BH6:BK6)</f>
        <v>158</v>
      </c>
      <c r="L6" s="72">
        <f>SUM(BL6:BO6)</f>
        <v>53</v>
      </c>
      <c r="M6" s="72">
        <f>SUM(BP6:BS6)</f>
        <v>14</v>
      </c>
      <c r="N6" s="38">
        <f>BCA_Model_Annual!X8</f>
        <v>31</v>
      </c>
      <c r="O6" s="38">
        <f>BCA_Model_Annual!Y8</f>
        <v>73</v>
      </c>
      <c r="P6" s="38">
        <f>BCA_Model_Annual!Z8</f>
        <v>51</v>
      </c>
      <c r="Q6" s="38">
        <f>BCA_Model_Annual!AA8</f>
        <v>88</v>
      </c>
      <c r="R6" s="38">
        <f>BCA_Model_Annual!AB8</f>
        <v>101</v>
      </c>
      <c r="S6" s="38">
        <f>BCA_Model_Annual!AC8</f>
        <v>120</v>
      </c>
      <c r="T6" s="38">
        <f>BCA_Model_Annual!AD8</f>
        <v>120</v>
      </c>
      <c r="U6" s="38">
        <f>BCA_Model_Annual!AE8</f>
        <v>120</v>
      </c>
      <c r="V6" s="38">
        <f>BCA_Model_Annual!AF8</f>
        <v>120</v>
      </c>
      <c r="X6" s="43">
        <v>0</v>
      </c>
      <c r="Y6" s="43">
        <v>0</v>
      </c>
      <c r="Z6" s="43">
        <v>0</v>
      </c>
      <c r="AA6" s="43">
        <v>0</v>
      </c>
      <c r="AB6" s="43">
        <v>0</v>
      </c>
      <c r="AC6" s="43">
        <v>0</v>
      </c>
      <c r="AD6" s="43">
        <v>1</v>
      </c>
      <c r="AE6" s="43">
        <v>2</v>
      </c>
      <c r="AF6" s="43">
        <v>5</v>
      </c>
      <c r="AG6" s="43">
        <v>6</v>
      </c>
      <c r="AH6" s="43">
        <v>12</v>
      </c>
      <c r="AI6" s="43">
        <v>23</v>
      </c>
      <c r="AJ6" s="43">
        <v>1</v>
      </c>
      <c r="AK6" s="43">
        <v>16</v>
      </c>
      <c r="AL6" s="43">
        <v>23</v>
      </c>
      <c r="AM6" s="43">
        <v>25</v>
      </c>
      <c r="AN6" s="43">
        <v>18</v>
      </c>
      <c r="AO6" s="43">
        <v>30</v>
      </c>
      <c r="AP6" s="43">
        <v>31</v>
      </c>
      <c r="AQ6" s="43">
        <v>35</v>
      </c>
      <c r="AR6" s="38">
        <f>BCA_Deliveries_Qtr!B8</f>
        <v>30</v>
      </c>
      <c r="AS6" s="38">
        <f>BCA_Deliveries_Qtr!C8</f>
        <v>34</v>
      </c>
      <c r="AT6" s="38">
        <f>BCA_Deliveries_Qtr!D8</f>
        <v>37</v>
      </c>
      <c r="AU6" s="38">
        <f>BCA_Deliveries_Qtr!E8</f>
        <v>34</v>
      </c>
      <c r="AV6" s="38">
        <f>BCA_Deliveries_Qtr!G8</f>
        <v>30</v>
      </c>
      <c r="AW6" s="38">
        <f>BCA_Deliveries_Qtr!H8</f>
        <v>38</v>
      </c>
      <c r="AX6" s="38">
        <f>BCA_Deliveries_Qtr!I8</f>
        <v>36</v>
      </c>
      <c r="AY6" s="38">
        <f>BCA_Deliveries_Qtr!J8</f>
        <v>33</v>
      </c>
      <c r="AZ6" s="100">
        <f>BCA_Deliveries_Qtr!L8</f>
        <v>32</v>
      </c>
      <c r="BA6" s="38">
        <f>BCA_Deliveries_Qtr!M8</f>
        <v>33</v>
      </c>
      <c r="BB6" s="38">
        <f>BCA_Deliveries_Qtr!N8</f>
        <v>35</v>
      </c>
      <c r="BC6" s="38">
        <f>BCA_Deliveries_Qtr!O8</f>
        <v>36</v>
      </c>
      <c r="BD6" s="100">
        <f>BCA_Deliveries_Qtr!Q8</f>
        <v>34</v>
      </c>
      <c r="BE6" s="38">
        <f>BCA_Deliveries_Qtr!R8</f>
        <v>38</v>
      </c>
      <c r="BF6" s="38">
        <f>BCA_Deliveries_Qtr!S8</f>
        <v>34</v>
      </c>
      <c r="BG6" s="38">
        <f>BCA_Deliveries_Qtr!T8</f>
        <v>39</v>
      </c>
      <c r="BH6" s="100">
        <f>BCA_Deliveries_Qtr!V8</f>
        <v>36</v>
      </c>
      <c r="BI6" s="38">
        <f>BCA_Deliveries_Qtr!W8</f>
        <v>42</v>
      </c>
      <c r="BJ6" s="38">
        <f>BCA_Deliveries_Qtr!X8</f>
        <v>35</v>
      </c>
      <c r="BK6" s="38">
        <f>BCA_Deliveries_Qtr!Y8</f>
        <v>45</v>
      </c>
      <c r="BL6" s="100">
        <f>BCA_Deliveries_Qtr!AA8</f>
        <v>29</v>
      </c>
      <c r="BM6" s="38">
        <f>BCA_Deliveries_Qtr!AB8</f>
        <v>7</v>
      </c>
      <c r="BN6" s="38">
        <f>BCA_Deliveries_Qtr!AC8</f>
        <v>13</v>
      </c>
      <c r="BO6" s="38">
        <f>BCA_Deliveries_Qtr!AD8</f>
        <v>4</v>
      </c>
      <c r="BP6" s="100">
        <f>BCA_Deliveries_Qtr!AF8</f>
        <v>2</v>
      </c>
      <c r="BQ6" s="38">
        <f>BCA_Deliveries_Qtr!AG8</f>
        <v>12</v>
      </c>
      <c r="BR6" s="38">
        <f>BCA_Deliveries_Qtr!AH8</f>
        <v>0</v>
      </c>
      <c r="BS6" s="38">
        <f>BCA_Deliveries_Qtr!AI8</f>
        <v>0</v>
      </c>
      <c r="BT6" s="38">
        <f>BCA_Deliveries_Qtr!AK8</f>
        <v>0</v>
      </c>
      <c r="BU6" s="38">
        <f>BCA_Deliveries_Qtr!AL8</f>
        <v>0</v>
      </c>
      <c r="BV6" s="38">
        <f>BCA_Deliveries_Qtr!AM8</f>
        <v>9</v>
      </c>
      <c r="BW6" s="38">
        <f>BCA_Deliveries_Qtr!AN8</f>
        <v>22</v>
      </c>
      <c r="BX6" s="38">
        <f>BCA_Deliveries_Qtr!AP8</f>
        <v>11</v>
      </c>
      <c r="BY6" s="38">
        <f>BCA_Deliveries_Qtr!AQ8</f>
        <v>20</v>
      </c>
      <c r="BZ6" s="38">
        <f>BCA_Deliveries_Qtr!AR8</f>
        <v>19</v>
      </c>
      <c r="CA6" s="38">
        <f>BCA_Deliveries_Qtr!AS8</f>
        <v>23</v>
      </c>
      <c r="CB6" s="38">
        <f>BCA_Deliveries_Qtr!AU8</f>
        <v>13</v>
      </c>
      <c r="CC6" s="38">
        <f>BCA_Deliveries_Qtr!AV8</f>
        <v>9</v>
      </c>
      <c r="CD6" s="38">
        <f>BCA_Deliveries_Qtr!AW8</f>
        <v>14</v>
      </c>
      <c r="CE6" s="38">
        <f>BCA_Deliveries_Qtr!AX8</f>
        <v>15</v>
      </c>
      <c r="CF6" s="38">
        <f>BCA_Deliveries_Qtr!AZ8</f>
        <v>13</v>
      </c>
      <c r="CG6" s="38">
        <f>BCA_Deliveries_Qtr!BA8</f>
        <v>24</v>
      </c>
      <c r="CH6" s="38">
        <f>BCA_Deliveries_Qtr!BB8</f>
        <v>24</v>
      </c>
      <c r="CI6" s="38">
        <f>BCA_Deliveries_Qtr!BC8</f>
        <v>27</v>
      </c>
      <c r="CJ6" s="38">
        <f>BCA_Deliveries_Qtr!BE8</f>
        <v>25.25</v>
      </c>
      <c r="CK6" s="38">
        <f>BCA_Deliveries_Qtr!BF8</f>
        <v>25.25</v>
      </c>
      <c r="CL6" s="38">
        <f>BCA_Deliveries_Qtr!BG8</f>
        <v>25.25</v>
      </c>
      <c r="CM6" s="38">
        <f>BCA_Deliveries_Qtr!BH8</f>
        <v>25.25</v>
      </c>
      <c r="CN6" s="5"/>
    </row>
    <row r="7" spans="1:99" s="5" customFormat="1">
      <c r="A7" s="12" t="s">
        <v>468</v>
      </c>
      <c r="B7" s="308">
        <f t="shared" ref="B7:Q7" si="3">B5-B6</f>
        <v>0</v>
      </c>
      <c r="C7" s="308">
        <f t="shared" si="3"/>
        <v>27</v>
      </c>
      <c r="D7" s="308">
        <f t="shared" si="3"/>
        <v>5</v>
      </c>
      <c r="E7" s="308">
        <f t="shared" si="3"/>
        <v>22</v>
      </c>
      <c r="F7" s="308">
        <f t="shared" si="3"/>
        <v>6</v>
      </c>
      <c r="G7" s="308">
        <f t="shared" si="3"/>
        <v>-15</v>
      </c>
      <c r="H7" s="308">
        <f t="shared" si="3"/>
        <v>1</v>
      </c>
      <c r="I7" s="108">
        <f t="shared" si="3"/>
        <v>8</v>
      </c>
      <c r="J7" s="108">
        <f t="shared" si="3"/>
        <v>-1</v>
      </c>
      <c r="K7" s="108">
        <f t="shared" si="3"/>
        <v>10</v>
      </c>
      <c r="L7" s="108">
        <f t="shared" si="3"/>
        <v>3</v>
      </c>
      <c r="M7" s="108">
        <f>M5-M6</f>
        <v>7</v>
      </c>
      <c r="N7" s="308">
        <f t="shared" si="3"/>
        <v>-18</v>
      </c>
      <c r="O7" s="308">
        <f t="shared" si="3"/>
        <v>-49</v>
      </c>
      <c r="P7" s="308">
        <f t="shared" si="3"/>
        <v>-19</v>
      </c>
      <c r="Q7" s="308">
        <f t="shared" si="3"/>
        <v>-18</v>
      </c>
      <c r="R7" s="308">
        <f>R5-R6</f>
        <v>-5</v>
      </c>
      <c r="S7" s="308">
        <f>S5-S6</f>
        <v>0</v>
      </c>
      <c r="T7" s="308">
        <f>T5-T6</f>
        <v>0</v>
      </c>
      <c r="U7" s="308">
        <f>U5-U6</f>
        <v>0</v>
      </c>
      <c r="V7" s="308">
        <f>V5-V6</f>
        <v>0</v>
      </c>
      <c r="X7" s="108">
        <f t="shared" ref="X7:BS7" si="4">X5-X6</f>
        <v>0</v>
      </c>
      <c r="Y7" s="108">
        <f t="shared" si="4"/>
        <v>0</v>
      </c>
      <c r="Z7" s="108">
        <f t="shared" si="4"/>
        <v>0</v>
      </c>
      <c r="AA7" s="108">
        <f t="shared" si="4"/>
        <v>0</v>
      </c>
      <c r="AB7" s="108">
        <f t="shared" si="4"/>
        <v>7.5</v>
      </c>
      <c r="AC7" s="108">
        <f t="shared" si="4"/>
        <v>7.5</v>
      </c>
      <c r="AD7" s="108">
        <f t="shared" si="4"/>
        <v>6.5</v>
      </c>
      <c r="AE7" s="108">
        <f t="shared" si="4"/>
        <v>5.5</v>
      </c>
      <c r="AF7" s="108">
        <f t="shared" si="4"/>
        <v>5.5</v>
      </c>
      <c r="AG7" s="108">
        <f t="shared" si="4"/>
        <v>4.5</v>
      </c>
      <c r="AH7" s="108">
        <f t="shared" si="4"/>
        <v>3</v>
      </c>
      <c r="AI7" s="108">
        <f t="shared" si="4"/>
        <v>-8</v>
      </c>
      <c r="AJ7" s="108">
        <f t="shared" si="4"/>
        <v>14</v>
      </c>
      <c r="AK7" s="108">
        <f t="shared" si="4"/>
        <v>5</v>
      </c>
      <c r="AL7" s="108">
        <f t="shared" si="4"/>
        <v>-2</v>
      </c>
      <c r="AM7" s="108">
        <f t="shared" si="4"/>
        <v>5</v>
      </c>
      <c r="AN7" s="108">
        <f t="shared" si="4"/>
        <v>12</v>
      </c>
      <c r="AO7" s="108">
        <f t="shared" si="4"/>
        <v>0</v>
      </c>
      <c r="AP7" s="108">
        <f t="shared" si="4"/>
        <v>-1</v>
      </c>
      <c r="AQ7" s="108">
        <f t="shared" si="4"/>
        <v>-5</v>
      </c>
      <c r="AR7" s="108">
        <f t="shared" si="4"/>
        <v>0</v>
      </c>
      <c r="AS7" s="108">
        <f t="shared" si="4"/>
        <v>-4</v>
      </c>
      <c r="AT7" s="108">
        <f t="shared" si="4"/>
        <v>-7</v>
      </c>
      <c r="AU7" s="108">
        <f t="shared" si="4"/>
        <v>-4</v>
      </c>
      <c r="AV7" s="108">
        <f t="shared" si="4"/>
        <v>0</v>
      </c>
      <c r="AW7" s="108">
        <f t="shared" si="4"/>
        <v>-2</v>
      </c>
      <c r="AX7" s="108">
        <f t="shared" si="4"/>
        <v>0</v>
      </c>
      <c r="AY7" s="108">
        <f t="shared" si="4"/>
        <v>3</v>
      </c>
      <c r="AZ7" s="108">
        <f t="shared" si="4"/>
        <v>4</v>
      </c>
      <c r="BA7" s="108">
        <f t="shared" si="4"/>
        <v>3</v>
      </c>
      <c r="BB7" s="108">
        <f t="shared" si="4"/>
        <v>1</v>
      </c>
      <c r="BC7" s="108">
        <f t="shared" si="4"/>
        <v>0</v>
      </c>
      <c r="BD7" s="108">
        <f t="shared" si="4"/>
        <v>2</v>
      </c>
      <c r="BE7" s="108">
        <f t="shared" si="4"/>
        <v>-2</v>
      </c>
      <c r="BF7" s="108">
        <f t="shared" si="4"/>
        <v>2</v>
      </c>
      <c r="BG7" s="108">
        <f t="shared" si="4"/>
        <v>-3</v>
      </c>
      <c r="BH7" s="108">
        <f t="shared" si="4"/>
        <v>6</v>
      </c>
      <c r="BI7" s="108">
        <f t="shared" si="4"/>
        <v>0</v>
      </c>
      <c r="BJ7" s="108">
        <f t="shared" si="4"/>
        <v>7</v>
      </c>
      <c r="BK7" s="108">
        <f t="shared" si="4"/>
        <v>-3</v>
      </c>
      <c r="BL7" s="108">
        <f t="shared" si="4"/>
        <v>0</v>
      </c>
      <c r="BM7" s="108">
        <f t="shared" si="4"/>
        <v>0</v>
      </c>
      <c r="BN7" s="108">
        <f t="shared" si="4"/>
        <v>-3</v>
      </c>
      <c r="BO7" s="108">
        <f t="shared" si="4"/>
        <v>6</v>
      </c>
      <c r="BP7" s="108">
        <f t="shared" si="4"/>
        <v>4</v>
      </c>
      <c r="BQ7" s="108">
        <f t="shared" si="4"/>
        <v>-6</v>
      </c>
      <c r="BR7" s="108">
        <f t="shared" si="4"/>
        <v>6</v>
      </c>
      <c r="BS7" s="108">
        <f t="shared" si="4"/>
        <v>3</v>
      </c>
      <c r="BT7" s="108">
        <f>BT5-BT6</f>
        <v>0</v>
      </c>
      <c r="BU7" s="108">
        <f>BU5-BU6</f>
        <v>0</v>
      </c>
      <c r="BV7" s="108">
        <f>BV5-BV6</f>
        <v>-5</v>
      </c>
      <c r="BW7" s="108">
        <f>BW5-BW6</f>
        <v>-13</v>
      </c>
      <c r="BX7" s="108">
        <f t="shared" ref="BX7:CE7" si="5">BX5-BX6</f>
        <v>-9</v>
      </c>
      <c r="BY7" s="108">
        <f t="shared" si="5"/>
        <v>-11</v>
      </c>
      <c r="BZ7" s="108">
        <f t="shared" si="5"/>
        <v>-13</v>
      </c>
      <c r="CA7" s="108">
        <f t="shared" si="5"/>
        <v>-16</v>
      </c>
      <c r="CB7" s="108">
        <f t="shared" si="5"/>
        <v>-4</v>
      </c>
      <c r="CC7" s="108">
        <f t="shared" si="5"/>
        <v>-5</v>
      </c>
      <c r="CD7" s="108">
        <f t="shared" si="5"/>
        <v>-5</v>
      </c>
      <c r="CE7" s="108">
        <f t="shared" si="5"/>
        <v>-5</v>
      </c>
      <c r="CF7" s="108">
        <f t="shared" ref="CF7:CM7" si="6">CF5-CF6</f>
        <v>-5</v>
      </c>
      <c r="CG7" s="108">
        <f t="shared" si="6"/>
        <v>-5</v>
      </c>
      <c r="CH7" s="108">
        <f t="shared" si="6"/>
        <v>-4</v>
      </c>
      <c r="CI7" s="108">
        <f t="shared" si="6"/>
        <v>-4</v>
      </c>
      <c r="CJ7" s="108">
        <f t="shared" si="6"/>
        <v>-1.25</v>
      </c>
      <c r="CK7" s="108">
        <f t="shared" si="6"/>
        <v>-1.25</v>
      </c>
      <c r="CL7" s="108">
        <f t="shared" si="6"/>
        <v>-1.25</v>
      </c>
      <c r="CM7" s="108">
        <f t="shared" si="6"/>
        <v>-1.25</v>
      </c>
    </row>
    <row r="8" spans="1:99" s="5" customFormat="1" outlineLevel="1">
      <c r="A8" s="12"/>
      <c r="B8" s="308"/>
      <c r="C8" s="308"/>
      <c r="D8" s="308"/>
      <c r="E8" s="308"/>
      <c r="F8" s="308"/>
      <c r="G8" s="308"/>
      <c r="H8" s="308"/>
      <c r="I8" s="40"/>
      <c r="J8" s="40"/>
      <c r="K8" s="40"/>
      <c r="L8" s="40"/>
      <c r="M8" s="40"/>
      <c r="N8" s="308"/>
      <c r="O8" s="308"/>
      <c r="P8" s="308"/>
      <c r="Q8" s="308"/>
      <c r="R8" s="308"/>
      <c r="S8" s="308"/>
      <c r="T8" s="308"/>
      <c r="U8" s="308"/>
      <c r="V8" s="308"/>
      <c r="W8" s="499" t="s">
        <v>674</v>
      </c>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18"/>
      <c r="AV8" s="308"/>
      <c r="AW8" s="308"/>
      <c r="AX8" s="308"/>
      <c r="AY8" s="318"/>
      <c r="AZ8" s="40"/>
      <c r="BA8" s="108"/>
      <c r="BB8" s="40"/>
      <c r="BC8" s="108"/>
      <c r="BD8" s="40"/>
      <c r="BE8" s="40"/>
      <c r="BF8" s="40"/>
      <c r="BG8" s="108"/>
      <c r="BH8" s="40"/>
      <c r="BI8" s="40"/>
      <c r="BJ8" s="40"/>
      <c r="BK8" s="108"/>
      <c r="BL8" s="40"/>
      <c r="BM8" s="308"/>
      <c r="BN8" s="308"/>
      <c r="BO8" s="318"/>
      <c r="BP8" s="314"/>
      <c r="BQ8" s="308"/>
      <c r="BR8" s="308"/>
      <c r="BS8" s="318"/>
      <c r="BT8" s="318"/>
      <c r="BU8" s="318"/>
      <c r="BV8" s="318"/>
      <c r="BW8" s="318"/>
      <c r="BX8" s="318"/>
      <c r="BY8" s="318"/>
      <c r="BZ8" s="318"/>
      <c r="CA8" s="318"/>
      <c r="CB8" s="318"/>
      <c r="CC8" s="318"/>
      <c r="CD8" s="318"/>
      <c r="CE8" s="318"/>
      <c r="CF8" s="318"/>
      <c r="CG8" s="318"/>
      <c r="CH8" s="318"/>
      <c r="CI8" s="318"/>
      <c r="CJ8" s="308"/>
      <c r="CK8" s="308"/>
      <c r="CL8" s="308"/>
      <c r="CM8" s="308"/>
    </row>
    <row r="9" spans="1:99" s="5" customFormat="1" outlineLevel="1">
      <c r="A9" s="339" t="s">
        <v>509</v>
      </c>
      <c r="B9" s="340">
        <f>BCA_Model_Annual!L20</f>
        <v>140.30000000000001</v>
      </c>
      <c r="C9" s="340">
        <f>BCA_Model_Annual!M20</f>
        <v>140.30000000000001</v>
      </c>
      <c r="D9" s="340">
        <f>BCA_Model_Annual!N20</f>
        <v>115</v>
      </c>
      <c r="E9" s="340">
        <f>BCA_Model_Annual!O20</f>
        <v>115</v>
      </c>
      <c r="F9" s="340">
        <f>BCA_Model_Annual!P20</f>
        <v>117.01754385964912</v>
      </c>
      <c r="G9" s="340">
        <f>BCA_Model_Annual!Q20</f>
        <v>125.9037037037037</v>
      </c>
      <c r="H9" s="340">
        <f>BCA_Model_Annual!R20</f>
        <v>131.63503649635035</v>
      </c>
      <c r="I9" s="340">
        <f>BCA_Model_Annual!S20</f>
        <v>133.1764705882353</v>
      </c>
      <c r="J9" s="340">
        <f>BCA_Model_Annual!T20</f>
        <v>137.86206896551724</v>
      </c>
      <c r="K9" s="340">
        <f>BCA_Model_Annual!U20</f>
        <v>140.31645569620252</v>
      </c>
      <c r="L9" s="340">
        <f>BCA_Model_Annual!V20</f>
        <v>142.41666666666666</v>
      </c>
      <c r="M9" s="340">
        <f>BCA_Model_Annual!W20</f>
        <v>138</v>
      </c>
      <c r="N9" s="340">
        <f>BCA_Model_Annual!X20</f>
        <v>123</v>
      </c>
      <c r="O9" s="340">
        <f>BCA_Model_Annual!Y20</f>
        <v>110</v>
      </c>
      <c r="P9" s="340">
        <f>BCA_Model_Annual!Z20</f>
        <v>125</v>
      </c>
      <c r="Q9" s="340">
        <f>BCA_Model_Annual!AA20</f>
        <v>127</v>
      </c>
      <c r="R9" s="340">
        <f>BCA_Model_Annual!AB20</f>
        <v>145</v>
      </c>
      <c r="S9" s="340">
        <f>BCA_Model_Annual!AC20</f>
        <v>145</v>
      </c>
      <c r="T9" s="340">
        <f>BCA_Model_Annual!AD20</f>
        <v>145</v>
      </c>
      <c r="U9" s="340">
        <f>BCA_Model_Annual!AE20</f>
        <v>149.35</v>
      </c>
      <c r="V9" s="340">
        <f>BCA_Model_Annual!AF20</f>
        <v>153.8305</v>
      </c>
      <c r="X9" s="366">
        <f>BCA_Model_Annual!$L$20</f>
        <v>140.30000000000001</v>
      </c>
      <c r="Y9" s="367">
        <f t="shared" ref="Y9:AA10" si="7">X9</f>
        <v>140.30000000000001</v>
      </c>
      <c r="Z9" s="367">
        <f t="shared" si="7"/>
        <v>140.30000000000001</v>
      </c>
      <c r="AA9" s="367">
        <f t="shared" si="7"/>
        <v>140.30000000000001</v>
      </c>
      <c r="AB9" s="366">
        <f>BCA_Model_Annual!$M$20</f>
        <v>140.30000000000001</v>
      </c>
      <c r="AC9" s="367">
        <f t="shared" ref="AC9:AE10" si="8">AB9</f>
        <v>140.30000000000001</v>
      </c>
      <c r="AD9" s="367">
        <f t="shared" si="8"/>
        <v>140.30000000000001</v>
      </c>
      <c r="AE9" s="367">
        <f t="shared" si="8"/>
        <v>140.30000000000001</v>
      </c>
      <c r="AF9" s="366">
        <f>BCA_Model_Annual!$N$20</f>
        <v>115</v>
      </c>
      <c r="AG9" s="367">
        <f t="shared" ref="AG9:AI10" si="9">AF9</f>
        <v>115</v>
      </c>
      <c r="AH9" s="367">
        <f t="shared" si="9"/>
        <v>115</v>
      </c>
      <c r="AI9" s="367">
        <f t="shared" si="9"/>
        <v>115</v>
      </c>
      <c r="AJ9" s="366">
        <f>BCA_Model_Annual!$O$20</f>
        <v>115</v>
      </c>
      <c r="AK9" s="367">
        <f t="shared" ref="AK9:AM10" si="10">AJ9</f>
        <v>115</v>
      </c>
      <c r="AL9" s="367">
        <f t="shared" si="10"/>
        <v>115</v>
      </c>
      <c r="AM9" s="367">
        <f t="shared" si="10"/>
        <v>115</v>
      </c>
      <c r="AN9" s="366">
        <f>BCA_Model_Annual!$P$20</f>
        <v>117.01754385964912</v>
      </c>
      <c r="AO9" s="367">
        <f t="shared" ref="AO9:AQ10" si="11">AN9</f>
        <v>117.01754385964912</v>
      </c>
      <c r="AP9" s="367">
        <f t="shared" si="11"/>
        <v>117.01754385964912</v>
      </c>
      <c r="AQ9" s="367">
        <f t="shared" si="11"/>
        <v>117.01754385964912</v>
      </c>
      <c r="AR9" s="366">
        <f>BCA_Model_Annual!$Q$20</f>
        <v>125.9037037037037</v>
      </c>
      <c r="AS9" s="367">
        <f t="shared" ref="AS9:AU10" si="12">AR9</f>
        <v>125.9037037037037</v>
      </c>
      <c r="AT9" s="367">
        <f t="shared" si="12"/>
        <v>125.9037037037037</v>
      </c>
      <c r="AU9" s="367">
        <f t="shared" si="12"/>
        <v>125.9037037037037</v>
      </c>
      <c r="AV9" s="366">
        <f>BCA_Model_Annual!$R$20</f>
        <v>131.63503649635035</v>
      </c>
      <c r="AW9" s="367">
        <f t="shared" ref="AW9:AY10" si="13">AV9</f>
        <v>131.63503649635035</v>
      </c>
      <c r="AX9" s="367">
        <f t="shared" si="13"/>
        <v>131.63503649635035</v>
      </c>
      <c r="AY9" s="367">
        <f t="shared" si="13"/>
        <v>131.63503649635035</v>
      </c>
      <c r="AZ9" s="366">
        <f>BCA_Model_Annual!$S$20</f>
        <v>133.1764705882353</v>
      </c>
      <c r="BA9" s="367">
        <f t="shared" ref="BA9:BC10" si="14">AZ9</f>
        <v>133.1764705882353</v>
      </c>
      <c r="BB9" s="367">
        <f t="shared" si="14"/>
        <v>133.1764705882353</v>
      </c>
      <c r="BC9" s="367">
        <f t="shared" si="14"/>
        <v>133.1764705882353</v>
      </c>
      <c r="BD9" s="366">
        <f>BCA_Model_Annual!$T$20</f>
        <v>137.86206896551724</v>
      </c>
      <c r="BE9" s="367">
        <f t="shared" ref="BE9:BG10" si="15">BD9</f>
        <v>137.86206896551724</v>
      </c>
      <c r="BF9" s="367">
        <f t="shared" si="15"/>
        <v>137.86206896551724</v>
      </c>
      <c r="BG9" s="367">
        <f t="shared" si="15"/>
        <v>137.86206896551724</v>
      </c>
      <c r="BH9" s="366">
        <f>BCA_Model_Annual!$U$20</f>
        <v>140.31645569620252</v>
      </c>
      <c r="BI9" s="367">
        <f t="shared" ref="BI9:BK10" si="16">BH9</f>
        <v>140.31645569620252</v>
      </c>
      <c r="BJ9" s="367">
        <f t="shared" si="16"/>
        <v>140.31645569620252</v>
      </c>
      <c r="BK9" s="367">
        <f t="shared" si="16"/>
        <v>140.31645569620252</v>
      </c>
      <c r="BL9" s="366">
        <f>BCA_Model_Annual!$V$20</f>
        <v>142.41666666666666</v>
      </c>
      <c r="BM9" s="367">
        <f t="shared" ref="BM9:BO10" si="17">BL9</f>
        <v>142.41666666666666</v>
      </c>
      <c r="BN9" s="367">
        <f t="shared" si="17"/>
        <v>142.41666666666666</v>
      </c>
      <c r="BO9" s="367">
        <f t="shared" si="17"/>
        <v>142.41666666666666</v>
      </c>
      <c r="BP9" s="366">
        <f>BCA_Model_Annual!$W$20</f>
        <v>138</v>
      </c>
      <c r="BQ9" s="367"/>
      <c r="BR9" s="367">
        <f t="shared" ref="BQ9:BS10" si="18">BQ9</f>
        <v>0</v>
      </c>
      <c r="BS9" s="367">
        <f t="shared" si="18"/>
        <v>0</v>
      </c>
      <c r="BT9" s="367">
        <f>BS9</f>
        <v>0</v>
      </c>
      <c r="BU9" s="367">
        <f>BT9</f>
        <v>0</v>
      </c>
      <c r="BV9" s="367">
        <f>N9</f>
        <v>123</v>
      </c>
      <c r="BW9" s="367">
        <f>BV9</f>
        <v>123</v>
      </c>
      <c r="BX9" s="367">
        <f t="shared" ref="BX9:CA10" si="19">BW9</f>
        <v>123</v>
      </c>
      <c r="BY9" s="367">
        <f t="shared" si="19"/>
        <v>123</v>
      </c>
      <c r="BZ9" s="367">
        <f t="shared" si="19"/>
        <v>123</v>
      </c>
      <c r="CA9" s="367">
        <f t="shared" si="19"/>
        <v>123</v>
      </c>
      <c r="CB9" s="367">
        <f t="shared" ref="CB9:CB10" si="20">CA9</f>
        <v>123</v>
      </c>
      <c r="CC9" s="367">
        <f t="shared" ref="CC9:CC10" si="21">CB9</f>
        <v>123</v>
      </c>
      <c r="CD9" s="367">
        <f t="shared" ref="CD9:CD10" si="22">CC9</f>
        <v>123</v>
      </c>
      <c r="CE9" s="367">
        <f t="shared" ref="CE9:CE10" si="23">CD9</f>
        <v>123</v>
      </c>
      <c r="CF9" s="366">
        <f>Q9</f>
        <v>127</v>
      </c>
      <c r="CG9" s="366">
        <f t="shared" ref="CG9:CG10" si="24">CF9</f>
        <v>127</v>
      </c>
      <c r="CH9" s="366">
        <f t="shared" ref="CH9:CH10" si="25">CG9</f>
        <v>127</v>
      </c>
      <c r="CI9" s="366">
        <f t="shared" ref="CI9:CI10" si="26">CH9</f>
        <v>127</v>
      </c>
      <c r="CJ9" s="566">
        <f>$R9</f>
        <v>145</v>
      </c>
      <c r="CK9" s="566">
        <f t="shared" ref="CK9:CM9" si="27">$R9</f>
        <v>145</v>
      </c>
      <c r="CL9" s="566">
        <f t="shared" si="27"/>
        <v>145</v>
      </c>
      <c r="CM9" s="566">
        <f t="shared" si="27"/>
        <v>145</v>
      </c>
      <c r="CQ9" s="5" t="s">
        <v>206</v>
      </c>
      <c r="CR9" s="5" t="s">
        <v>207</v>
      </c>
      <c r="CS9" s="5" t="s">
        <v>208</v>
      </c>
      <c r="CT9" s="5" t="s">
        <v>595</v>
      </c>
    </row>
    <row r="10" spans="1:99" s="5" customFormat="1" outlineLevel="1">
      <c r="A10" s="339" t="s">
        <v>12</v>
      </c>
      <c r="B10" s="341">
        <f>BCA_Model_Annual!L39+B163</f>
        <v>2.6855969893944578E-2</v>
      </c>
      <c r="C10" s="341">
        <f>BCA_Model_Annual!M39+C163</f>
        <v>2.4368953226158434E-2</v>
      </c>
      <c r="D10" s="341">
        <f>BCA_Model_Annual!N39+D163</f>
        <v>2.2167005312247547E-2</v>
      </c>
      <c r="E10" s="341">
        <f>BCA_Model_Annual!O39+E163</f>
        <v>2.1287648776883737E-2</v>
      </c>
      <c r="F10" s="341">
        <f>BCA_Model_Annual!P39+F163</f>
        <v>2.0999977964346311E-2</v>
      </c>
      <c r="G10" s="341">
        <f>BCA_Model_Annual!Q39+G163</f>
        <v>1.907110306511018E-2</v>
      </c>
      <c r="H10" s="341">
        <f>BCA_Model_Annual!R39+H163</f>
        <v>2.0196466147127556E-2</v>
      </c>
      <c r="I10" s="341">
        <f>BCA_Model_Annual!S39+I163</f>
        <v>3.1775437476729965E-2</v>
      </c>
      <c r="J10" s="341">
        <f>BCA_Model_Annual!T39+J163</f>
        <v>4.0904407329397693E-2</v>
      </c>
      <c r="K10" s="341">
        <f>BCA_Model_Annual!U39+K163</f>
        <v>5.9663396857325718E-2</v>
      </c>
      <c r="L10" s="341">
        <f>BCA_Model_Annual!V39+L163</f>
        <v>4.8618934626362673E-2</v>
      </c>
      <c r="M10" s="341">
        <f>BCA_Model_Annual!W39+M163</f>
        <v>3.4421860450181418E-2</v>
      </c>
      <c r="N10" s="341">
        <f>BCA_Model_Annual!X39+N163</f>
        <v>2.9711145808311315E-2</v>
      </c>
      <c r="O10" s="341">
        <f>BCA_Model_Annual!Y39+O163</f>
        <v>2.3922153379438003E-2</v>
      </c>
      <c r="P10" s="341">
        <f>BCA_Model_Annual!Z39+P163</f>
        <v>2.7601966414600779E-2</v>
      </c>
      <c r="Q10" s="341">
        <f>BCA_Model_Annual!AA39+Q163</f>
        <v>2.1830253847959492E-2</v>
      </c>
      <c r="R10" s="341">
        <f>BCA_Model_Annual!AB39+R163</f>
        <v>2.0796624929571673E-2</v>
      </c>
      <c r="S10" s="341">
        <f>BCA_Model_Annual!AC39+S163</f>
        <v>2.6087686374285123E-2</v>
      </c>
      <c r="T10" s="341">
        <f>BCA_Model_Annual!AD39+T163</f>
        <v>2.5606919358635055E-2</v>
      </c>
      <c r="U10" s="341">
        <f>BCA_Model_Annual!AE39+U163</f>
        <v>0</v>
      </c>
      <c r="V10" s="341">
        <f>BCA_Model_Annual!AF39+V163</f>
        <v>0</v>
      </c>
      <c r="X10" s="368">
        <v>0</v>
      </c>
      <c r="Y10" s="369">
        <f t="shared" si="7"/>
        <v>0</v>
      </c>
      <c r="Z10" s="369">
        <f t="shared" si="7"/>
        <v>0</v>
      </c>
      <c r="AA10" s="369">
        <f t="shared" si="7"/>
        <v>0</v>
      </c>
      <c r="AB10" s="368">
        <v>0</v>
      </c>
      <c r="AC10" s="369">
        <f t="shared" si="8"/>
        <v>0</v>
      </c>
      <c r="AD10" s="369">
        <f t="shared" si="8"/>
        <v>0</v>
      </c>
      <c r="AE10" s="369">
        <f t="shared" si="8"/>
        <v>0</v>
      </c>
      <c r="AF10" s="368">
        <v>0</v>
      </c>
      <c r="AG10" s="369">
        <f t="shared" si="9"/>
        <v>0</v>
      </c>
      <c r="AH10" s="369">
        <f t="shared" si="9"/>
        <v>0</v>
      </c>
      <c r="AI10" s="369">
        <f t="shared" si="9"/>
        <v>0</v>
      </c>
      <c r="AJ10" s="368">
        <v>0</v>
      </c>
      <c r="AK10" s="369">
        <f t="shared" si="10"/>
        <v>0</v>
      </c>
      <c r="AL10" s="369">
        <f t="shared" si="10"/>
        <v>0</v>
      </c>
      <c r="AM10" s="369">
        <f t="shared" si="10"/>
        <v>0</v>
      </c>
      <c r="AN10" s="368">
        <v>0</v>
      </c>
      <c r="AO10" s="369">
        <f t="shared" si="11"/>
        <v>0</v>
      </c>
      <c r="AP10" s="369">
        <f t="shared" si="11"/>
        <v>0</v>
      </c>
      <c r="AQ10" s="369">
        <f t="shared" si="11"/>
        <v>0</v>
      </c>
      <c r="AR10" s="368">
        <v>0</v>
      </c>
      <c r="AS10" s="369">
        <f t="shared" si="12"/>
        <v>0</v>
      </c>
      <c r="AT10" s="369">
        <f t="shared" si="12"/>
        <v>0</v>
      </c>
      <c r="AU10" s="369">
        <f t="shared" si="12"/>
        <v>0</v>
      </c>
      <c r="AV10" s="368">
        <v>0</v>
      </c>
      <c r="AW10" s="369">
        <f t="shared" si="13"/>
        <v>0</v>
      </c>
      <c r="AX10" s="369">
        <f t="shared" si="13"/>
        <v>0</v>
      </c>
      <c r="AY10" s="369">
        <f t="shared" si="13"/>
        <v>0</v>
      </c>
      <c r="AZ10" s="368">
        <v>0</v>
      </c>
      <c r="BA10" s="369">
        <f t="shared" si="14"/>
        <v>0</v>
      </c>
      <c r="BB10" s="369">
        <f t="shared" si="14"/>
        <v>0</v>
      </c>
      <c r="BC10" s="369">
        <f t="shared" si="14"/>
        <v>0</v>
      </c>
      <c r="BD10" s="368">
        <v>0</v>
      </c>
      <c r="BE10" s="369">
        <f t="shared" si="15"/>
        <v>0</v>
      </c>
      <c r="BF10" s="369">
        <f t="shared" si="15"/>
        <v>0</v>
      </c>
      <c r="BG10" s="369">
        <f t="shared" si="15"/>
        <v>0</v>
      </c>
      <c r="BH10" s="368">
        <v>0</v>
      </c>
      <c r="BI10" s="369">
        <f t="shared" si="16"/>
        <v>0</v>
      </c>
      <c r="BJ10" s="369">
        <f t="shared" si="16"/>
        <v>0</v>
      </c>
      <c r="BK10" s="369">
        <f t="shared" si="16"/>
        <v>0</v>
      </c>
      <c r="BL10" s="368">
        <v>0</v>
      </c>
      <c r="BM10" s="369">
        <f t="shared" si="17"/>
        <v>0</v>
      </c>
      <c r="BN10" s="369">
        <f t="shared" si="17"/>
        <v>0</v>
      </c>
      <c r="BO10" s="369">
        <f t="shared" si="17"/>
        <v>0</v>
      </c>
      <c r="BP10" s="368">
        <v>0</v>
      </c>
      <c r="BQ10" s="369">
        <f t="shared" si="18"/>
        <v>0</v>
      </c>
      <c r="BR10" s="369">
        <f t="shared" si="18"/>
        <v>0</v>
      </c>
      <c r="BS10" s="369">
        <f t="shared" si="18"/>
        <v>0</v>
      </c>
      <c r="BT10" s="369">
        <f>BS10</f>
        <v>0</v>
      </c>
      <c r="BU10" s="369">
        <f>BT10</f>
        <v>0</v>
      </c>
      <c r="BV10" s="369">
        <f>BU10</f>
        <v>0</v>
      </c>
      <c r="BW10" s="369">
        <f>BV10</f>
        <v>0</v>
      </c>
      <c r="BX10" s="369">
        <f>O10</f>
        <v>2.3922153379438003E-2</v>
      </c>
      <c r="BY10" s="369">
        <f t="shared" si="19"/>
        <v>2.3922153379438003E-2</v>
      </c>
      <c r="BZ10" s="369">
        <f t="shared" si="19"/>
        <v>2.3922153379438003E-2</v>
      </c>
      <c r="CA10" s="369">
        <f t="shared" si="19"/>
        <v>2.3922153379438003E-2</v>
      </c>
      <c r="CB10" s="369">
        <f t="shared" si="20"/>
        <v>2.3922153379438003E-2</v>
      </c>
      <c r="CC10" s="369">
        <f t="shared" si="21"/>
        <v>2.3922153379438003E-2</v>
      </c>
      <c r="CD10" s="369">
        <f t="shared" si="22"/>
        <v>2.3922153379438003E-2</v>
      </c>
      <c r="CE10" s="369">
        <f t="shared" si="23"/>
        <v>2.3922153379438003E-2</v>
      </c>
      <c r="CF10" s="556">
        <f>Q10</f>
        <v>2.1830253847959492E-2</v>
      </c>
      <c r="CG10" s="557">
        <f t="shared" si="24"/>
        <v>2.1830253847959492E-2</v>
      </c>
      <c r="CH10" s="557">
        <f t="shared" si="25"/>
        <v>2.1830253847959492E-2</v>
      </c>
      <c r="CI10" s="557">
        <f t="shared" si="26"/>
        <v>2.1830253847959492E-2</v>
      </c>
      <c r="CJ10" s="567">
        <f>$Q10</f>
        <v>2.1830253847959492E-2</v>
      </c>
      <c r="CK10" s="567">
        <f t="shared" ref="CK10:CM10" si="28">$Q10</f>
        <v>2.1830253847959492E-2</v>
      </c>
      <c r="CL10" s="567">
        <f t="shared" si="28"/>
        <v>2.1830253847959492E-2</v>
      </c>
      <c r="CM10" s="567">
        <f t="shared" si="28"/>
        <v>2.1830253847959492E-2</v>
      </c>
      <c r="CO10" s="5">
        <v>737</v>
      </c>
      <c r="CP10" s="43"/>
      <c r="CQ10" s="43">
        <v>388</v>
      </c>
      <c r="CR10" s="43">
        <v>582</v>
      </c>
      <c r="CS10" s="43">
        <v>641</v>
      </c>
      <c r="CT10" s="43">
        <v>600</v>
      </c>
      <c r="CU10" s="43"/>
    </row>
    <row r="11" spans="1:99" s="5" customFormat="1" outlineLevel="1">
      <c r="A11" s="342" t="s">
        <v>510</v>
      </c>
      <c r="B11" s="343">
        <f>IF(B10&gt;0,(B9/(1+B10)),B9)</f>
        <v>136.6306513409962</v>
      </c>
      <c r="C11" s="343">
        <f t="shared" ref="C11:V11" si="29">IF(C10&gt;0,(C9/(1+C10)),B11)</f>
        <v>136.96237040193157</v>
      </c>
      <c r="D11" s="343">
        <f t="shared" si="29"/>
        <v>112.50607718928498</v>
      </c>
      <c r="E11" s="343">
        <f t="shared" si="29"/>
        <v>112.60294799190657</v>
      </c>
      <c r="F11" s="343">
        <f t="shared" si="29"/>
        <v>114.61072123914914</v>
      </c>
      <c r="G11" s="343">
        <f t="shared" si="29"/>
        <v>123.54751628715302</v>
      </c>
      <c r="H11" s="343">
        <f t="shared" si="29"/>
        <v>129.02910455422673</v>
      </c>
      <c r="I11" s="343">
        <f t="shared" si="29"/>
        <v>129.075054271428</v>
      </c>
      <c r="J11" s="343">
        <f t="shared" si="29"/>
        <v>132.4445049850676</v>
      </c>
      <c r="K11" s="343">
        <f t="shared" si="29"/>
        <v>132.41606354654041</v>
      </c>
      <c r="L11" s="343">
        <f t="shared" si="29"/>
        <v>135.81355625378984</v>
      </c>
      <c r="M11" s="343">
        <f t="shared" si="29"/>
        <v>133.40785348440167</v>
      </c>
      <c r="N11" s="343">
        <f t="shared" si="29"/>
        <v>119.45097467450101</v>
      </c>
      <c r="O11" s="343">
        <f t="shared" si="29"/>
        <v>107.43004205636808</v>
      </c>
      <c r="P11" s="343">
        <f t="shared" si="29"/>
        <v>121.64242973973344</v>
      </c>
      <c r="Q11" s="343">
        <f t="shared" si="29"/>
        <v>124.28678787083223</v>
      </c>
      <c r="R11" s="343">
        <f t="shared" si="29"/>
        <v>142.04592419180858</v>
      </c>
      <c r="S11" s="343">
        <f t="shared" si="29"/>
        <v>141.31345880619844</v>
      </c>
      <c r="T11" s="343">
        <f t="shared" si="29"/>
        <v>141.37970138761932</v>
      </c>
      <c r="U11" s="343">
        <f t="shared" si="29"/>
        <v>141.37970138761932</v>
      </c>
      <c r="V11" s="343">
        <f t="shared" si="29"/>
        <v>141.37970138761932</v>
      </c>
      <c r="X11" s="370">
        <f ca="1">IF(X10&gt;0,(X9/(1+X10)),Y11)</f>
        <v>122.00000000000001</v>
      </c>
      <c r="Y11" s="370">
        <f t="shared" ref="Y11:BS11" ca="1" si="30">IF(Y10&gt;0,(Y9/(1+Y10)),X11)</f>
        <v>122.00000000000001</v>
      </c>
      <c r="Z11" s="370">
        <f t="shared" ca="1" si="30"/>
        <v>122.00000000000001</v>
      </c>
      <c r="AA11" s="370">
        <f t="shared" ca="1" si="30"/>
        <v>122.00000000000001</v>
      </c>
      <c r="AB11" s="370">
        <f t="shared" ca="1" si="30"/>
        <v>122.00000000000001</v>
      </c>
      <c r="AC11" s="370">
        <f t="shared" ca="1" si="30"/>
        <v>122.00000000000001</v>
      </c>
      <c r="AD11" s="370">
        <f t="shared" ca="1" si="30"/>
        <v>122.00000000000001</v>
      </c>
      <c r="AE11" s="370">
        <f t="shared" ca="1" si="30"/>
        <v>122.00000000000001</v>
      </c>
      <c r="AF11" s="370">
        <f t="shared" ca="1" si="30"/>
        <v>122.00000000000001</v>
      </c>
      <c r="AG11" s="370">
        <f t="shared" ca="1" si="30"/>
        <v>122.00000000000001</v>
      </c>
      <c r="AH11" s="370">
        <f t="shared" ca="1" si="30"/>
        <v>122.00000000000001</v>
      </c>
      <c r="AI11" s="370">
        <f t="shared" ca="1" si="30"/>
        <v>122.00000000000001</v>
      </c>
      <c r="AJ11" s="370">
        <f t="shared" ca="1" si="30"/>
        <v>122.00000000000001</v>
      </c>
      <c r="AK11" s="370">
        <f t="shared" ca="1" si="30"/>
        <v>122.00000000000001</v>
      </c>
      <c r="AL11" s="370">
        <f t="shared" ca="1" si="30"/>
        <v>122.00000000000001</v>
      </c>
      <c r="AM11" s="370">
        <f t="shared" ca="1" si="30"/>
        <v>122.00000000000001</v>
      </c>
      <c r="AN11" s="370">
        <f t="shared" ca="1" si="30"/>
        <v>122.00000000000001</v>
      </c>
      <c r="AO11" s="370">
        <f t="shared" ca="1" si="30"/>
        <v>122.00000000000001</v>
      </c>
      <c r="AP11" s="370">
        <f t="shared" ca="1" si="30"/>
        <v>122.00000000000001</v>
      </c>
      <c r="AQ11" s="370">
        <f t="shared" ca="1" si="30"/>
        <v>122.00000000000001</v>
      </c>
      <c r="AR11" s="370">
        <f t="shared" ca="1" si="30"/>
        <v>122.00000000000001</v>
      </c>
      <c r="AS11" s="370">
        <f t="shared" ca="1" si="30"/>
        <v>122.00000000000001</v>
      </c>
      <c r="AT11" s="370">
        <f t="shared" ca="1" si="30"/>
        <v>122.00000000000001</v>
      </c>
      <c r="AU11" s="370">
        <f t="shared" ca="1" si="30"/>
        <v>122.00000000000001</v>
      </c>
      <c r="AV11" s="370">
        <f t="shared" ca="1" si="30"/>
        <v>122.00000000000001</v>
      </c>
      <c r="AW11" s="370">
        <f t="shared" ca="1" si="30"/>
        <v>122.00000000000001</v>
      </c>
      <c r="AX11" s="370">
        <f t="shared" ca="1" si="30"/>
        <v>122.00000000000001</v>
      </c>
      <c r="AY11" s="370">
        <f t="shared" ca="1" si="30"/>
        <v>122.00000000000001</v>
      </c>
      <c r="AZ11" s="370">
        <f t="shared" ca="1" si="30"/>
        <v>122.00000000000001</v>
      </c>
      <c r="BA11" s="370">
        <f t="shared" ca="1" si="30"/>
        <v>122.00000000000001</v>
      </c>
      <c r="BB11" s="370">
        <f t="shared" ca="1" si="30"/>
        <v>122.00000000000001</v>
      </c>
      <c r="BC11" s="370">
        <f t="shared" ca="1" si="30"/>
        <v>122.00000000000001</v>
      </c>
      <c r="BD11" s="370">
        <f t="shared" ca="1" si="30"/>
        <v>122.00000000000001</v>
      </c>
      <c r="BE11" s="370">
        <f t="shared" ca="1" si="30"/>
        <v>122.00000000000001</v>
      </c>
      <c r="BF11" s="370">
        <f t="shared" ca="1" si="30"/>
        <v>122.00000000000001</v>
      </c>
      <c r="BG11" s="370">
        <f t="shared" ca="1" si="30"/>
        <v>122.00000000000001</v>
      </c>
      <c r="BH11" s="370">
        <f t="shared" ca="1" si="30"/>
        <v>122.00000000000001</v>
      </c>
      <c r="BI11" s="370">
        <f t="shared" ca="1" si="30"/>
        <v>122.00000000000001</v>
      </c>
      <c r="BJ11" s="370">
        <f t="shared" ca="1" si="30"/>
        <v>122.00000000000001</v>
      </c>
      <c r="BK11" s="370">
        <f t="shared" ca="1" si="30"/>
        <v>122.00000000000001</v>
      </c>
      <c r="BL11" s="370">
        <f t="shared" ca="1" si="30"/>
        <v>122.00000000000001</v>
      </c>
      <c r="BM11" s="370">
        <f t="shared" ca="1" si="30"/>
        <v>122.00000000000001</v>
      </c>
      <c r="BN11" s="370">
        <f t="shared" ca="1" si="30"/>
        <v>122.00000000000001</v>
      </c>
      <c r="BO11" s="370">
        <f t="shared" ca="1" si="30"/>
        <v>122.00000000000001</v>
      </c>
      <c r="BP11" s="370">
        <f t="shared" ca="1" si="30"/>
        <v>122.00000000000001</v>
      </c>
      <c r="BQ11" s="370">
        <f t="shared" ca="1" si="30"/>
        <v>122.00000000000001</v>
      </c>
      <c r="BR11" s="370">
        <f t="shared" ca="1" si="30"/>
        <v>122.00000000000001</v>
      </c>
      <c r="BS11" s="370">
        <f t="shared" ca="1" si="30"/>
        <v>122.00000000000001</v>
      </c>
      <c r="BT11" s="370">
        <f ca="1">IF(BT10&gt;0,(BT9/(1+BT10)),BS11)</f>
        <v>122.00000000000001</v>
      </c>
      <c r="BU11" s="370">
        <f ca="1">IF(BU10&gt;0,(BU9/(1+BU10)),BT11)</f>
        <v>122.00000000000001</v>
      </c>
      <c r="BV11" s="370">
        <f ca="1">IF(BV10&gt;0,(BV9/(1+BV10)),BU11)</f>
        <v>122.00000000000001</v>
      </c>
      <c r="BW11" s="370">
        <f ca="1">IF(BW10&gt;0,(BW9/(1+BW10)),BV11)</f>
        <v>122.00000000000001</v>
      </c>
      <c r="BX11" s="370">
        <f t="shared" ref="BX11:CA11" si="31">IF(BX10&gt;0,(BX9/(1+BX10)),BW11)</f>
        <v>120.12631975393886</v>
      </c>
      <c r="BY11" s="370">
        <f t="shared" si="31"/>
        <v>120.12631975393886</v>
      </c>
      <c r="BZ11" s="370">
        <f t="shared" si="31"/>
        <v>120.12631975393886</v>
      </c>
      <c r="CA11" s="370">
        <f t="shared" si="31"/>
        <v>120.12631975393886</v>
      </c>
      <c r="CB11" s="370">
        <f t="shared" ref="CB11" si="32">IF(CB10&gt;0,(CB9/(1+CB10)),CA11)</f>
        <v>120.12631975393886</v>
      </c>
      <c r="CC11" s="370">
        <f t="shared" ref="CC11" si="33">IF(CC10&gt;0,(CC9/(1+CC10)),CB11)</f>
        <v>120.12631975393886</v>
      </c>
      <c r="CD11" s="370">
        <f t="shared" ref="CD11" si="34">IF(CD10&gt;0,(CD9/(1+CD10)),CC11)</f>
        <v>120.12631975393886</v>
      </c>
      <c r="CE11" s="370">
        <f t="shared" ref="CE11" si="35">IF(CE10&gt;0,(CE9/(1+CE10)),CD11)</f>
        <v>120.12631975393886</v>
      </c>
      <c r="CF11" s="370">
        <f>IF(CF10&gt;0,(CF9/(1+CF10)),CE11)</f>
        <v>124.28678787083223</v>
      </c>
      <c r="CG11" s="370">
        <f t="shared" ref="CG11" si="36">IF(CG10&gt;0,(CG9/(1+CG10)),CF11)</f>
        <v>124.28678787083223</v>
      </c>
      <c r="CH11" s="370">
        <f t="shared" ref="CH11" si="37">IF(CH10&gt;0,(CH9/(1+CH10)),CG11)</f>
        <v>124.28678787083223</v>
      </c>
      <c r="CI11" s="370">
        <f t="shared" ref="CI11" si="38">IF(CI10&gt;0,(CI9/(1+CI10)),CH11)</f>
        <v>124.28678787083223</v>
      </c>
      <c r="CJ11" s="370">
        <f>IF(CJ10&gt;0,(CJ9/(1+CJ10)),CI11)</f>
        <v>141.90223812024152</v>
      </c>
      <c r="CK11" s="370">
        <f>IF(CK10&gt;0,(CK9/(1+CK10)),CJ11)</f>
        <v>141.90223812024152</v>
      </c>
      <c r="CL11" s="370">
        <f>IF(CL10&gt;0,(CL9/(1+CL10)),CK11)</f>
        <v>141.90223812024152</v>
      </c>
      <c r="CM11" s="370">
        <f t="shared" ref="CM11" si="39">IF(CM10&gt;0,(CM9/(1+CM10)),CL11)</f>
        <v>141.90223812024152</v>
      </c>
      <c r="CO11" s="5">
        <v>747</v>
      </c>
      <c r="CP11" s="43"/>
      <c r="CQ11" s="43">
        <v>1</v>
      </c>
      <c r="CR11" s="43">
        <v>0</v>
      </c>
      <c r="CS11" s="43">
        <v>0</v>
      </c>
      <c r="CT11" s="43">
        <v>0</v>
      </c>
      <c r="CU11" s="43"/>
    </row>
    <row r="12" spans="1:99" s="5" customFormat="1" outlineLevel="1">
      <c r="A12" s="342"/>
      <c r="B12" s="344"/>
      <c r="C12" s="344"/>
      <c r="D12" s="344"/>
      <c r="E12" s="344"/>
      <c r="F12" s="344"/>
      <c r="G12" s="344"/>
      <c r="H12" s="344"/>
      <c r="I12" s="345"/>
      <c r="J12" s="345"/>
      <c r="K12" s="345"/>
      <c r="L12" s="345"/>
      <c r="M12" s="345"/>
      <c r="N12" s="344"/>
      <c r="O12" s="344"/>
      <c r="P12" s="344"/>
      <c r="Q12" s="344"/>
      <c r="R12" s="344"/>
      <c r="S12" s="344"/>
      <c r="T12" s="344"/>
      <c r="U12" s="344"/>
      <c r="V12" s="344"/>
      <c r="X12" s="371"/>
      <c r="Y12" s="371"/>
      <c r="Z12" s="371"/>
      <c r="AA12" s="371"/>
      <c r="AB12" s="371"/>
      <c r="AC12" s="371"/>
      <c r="AD12" s="371"/>
      <c r="AE12" s="371"/>
      <c r="AF12" s="371"/>
      <c r="AG12" s="371"/>
      <c r="AH12" s="371"/>
      <c r="AI12" s="371"/>
      <c r="AJ12" s="371"/>
      <c r="AK12" s="371"/>
      <c r="AL12" s="371"/>
      <c r="AM12" s="371"/>
      <c r="AN12" s="371"/>
      <c r="AO12" s="371"/>
      <c r="AP12" s="371"/>
      <c r="AQ12" s="371"/>
      <c r="AR12" s="371"/>
      <c r="AS12" s="371"/>
      <c r="AT12" s="371"/>
      <c r="AU12" s="372"/>
      <c r="AV12" s="371"/>
      <c r="AW12" s="371"/>
      <c r="AX12" s="371"/>
      <c r="AY12" s="372"/>
      <c r="AZ12" s="373"/>
      <c r="BA12" s="374"/>
      <c r="BB12" s="373"/>
      <c r="BC12" s="374"/>
      <c r="BD12" s="373"/>
      <c r="BE12" s="373"/>
      <c r="BF12" s="373"/>
      <c r="BG12" s="374"/>
      <c r="BH12" s="373"/>
      <c r="BI12" s="373"/>
      <c r="BJ12" s="373"/>
      <c r="BK12" s="374"/>
      <c r="BL12" s="373"/>
      <c r="BM12" s="371"/>
      <c r="BN12" s="371"/>
      <c r="BO12" s="372"/>
      <c r="BP12" s="370"/>
      <c r="BQ12" s="371"/>
      <c r="BR12" s="371"/>
      <c r="BS12" s="372"/>
      <c r="BT12" s="372"/>
      <c r="BU12" s="372"/>
      <c r="BV12" s="372"/>
      <c r="BW12" s="372"/>
      <c r="BX12" s="372"/>
      <c r="BY12" s="372"/>
      <c r="BZ12" s="372"/>
      <c r="CA12" s="372"/>
      <c r="CB12" s="372"/>
      <c r="CC12" s="372"/>
      <c r="CD12" s="372"/>
      <c r="CE12" s="372"/>
      <c r="CF12" s="372"/>
      <c r="CG12" s="372"/>
      <c r="CH12" s="372"/>
      <c r="CI12" s="372"/>
      <c r="CJ12" s="372"/>
      <c r="CK12" s="372"/>
      <c r="CL12" s="372"/>
      <c r="CM12" s="372"/>
      <c r="CO12" s="5">
        <v>767</v>
      </c>
      <c r="CP12" s="43"/>
      <c r="CQ12" s="43">
        <v>24</v>
      </c>
      <c r="CR12" s="43">
        <v>36</v>
      </c>
      <c r="CS12" s="43">
        <v>36</v>
      </c>
      <c r="CT12" s="43">
        <v>36</v>
      </c>
      <c r="CU12" s="43"/>
    </row>
    <row r="13" spans="1:99" s="5" customFormat="1" outlineLevel="1">
      <c r="A13" s="342" t="s">
        <v>1</v>
      </c>
      <c r="B13" s="346">
        <v>0</v>
      </c>
      <c r="C13" s="346">
        <v>0</v>
      </c>
      <c r="D13" s="346">
        <v>0</v>
      </c>
      <c r="E13" s="346">
        <v>0</v>
      </c>
      <c r="F13" s="346">
        <v>0</v>
      </c>
      <c r="G13" s="346">
        <v>0</v>
      </c>
      <c r="H13" s="346">
        <v>0</v>
      </c>
      <c r="I13" s="346">
        <v>0</v>
      </c>
      <c r="J13" s="346">
        <v>0</v>
      </c>
      <c r="K13" s="346">
        <v>0</v>
      </c>
      <c r="L13" s="346">
        <v>0</v>
      </c>
      <c r="M13" s="346">
        <v>0</v>
      </c>
      <c r="N13" s="346">
        <v>0</v>
      </c>
      <c r="O13" s="346">
        <v>0</v>
      </c>
      <c r="P13" s="346">
        <v>0</v>
      </c>
      <c r="Q13" s="346">
        <v>0</v>
      </c>
      <c r="R13" s="346">
        <v>0</v>
      </c>
      <c r="S13" s="346">
        <v>0</v>
      </c>
      <c r="T13" s="346">
        <v>0</v>
      </c>
      <c r="U13" s="346">
        <v>0</v>
      </c>
      <c r="V13" s="346">
        <v>0</v>
      </c>
      <c r="X13" s="375">
        <v>0</v>
      </c>
      <c r="Y13" s="375">
        <v>0</v>
      </c>
      <c r="Z13" s="375">
        <v>0</v>
      </c>
      <c r="AA13" s="375">
        <v>0</v>
      </c>
      <c r="AB13" s="375">
        <v>0</v>
      </c>
      <c r="AC13" s="375">
        <v>0</v>
      </c>
      <c r="AD13" s="375">
        <v>0</v>
      </c>
      <c r="AE13" s="375">
        <v>0</v>
      </c>
      <c r="AF13" s="375">
        <v>0</v>
      </c>
      <c r="AG13" s="375">
        <v>0</v>
      </c>
      <c r="AH13" s="375">
        <v>0</v>
      </c>
      <c r="AI13" s="375">
        <v>0</v>
      </c>
      <c r="AJ13" s="375">
        <v>0</v>
      </c>
      <c r="AK13" s="375">
        <v>0</v>
      </c>
      <c r="AL13" s="375">
        <v>0</v>
      </c>
      <c r="AM13" s="375">
        <v>0</v>
      </c>
      <c r="AN13" s="375">
        <v>0</v>
      </c>
      <c r="AO13" s="375">
        <v>0</v>
      </c>
      <c r="AP13" s="375">
        <v>0</v>
      </c>
      <c r="AQ13" s="375">
        <v>0</v>
      </c>
      <c r="AR13" s="375">
        <v>0</v>
      </c>
      <c r="AS13" s="375">
        <v>0</v>
      </c>
      <c r="AT13" s="375">
        <v>0</v>
      </c>
      <c r="AU13" s="375">
        <v>0</v>
      </c>
      <c r="AV13" s="375">
        <v>0</v>
      </c>
      <c r="AW13" s="375">
        <v>0</v>
      </c>
      <c r="AX13" s="375">
        <v>0</v>
      </c>
      <c r="AY13" s="375">
        <v>0</v>
      </c>
      <c r="AZ13" s="375">
        <v>0</v>
      </c>
      <c r="BA13" s="375">
        <v>0</v>
      </c>
      <c r="BB13" s="375">
        <v>0</v>
      </c>
      <c r="BC13" s="375">
        <v>0</v>
      </c>
      <c r="BD13" s="375">
        <v>0</v>
      </c>
      <c r="BE13" s="375">
        <v>0</v>
      </c>
      <c r="BF13" s="375">
        <v>0</v>
      </c>
      <c r="BG13" s="375">
        <v>0</v>
      </c>
      <c r="BH13" s="375">
        <v>0</v>
      </c>
      <c r="BI13" s="375">
        <v>0</v>
      </c>
      <c r="BJ13" s="375">
        <v>0</v>
      </c>
      <c r="BK13" s="375">
        <v>0</v>
      </c>
      <c r="BL13" s="375">
        <v>0</v>
      </c>
      <c r="BM13" s="375">
        <v>0</v>
      </c>
      <c r="BN13" s="375">
        <v>0</v>
      </c>
      <c r="BO13" s="375">
        <v>0</v>
      </c>
      <c r="BP13" s="375">
        <v>0</v>
      </c>
      <c r="BQ13" s="375">
        <v>0</v>
      </c>
      <c r="BR13" s="375">
        <v>0</v>
      </c>
      <c r="BS13" s="375">
        <v>0</v>
      </c>
      <c r="BT13" s="375">
        <v>0</v>
      </c>
      <c r="BU13" s="375">
        <v>0</v>
      </c>
      <c r="BV13" s="375">
        <v>0</v>
      </c>
      <c r="BW13" s="375">
        <v>0</v>
      </c>
      <c r="BX13" s="375">
        <v>0</v>
      </c>
      <c r="BY13" s="375">
        <v>0</v>
      </c>
      <c r="BZ13" s="375">
        <v>0</v>
      </c>
      <c r="CA13" s="375">
        <v>0</v>
      </c>
      <c r="CB13" s="375">
        <v>0</v>
      </c>
      <c r="CC13" s="375">
        <v>0</v>
      </c>
      <c r="CD13" s="375">
        <v>0</v>
      </c>
      <c r="CE13" s="375">
        <v>0</v>
      </c>
      <c r="CF13" s="375">
        <v>0</v>
      </c>
      <c r="CG13" s="375">
        <v>0</v>
      </c>
      <c r="CH13" s="375">
        <v>0</v>
      </c>
      <c r="CI13" s="375">
        <v>0</v>
      </c>
      <c r="CJ13" s="375">
        <v>0</v>
      </c>
      <c r="CK13" s="375">
        <v>0</v>
      </c>
      <c r="CL13" s="375">
        <v>0</v>
      </c>
      <c r="CM13" s="375">
        <v>0</v>
      </c>
      <c r="CO13" s="5">
        <v>777</v>
      </c>
      <c r="CP13" s="43"/>
      <c r="CQ13" s="43">
        <v>25</v>
      </c>
      <c r="CR13" s="43">
        <v>18</v>
      </c>
      <c r="CS13" s="43">
        <v>18</v>
      </c>
      <c r="CT13" s="43">
        <v>24</v>
      </c>
      <c r="CU13" s="43"/>
    </row>
    <row r="14" spans="1:99" s="5" customFormat="1" outlineLevel="1">
      <c r="A14" s="342"/>
      <c r="B14" s="344"/>
      <c r="C14" s="344"/>
      <c r="D14" s="344"/>
      <c r="E14" s="344"/>
      <c r="F14" s="344"/>
      <c r="G14" s="344"/>
      <c r="H14" s="344"/>
      <c r="I14" s="345"/>
      <c r="J14" s="345"/>
      <c r="K14" s="345"/>
      <c r="L14" s="345"/>
      <c r="M14" s="345"/>
      <c r="N14" s="344"/>
      <c r="O14" s="344"/>
      <c r="P14" s="344"/>
      <c r="Q14" s="344"/>
      <c r="R14" s="344"/>
      <c r="S14" s="344"/>
      <c r="T14" s="344"/>
      <c r="U14" s="344"/>
      <c r="V14" s="344"/>
      <c r="X14" s="371"/>
      <c r="Y14" s="371"/>
      <c r="Z14" s="371"/>
      <c r="AA14" s="371"/>
      <c r="AB14" s="371"/>
      <c r="AC14" s="371"/>
      <c r="AD14" s="371"/>
      <c r="AE14" s="371"/>
      <c r="AF14" s="371"/>
      <c r="AG14" s="371"/>
      <c r="AH14" s="371"/>
      <c r="AI14" s="371"/>
      <c r="AJ14" s="371"/>
      <c r="AK14" s="371"/>
      <c r="AL14" s="371"/>
      <c r="AM14" s="371"/>
      <c r="AN14" s="371"/>
      <c r="AO14" s="371"/>
      <c r="AP14" s="371"/>
      <c r="AQ14" s="371"/>
      <c r="AR14" s="371"/>
      <c r="AS14" s="371"/>
      <c r="AT14" s="371"/>
      <c r="AU14" s="371"/>
      <c r="AV14" s="371"/>
      <c r="AW14" s="371"/>
      <c r="AX14" s="371"/>
      <c r="AY14" s="371"/>
      <c r="AZ14" s="371"/>
      <c r="BA14" s="371"/>
      <c r="BB14" s="371"/>
      <c r="BC14" s="371"/>
      <c r="BD14" s="371"/>
      <c r="BE14" s="371"/>
      <c r="BF14" s="371"/>
      <c r="BG14" s="371"/>
      <c r="BH14" s="371"/>
      <c r="BI14" s="371"/>
      <c r="BJ14" s="371"/>
      <c r="BK14" s="371"/>
      <c r="BL14" s="371"/>
      <c r="BM14" s="371"/>
      <c r="BN14" s="371"/>
      <c r="BO14" s="371"/>
      <c r="BP14" s="371"/>
      <c r="BQ14" s="371"/>
      <c r="BR14" s="371"/>
      <c r="BS14" s="371"/>
      <c r="BT14" s="371"/>
      <c r="BU14" s="371"/>
      <c r="BV14" s="371"/>
      <c r="BW14" s="371"/>
      <c r="BX14" s="371"/>
      <c r="BY14" s="371"/>
      <c r="BZ14" s="371"/>
      <c r="CA14" s="371"/>
      <c r="CB14" s="371"/>
      <c r="CC14" s="371"/>
      <c r="CD14" s="371"/>
      <c r="CE14" s="371"/>
      <c r="CF14" s="371"/>
      <c r="CG14" s="371"/>
      <c r="CH14" s="371"/>
      <c r="CI14" s="371"/>
      <c r="CJ14" s="371"/>
      <c r="CK14" s="371"/>
      <c r="CL14" s="371"/>
      <c r="CM14" s="371"/>
      <c r="CO14" s="5">
        <v>787</v>
      </c>
      <c r="CP14" s="43"/>
      <c r="CQ14" s="43">
        <v>76</v>
      </c>
      <c r="CR14" s="43">
        <v>102</v>
      </c>
      <c r="CS14" s="43">
        <v>130</v>
      </c>
      <c r="CT14" s="43">
        <v>96</v>
      </c>
      <c r="CU14" s="43"/>
    </row>
    <row r="15" spans="1:99" s="5" customFormat="1" outlineLevel="1">
      <c r="A15" s="342" t="s">
        <v>511</v>
      </c>
      <c r="B15" s="343">
        <f t="shared" ref="B15:Q15" si="40">B7*B11+B13</f>
        <v>0</v>
      </c>
      <c r="C15" s="343">
        <f t="shared" si="40"/>
        <v>3697.9840008521523</v>
      </c>
      <c r="D15" s="343">
        <f t="shared" si="40"/>
        <v>562.53038594642487</v>
      </c>
      <c r="E15" s="343">
        <f t="shared" si="40"/>
        <v>2477.2648558219448</v>
      </c>
      <c r="F15" s="343">
        <f t="shared" si="40"/>
        <v>687.66432743489486</v>
      </c>
      <c r="G15" s="343">
        <f t="shared" si="40"/>
        <v>-1853.2127443072952</v>
      </c>
      <c r="H15" s="343">
        <f t="shared" si="40"/>
        <v>129.02910455422673</v>
      </c>
      <c r="I15" s="343">
        <f t="shared" si="40"/>
        <v>1032.600434171424</v>
      </c>
      <c r="J15" s="343">
        <f t="shared" si="40"/>
        <v>-132.4445049850676</v>
      </c>
      <c r="K15" s="343">
        <f t="shared" si="40"/>
        <v>1324.1606354654041</v>
      </c>
      <c r="L15" s="343">
        <f t="shared" si="40"/>
        <v>407.44066876136952</v>
      </c>
      <c r="M15" s="343">
        <f>M7*M11+M13</f>
        <v>933.85497439081166</v>
      </c>
      <c r="N15" s="343">
        <f t="shared" si="40"/>
        <v>-2150.1175441410182</v>
      </c>
      <c r="O15" s="343">
        <f t="shared" si="40"/>
        <v>-5264.072060762036</v>
      </c>
      <c r="P15" s="343">
        <f t="shared" si="40"/>
        <v>-2311.2061650549354</v>
      </c>
      <c r="Q15" s="343">
        <f t="shared" si="40"/>
        <v>-2237.1621816749803</v>
      </c>
      <c r="R15" s="343">
        <f>R7*R11+R13</f>
        <v>-710.2296209590429</v>
      </c>
      <c r="S15" s="343">
        <f>S7*S11+S13</f>
        <v>0</v>
      </c>
      <c r="T15" s="343">
        <f>T7*T11+T13</f>
        <v>0</v>
      </c>
      <c r="U15" s="343">
        <f>U7*U11+U13</f>
        <v>0</v>
      </c>
      <c r="V15" s="343">
        <f>V7*V11+V13</f>
        <v>0</v>
      </c>
      <c r="X15" s="370">
        <f t="shared" ref="X15:BS15" ca="1" si="41">X7*X11+X13</f>
        <v>0</v>
      </c>
      <c r="Y15" s="370">
        <f t="shared" ca="1" si="41"/>
        <v>0</v>
      </c>
      <c r="Z15" s="370">
        <f t="shared" ca="1" si="41"/>
        <v>0</v>
      </c>
      <c r="AA15" s="370">
        <f t="shared" ca="1" si="41"/>
        <v>0</v>
      </c>
      <c r="AB15" s="370">
        <f t="shared" ca="1" si="41"/>
        <v>915.00000000000011</v>
      </c>
      <c r="AC15" s="370">
        <f t="shared" ca="1" si="41"/>
        <v>915.00000000000011</v>
      </c>
      <c r="AD15" s="370">
        <f t="shared" ca="1" si="41"/>
        <v>793.00000000000011</v>
      </c>
      <c r="AE15" s="370">
        <f t="shared" ca="1" si="41"/>
        <v>671.00000000000011</v>
      </c>
      <c r="AF15" s="370">
        <f t="shared" ca="1" si="41"/>
        <v>671.00000000000011</v>
      </c>
      <c r="AG15" s="370">
        <f t="shared" ca="1" si="41"/>
        <v>549.00000000000011</v>
      </c>
      <c r="AH15" s="370">
        <f t="shared" ca="1" si="41"/>
        <v>366.00000000000006</v>
      </c>
      <c r="AI15" s="370">
        <f t="shared" ca="1" si="41"/>
        <v>-976.00000000000011</v>
      </c>
      <c r="AJ15" s="370">
        <f t="shared" ca="1" si="41"/>
        <v>1708.0000000000002</v>
      </c>
      <c r="AK15" s="370">
        <f t="shared" ca="1" si="41"/>
        <v>610.00000000000011</v>
      </c>
      <c r="AL15" s="370">
        <f t="shared" ca="1" si="41"/>
        <v>-244.00000000000003</v>
      </c>
      <c r="AM15" s="370">
        <f t="shared" ca="1" si="41"/>
        <v>610.00000000000011</v>
      </c>
      <c r="AN15" s="370">
        <f t="shared" ca="1" si="41"/>
        <v>1464.0000000000002</v>
      </c>
      <c r="AO15" s="370">
        <f t="shared" ca="1" si="41"/>
        <v>0</v>
      </c>
      <c r="AP15" s="370">
        <f t="shared" ca="1" si="41"/>
        <v>-122.00000000000001</v>
      </c>
      <c r="AQ15" s="370">
        <f t="shared" ca="1" si="41"/>
        <v>-610.00000000000011</v>
      </c>
      <c r="AR15" s="370">
        <f t="shared" ca="1" si="41"/>
        <v>0</v>
      </c>
      <c r="AS15" s="370">
        <f t="shared" ca="1" si="41"/>
        <v>-488.00000000000006</v>
      </c>
      <c r="AT15" s="370">
        <f t="shared" ca="1" si="41"/>
        <v>-854.00000000000011</v>
      </c>
      <c r="AU15" s="370">
        <f t="shared" ca="1" si="41"/>
        <v>-488.00000000000006</v>
      </c>
      <c r="AV15" s="370">
        <f t="shared" ca="1" si="41"/>
        <v>0</v>
      </c>
      <c r="AW15" s="370">
        <f t="shared" ca="1" si="41"/>
        <v>-244.00000000000003</v>
      </c>
      <c r="AX15" s="370">
        <f t="shared" ca="1" si="41"/>
        <v>0</v>
      </c>
      <c r="AY15" s="370">
        <f t="shared" ca="1" si="41"/>
        <v>366.00000000000006</v>
      </c>
      <c r="AZ15" s="370">
        <f t="shared" ca="1" si="41"/>
        <v>488.00000000000006</v>
      </c>
      <c r="BA15" s="370">
        <f t="shared" ca="1" si="41"/>
        <v>366.00000000000006</v>
      </c>
      <c r="BB15" s="370">
        <f t="shared" ca="1" si="41"/>
        <v>122.00000000000001</v>
      </c>
      <c r="BC15" s="370">
        <f t="shared" ca="1" si="41"/>
        <v>0</v>
      </c>
      <c r="BD15" s="370">
        <f t="shared" ca="1" si="41"/>
        <v>244.00000000000003</v>
      </c>
      <c r="BE15" s="370">
        <f t="shared" ca="1" si="41"/>
        <v>-244.00000000000003</v>
      </c>
      <c r="BF15" s="370">
        <f t="shared" ca="1" si="41"/>
        <v>244.00000000000003</v>
      </c>
      <c r="BG15" s="370">
        <f t="shared" ca="1" si="41"/>
        <v>-366.00000000000006</v>
      </c>
      <c r="BH15" s="374">
        <f t="shared" ca="1" si="41"/>
        <v>732.00000000000011</v>
      </c>
      <c r="BI15" s="374">
        <f t="shared" ca="1" si="41"/>
        <v>0</v>
      </c>
      <c r="BJ15" s="374">
        <f t="shared" ca="1" si="41"/>
        <v>854.00000000000011</v>
      </c>
      <c r="BK15" s="374">
        <f t="shared" ca="1" si="41"/>
        <v>-366.00000000000006</v>
      </c>
      <c r="BL15" s="374">
        <f t="shared" ca="1" si="41"/>
        <v>0</v>
      </c>
      <c r="BM15" s="374">
        <f t="shared" ca="1" si="41"/>
        <v>0</v>
      </c>
      <c r="BN15" s="374">
        <f t="shared" ca="1" si="41"/>
        <v>-366.00000000000006</v>
      </c>
      <c r="BO15" s="374">
        <f t="shared" ca="1" si="41"/>
        <v>732.00000000000011</v>
      </c>
      <c r="BP15" s="374">
        <f t="shared" ca="1" si="41"/>
        <v>488.00000000000006</v>
      </c>
      <c r="BQ15" s="374">
        <f t="shared" ca="1" si="41"/>
        <v>-732.00000000000011</v>
      </c>
      <c r="BR15" s="374">
        <f t="shared" ca="1" si="41"/>
        <v>732.00000000000011</v>
      </c>
      <c r="BS15" s="374">
        <f t="shared" ca="1" si="41"/>
        <v>366.00000000000006</v>
      </c>
      <c r="BT15" s="374">
        <f ca="1">BT7*BT11+BT13</f>
        <v>0</v>
      </c>
      <c r="BU15" s="374">
        <f ca="1">BU7*BU11+BU13</f>
        <v>0</v>
      </c>
      <c r="BV15" s="374">
        <f ca="1">BV7*BV11+BV13</f>
        <v>-610.00000000000011</v>
      </c>
      <c r="BW15" s="374">
        <f ca="1">BW7*BW11+BW13</f>
        <v>-1586.0000000000002</v>
      </c>
      <c r="BX15" s="374">
        <f t="shared" ref="BX15:CA15" si="42">BX7*BX11+BX13</f>
        <v>-1081.1368777854498</v>
      </c>
      <c r="BY15" s="374">
        <f t="shared" si="42"/>
        <v>-1321.3895172933273</v>
      </c>
      <c r="BZ15" s="374">
        <f t="shared" si="42"/>
        <v>-1561.6421568012051</v>
      </c>
      <c r="CA15" s="374">
        <f t="shared" si="42"/>
        <v>-1922.0211160630217</v>
      </c>
      <c r="CB15" s="374">
        <f t="shared" ref="CB15:CE15" si="43">CB7*CB11+CB13</f>
        <v>-480.50527901575543</v>
      </c>
      <c r="CC15" s="374">
        <f t="shared" si="43"/>
        <v>-600.63159876969428</v>
      </c>
      <c r="CD15" s="374">
        <f t="shared" si="43"/>
        <v>-600.63159876969428</v>
      </c>
      <c r="CE15" s="374">
        <f t="shared" si="43"/>
        <v>-600.63159876969428</v>
      </c>
      <c r="CF15" s="374">
        <f t="shared" ref="CF15:CM15" si="44">CF7*CF11+CF13</f>
        <v>-621.43393935416111</v>
      </c>
      <c r="CG15" s="374">
        <f t="shared" si="44"/>
        <v>-621.43393935416111</v>
      </c>
      <c r="CH15" s="374">
        <f t="shared" si="44"/>
        <v>-497.14715148332891</v>
      </c>
      <c r="CI15" s="374">
        <f t="shared" si="44"/>
        <v>-497.14715148332891</v>
      </c>
      <c r="CJ15" s="374">
        <f t="shared" si="44"/>
        <v>-177.37779765030189</v>
      </c>
      <c r="CK15" s="374">
        <f t="shared" si="44"/>
        <v>-177.37779765030189</v>
      </c>
      <c r="CL15" s="374">
        <f t="shared" si="44"/>
        <v>-177.37779765030189</v>
      </c>
      <c r="CM15" s="374">
        <f t="shared" si="44"/>
        <v>-177.37779765030189</v>
      </c>
      <c r="CP15" s="401"/>
    </row>
    <row r="16" spans="1:99">
      <c r="A16" s="14"/>
      <c r="B16" s="78"/>
      <c r="C16" s="78"/>
      <c r="D16" s="78"/>
      <c r="E16" s="78"/>
      <c r="F16" s="78"/>
      <c r="G16" s="78"/>
      <c r="H16" s="78"/>
      <c r="I16" s="78"/>
      <c r="J16" s="78"/>
      <c r="K16" s="78"/>
      <c r="L16" s="78"/>
      <c r="M16" s="78"/>
      <c r="N16" s="78"/>
      <c r="O16" s="78"/>
      <c r="P16" s="78"/>
      <c r="Q16" s="78"/>
      <c r="R16" s="78"/>
      <c r="S16" s="78"/>
      <c r="T16" s="78"/>
      <c r="U16" s="78"/>
      <c r="V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96"/>
      <c r="AV16" s="78"/>
      <c r="AW16" s="78"/>
      <c r="AX16" s="78"/>
      <c r="AY16" s="96"/>
      <c r="AZ16" s="78"/>
      <c r="BA16" s="78"/>
      <c r="BB16" s="78"/>
      <c r="BC16" s="96"/>
      <c r="BD16" s="78"/>
      <c r="BE16" s="78"/>
      <c r="BF16" s="78"/>
      <c r="BG16" s="96"/>
      <c r="BH16" s="78"/>
      <c r="BI16" s="78"/>
      <c r="BJ16" s="78"/>
      <c r="BK16" s="96"/>
      <c r="BL16" s="78"/>
      <c r="BM16" s="78"/>
      <c r="BN16" s="78"/>
      <c r="BO16" s="96"/>
      <c r="BP16" s="78"/>
      <c r="BQ16" s="78"/>
      <c r="BR16" s="78"/>
      <c r="BS16" s="96"/>
      <c r="BT16" s="96"/>
      <c r="BU16" s="96"/>
      <c r="BV16" s="96"/>
      <c r="BW16" s="96"/>
      <c r="BX16" s="96"/>
      <c r="BY16" s="96"/>
      <c r="BZ16" s="96"/>
      <c r="CA16" s="96"/>
      <c r="CB16" s="96"/>
      <c r="CC16" s="96"/>
      <c r="CD16" s="96"/>
      <c r="CE16" s="96"/>
      <c r="CF16" s="96"/>
      <c r="CG16" s="96"/>
      <c r="CH16" s="96"/>
      <c r="CI16" s="96"/>
      <c r="CJ16" s="78"/>
      <c r="CK16" s="78"/>
      <c r="CL16" s="78"/>
      <c r="CM16" s="78"/>
      <c r="CN16" s="5"/>
      <c r="CS16">
        <f>CS19/Q42</f>
        <v>4.5092229626319806</v>
      </c>
      <c r="CT16">
        <f>CT19/R42</f>
        <v>10.635983526012261</v>
      </c>
    </row>
    <row r="17" spans="1:99">
      <c r="A17" s="1" t="s">
        <v>482</v>
      </c>
      <c r="B17" s="72"/>
      <c r="C17" s="38">
        <f>AE17</f>
        <v>10753</v>
      </c>
      <c r="D17" s="38">
        <f>AI17</f>
        <v>15929</v>
      </c>
      <c r="E17" s="38">
        <f>AM17</f>
        <v>21620</v>
      </c>
      <c r="F17" s="38">
        <f>AQ17</f>
        <v>26149</v>
      </c>
      <c r="G17" s="38">
        <f>AU17</f>
        <v>28510</v>
      </c>
      <c r="H17" s="38">
        <f>AY17</f>
        <v>27308</v>
      </c>
      <c r="I17" s="38">
        <f>BC17</f>
        <v>25358</v>
      </c>
      <c r="J17" s="38">
        <f>BG17</f>
        <v>22967</v>
      </c>
      <c r="K17" s="38">
        <f>BK17</f>
        <v>18716</v>
      </c>
      <c r="L17" s="38">
        <f>BO17</f>
        <v>14976</v>
      </c>
      <c r="M17" s="38">
        <f>BS17</f>
        <v>11693</v>
      </c>
      <c r="N17" s="38">
        <f>BW17</f>
        <v>12689</v>
      </c>
      <c r="O17" s="38">
        <f>CA17</f>
        <v>12384</v>
      </c>
      <c r="P17" s="38">
        <f>CE17</f>
        <v>13178</v>
      </c>
      <c r="Q17" s="38">
        <f>CI17</f>
        <v>13859</v>
      </c>
      <c r="R17" s="568">
        <f>CM17</f>
        <v>12748</v>
      </c>
      <c r="S17" s="72">
        <f t="shared" ref="S17:V17" si="45">R17-(S6*S34)</f>
        <v>10828</v>
      </c>
      <c r="T17" s="72">
        <f t="shared" si="45"/>
        <v>8908</v>
      </c>
      <c r="U17" s="72">
        <f t="shared" si="45"/>
        <v>6988</v>
      </c>
      <c r="V17" s="72">
        <f t="shared" si="45"/>
        <v>5068</v>
      </c>
      <c r="X17" s="43"/>
      <c r="Y17" s="43"/>
      <c r="Z17" s="43"/>
      <c r="AA17" s="43"/>
      <c r="AB17" s="43"/>
      <c r="AC17" s="43"/>
      <c r="AD17" s="43">
        <v>9699</v>
      </c>
      <c r="AE17" s="43">
        <v>10753</v>
      </c>
      <c r="AF17" s="43">
        <v>11949</v>
      </c>
      <c r="AG17" s="43">
        <v>13184</v>
      </c>
      <c r="AH17" s="43">
        <v>14275</v>
      </c>
      <c r="AI17" s="43">
        <v>15929</v>
      </c>
      <c r="AJ17" s="43">
        <v>17095</v>
      </c>
      <c r="AK17" s="43">
        <v>18733</v>
      </c>
      <c r="AL17" s="43">
        <v>20189</v>
      </c>
      <c r="AM17" s="43">
        <v>21620</v>
      </c>
      <c r="AN17" s="43">
        <v>23123</v>
      </c>
      <c r="AO17" s="43">
        <v>24242</v>
      </c>
      <c r="AP17" s="43">
        <v>25189</v>
      </c>
      <c r="AQ17" s="43">
        <v>26149</v>
      </c>
      <c r="AR17" s="43">
        <v>26942</v>
      </c>
      <c r="AS17" s="43">
        <v>27732</v>
      </c>
      <c r="AT17" s="43">
        <v>28309</v>
      </c>
      <c r="AU17" s="43">
        <v>28510</v>
      </c>
      <c r="AV17" s="43">
        <v>28651</v>
      </c>
      <c r="AW17" s="43">
        <v>27673</v>
      </c>
      <c r="AX17" s="43">
        <v>27523</v>
      </c>
      <c r="AY17" s="43">
        <v>27308</v>
      </c>
      <c r="AZ17" s="43">
        <v>26992</v>
      </c>
      <c r="BA17" s="43">
        <v>26461</v>
      </c>
      <c r="BB17" s="43">
        <v>25948</v>
      </c>
      <c r="BC17" s="43">
        <v>25358</v>
      </c>
      <c r="BD17" s="43">
        <v>24690</v>
      </c>
      <c r="BE17" s="43">
        <v>24241</v>
      </c>
      <c r="BF17" s="43">
        <v>23584</v>
      </c>
      <c r="BG17" s="43">
        <v>22967</v>
      </c>
      <c r="BH17" s="43">
        <v>22029</v>
      </c>
      <c r="BI17" s="43">
        <v>20969</v>
      </c>
      <c r="BJ17" s="43">
        <v>19825</v>
      </c>
      <c r="BK17" s="43">
        <v>18716</v>
      </c>
      <c r="BL17" s="43">
        <v>16841</v>
      </c>
      <c r="BM17" s="43">
        <v>16035</v>
      </c>
      <c r="BN17" s="43">
        <v>15432</v>
      </c>
      <c r="BO17" s="43">
        <v>14976</v>
      </c>
      <c r="BP17" s="43">
        <v>14803</v>
      </c>
      <c r="BQ17" s="43">
        <v>14927</v>
      </c>
      <c r="BR17" s="43">
        <v>15153</v>
      </c>
      <c r="BS17" s="43">
        <v>11693</v>
      </c>
      <c r="BT17" s="43">
        <v>11753</v>
      </c>
      <c r="BU17" s="43">
        <v>12056</v>
      </c>
      <c r="BV17" s="43">
        <v>11868</v>
      </c>
      <c r="BW17" s="43">
        <v>12689</v>
      </c>
      <c r="BX17" s="43">
        <v>12416</v>
      </c>
      <c r="BY17" s="43">
        <v>12193</v>
      </c>
      <c r="BZ17" s="43">
        <v>12188</v>
      </c>
      <c r="CA17" s="43">
        <v>12384</v>
      </c>
      <c r="CB17" s="43">
        <v>12107</v>
      </c>
      <c r="CC17" s="43">
        <v>12336</v>
      </c>
      <c r="CD17" s="43">
        <v>12542</v>
      </c>
      <c r="CE17" s="43">
        <v>13178</v>
      </c>
      <c r="CF17" s="43">
        <v>13452</v>
      </c>
      <c r="CG17" s="43">
        <v>13320</v>
      </c>
      <c r="CH17" s="43">
        <v>14088</v>
      </c>
      <c r="CI17" s="43">
        <v>13859</v>
      </c>
      <c r="CJ17" s="72">
        <f t="shared" ref="CJ17" si="46">CI17-(CJ6*CJ34)</f>
        <v>13657</v>
      </c>
      <c r="CK17" s="72">
        <f t="shared" ref="CK17" si="47">CJ17-(CK6*CK34)</f>
        <v>13404.5</v>
      </c>
      <c r="CL17" s="72">
        <f t="shared" ref="CL17" si="48">CK17-(CL6*CL34)</f>
        <v>13101.5</v>
      </c>
      <c r="CM17" s="72">
        <f t="shared" ref="CM17" si="49">CL17-(CM6*CM34)</f>
        <v>12748</v>
      </c>
      <c r="CN17" s="5"/>
      <c r="CU17" t="s">
        <v>633</v>
      </c>
    </row>
    <row r="18" spans="1:99">
      <c r="A18" s="1" t="s">
        <v>516</v>
      </c>
      <c r="B18" s="72"/>
      <c r="C18" s="38">
        <f>AE18</f>
        <v>1914</v>
      </c>
      <c r="D18" s="38">
        <f>AI18</f>
        <v>2339</v>
      </c>
      <c r="E18" s="38">
        <f>AM18</f>
        <v>3377</v>
      </c>
      <c r="F18" s="38">
        <f>AQ18</f>
        <v>3801</v>
      </c>
      <c r="G18" s="38">
        <f>AU18</f>
        <v>3890</v>
      </c>
      <c r="H18" s="38">
        <f>AY18</f>
        <v>3625</v>
      </c>
      <c r="I18" s="38">
        <f>BC18</f>
        <v>3173</v>
      </c>
      <c r="J18" s="38">
        <f>BG18</f>
        <v>2638</v>
      </c>
      <c r="K18" s="38">
        <f>BK18</f>
        <v>2092</v>
      </c>
      <c r="L18" s="38">
        <f>BO18</f>
        <v>1863</v>
      </c>
      <c r="M18" s="38">
        <f>BS18</f>
        <v>1815</v>
      </c>
      <c r="N18" s="38">
        <f>BW18</f>
        <v>1722</v>
      </c>
      <c r="O18" s="38">
        <f>CA18</f>
        <v>1480</v>
      </c>
      <c r="P18" s="38">
        <f>CE18</f>
        <v>1370</v>
      </c>
      <c r="Q18" s="38">
        <f t="shared" ref="Q18" si="50">CI18</f>
        <v>1366</v>
      </c>
      <c r="R18" s="568">
        <f>CM18</f>
        <v>1201.875</v>
      </c>
      <c r="S18" s="72">
        <f t="shared" ref="S18:V18" si="51">R18-(S6*S35)</f>
        <v>961.875</v>
      </c>
      <c r="T18" s="72">
        <f t="shared" si="51"/>
        <v>721.875</v>
      </c>
      <c r="U18" s="72">
        <f t="shared" si="51"/>
        <v>481.875</v>
      </c>
      <c r="V18" s="72">
        <f t="shared" si="51"/>
        <v>241.875</v>
      </c>
      <c r="X18" s="43"/>
      <c r="Y18" s="43"/>
      <c r="Z18" s="43"/>
      <c r="AA18" s="43"/>
      <c r="AB18" s="43"/>
      <c r="AC18" s="43"/>
      <c r="AD18" s="43">
        <v>1770</v>
      </c>
      <c r="AE18" s="43">
        <v>1914</v>
      </c>
      <c r="AF18" s="43">
        <v>1997</v>
      </c>
      <c r="AG18" s="43">
        <v>2145</v>
      </c>
      <c r="AH18" s="43">
        <v>2229</v>
      </c>
      <c r="AI18" s="43">
        <v>2339</v>
      </c>
      <c r="AJ18" s="43">
        <v>2508</v>
      </c>
      <c r="AK18" s="43">
        <v>2620</v>
      </c>
      <c r="AL18" s="43">
        <v>2862</v>
      </c>
      <c r="AM18" s="43">
        <v>3377</v>
      </c>
      <c r="AN18" s="43">
        <v>3453</v>
      </c>
      <c r="AO18" s="43">
        <v>3442</v>
      </c>
      <c r="AP18" s="43">
        <v>3565</v>
      </c>
      <c r="AQ18" s="43">
        <v>3801</v>
      </c>
      <c r="AR18" s="43">
        <v>3913</v>
      </c>
      <c r="AS18" s="43">
        <v>3906</v>
      </c>
      <c r="AT18" s="43">
        <v>3908</v>
      </c>
      <c r="AU18" s="43">
        <v>3890</v>
      </c>
      <c r="AV18" s="43">
        <v>3767</v>
      </c>
      <c r="AW18" s="43">
        <v>3707</v>
      </c>
      <c r="AX18" s="43">
        <v>3691</v>
      </c>
      <c r="AY18" s="43">
        <v>3625</v>
      </c>
      <c r="AZ18" s="43">
        <v>3581</v>
      </c>
      <c r="BA18" s="43">
        <v>3390</v>
      </c>
      <c r="BB18" s="43">
        <v>3334</v>
      </c>
      <c r="BC18" s="43">
        <v>3173</v>
      </c>
      <c r="BD18" s="43">
        <v>3042</v>
      </c>
      <c r="BE18" s="43">
        <v>2899</v>
      </c>
      <c r="BF18" s="43">
        <v>2774</v>
      </c>
      <c r="BG18" s="43">
        <v>2638</v>
      </c>
      <c r="BH18" s="43">
        <v>2532</v>
      </c>
      <c r="BI18" s="43">
        <v>2354</v>
      </c>
      <c r="BJ18" s="43">
        <v>2215</v>
      </c>
      <c r="BK18" s="43">
        <v>2092</v>
      </c>
      <c r="BL18" s="43">
        <v>1949</v>
      </c>
      <c r="BM18" s="43">
        <v>1924</v>
      </c>
      <c r="BN18" s="43">
        <v>1877</v>
      </c>
      <c r="BO18" s="43">
        <v>1863</v>
      </c>
      <c r="BP18" s="43">
        <v>1857</v>
      </c>
      <c r="BQ18" s="43">
        <v>1812</v>
      </c>
      <c r="BR18" s="43">
        <v>1808</v>
      </c>
      <c r="BS18" s="43">
        <v>1815</v>
      </c>
      <c r="BT18" s="43">
        <v>1818</v>
      </c>
      <c r="BU18" s="43">
        <v>1822</v>
      </c>
      <c r="BV18" s="43">
        <v>1795</v>
      </c>
      <c r="BW18" s="43">
        <v>1722</v>
      </c>
      <c r="BX18" s="43">
        <v>1711</v>
      </c>
      <c r="BY18" s="43">
        <v>1600</v>
      </c>
      <c r="BZ18" s="43">
        <v>1531</v>
      </c>
      <c r="CA18" s="43">
        <v>1480</v>
      </c>
      <c r="CB18" s="43">
        <v>1443</v>
      </c>
      <c r="CC18" s="43">
        <v>1441</v>
      </c>
      <c r="CD18" s="43">
        <v>1402</v>
      </c>
      <c r="CE18" s="43">
        <v>1370</v>
      </c>
      <c r="CF18" s="43">
        <v>1361</v>
      </c>
      <c r="CG18" s="43">
        <v>1310</v>
      </c>
      <c r="CH18" s="43">
        <v>1246</v>
      </c>
      <c r="CI18" s="43">
        <v>1366</v>
      </c>
      <c r="CJ18" s="72">
        <f t="shared" ref="CJ18" si="52">CI18-(CJ6*CJ35)</f>
        <v>1315.5</v>
      </c>
      <c r="CK18" s="72">
        <f t="shared" ref="CK18" si="53">CJ18-(CK6*CK35)</f>
        <v>1265</v>
      </c>
      <c r="CL18" s="72">
        <f t="shared" ref="CL18" si="54">CK18-(CL6*CL35)</f>
        <v>1214.5</v>
      </c>
      <c r="CM18" s="72">
        <f t="shared" ref="CM18" si="55">CL18-(CM6*CM35)</f>
        <v>1201.875</v>
      </c>
      <c r="CN18" s="5"/>
      <c r="CP18" s="307" t="s">
        <v>617</v>
      </c>
      <c r="CQ18" s="307" t="str">
        <f>+O2</f>
        <v>CY2023A</v>
      </c>
      <c r="CR18" s="307" t="str">
        <f>+P2</f>
        <v>CY2024A</v>
      </c>
      <c r="CS18" s="307" t="str">
        <f>+Q2</f>
        <v>CY2025A</v>
      </c>
      <c r="CT18" s="307" t="str">
        <f>+R2</f>
        <v>CY2026E</v>
      </c>
    </row>
    <row r="19" spans="1:99">
      <c r="A19" s="12" t="s">
        <v>476</v>
      </c>
      <c r="B19" s="108"/>
      <c r="C19" s="108">
        <f t="shared" ref="C19:Q19" si="56">C17+C18</f>
        <v>12667</v>
      </c>
      <c r="D19" s="108">
        <f t="shared" si="56"/>
        <v>18268</v>
      </c>
      <c r="E19" s="108">
        <f t="shared" si="56"/>
        <v>24997</v>
      </c>
      <c r="F19" s="108">
        <f t="shared" si="56"/>
        <v>29950</v>
      </c>
      <c r="G19" s="108">
        <f t="shared" si="56"/>
        <v>32400</v>
      </c>
      <c r="H19" s="108">
        <f t="shared" si="56"/>
        <v>30933</v>
      </c>
      <c r="I19" s="108">
        <f t="shared" si="56"/>
        <v>28531</v>
      </c>
      <c r="J19" s="108">
        <f t="shared" si="56"/>
        <v>25605</v>
      </c>
      <c r="K19" s="108">
        <f t="shared" si="56"/>
        <v>20808</v>
      </c>
      <c r="L19" s="108">
        <f t="shared" si="56"/>
        <v>16839</v>
      </c>
      <c r="M19" s="108">
        <f>M17+M18</f>
        <v>13508</v>
      </c>
      <c r="N19" s="108">
        <f t="shared" si="56"/>
        <v>14411</v>
      </c>
      <c r="O19" s="108">
        <f t="shared" si="56"/>
        <v>13864</v>
      </c>
      <c r="P19" s="108">
        <f t="shared" si="56"/>
        <v>14548</v>
      </c>
      <c r="Q19" s="108">
        <f t="shared" si="56"/>
        <v>15225</v>
      </c>
      <c r="R19" s="569">
        <f>CM19</f>
        <v>13949.875</v>
      </c>
      <c r="S19" s="108">
        <f>S17+S18</f>
        <v>11789.875</v>
      </c>
      <c r="T19" s="108">
        <f>T17+T18</f>
        <v>9629.875</v>
      </c>
      <c r="U19" s="108">
        <f>U17+U18</f>
        <v>7469.875</v>
      </c>
      <c r="V19" s="108">
        <f>V17+V18</f>
        <v>5309.875</v>
      </c>
      <c r="X19" s="108"/>
      <c r="Y19" s="108"/>
      <c r="Z19" s="108"/>
      <c r="AA19" s="108"/>
      <c r="AB19" s="108"/>
      <c r="AC19" s="108"/>
      <c r="AD19" s="108">
        <f t="shared" ref="AD19:AZ19" si="57">AD17+AD18</f>
        <v>11469</v>
      </c>
      <c r="AE19" s="108">
        <f t="shared" si="57"/>
        <v>12667</v>
      </c>
      <c r="AF19" s="108">
        <f t="shared" si="57"/>
        <v>13946</v>
      </c>
      <c r="AG19" s="108">
        <f t="shared" si="57"/>
        <v>15329</v>
      </c>
      <c r="AH19" s="108">
        <f t="shared" si="57"/>
        <v>16504</v>
      </c>
      <c r="AI19" s="108">
        <f t="shared" si="57"/>
        <v>18268</v>
      </c>
      <c r="AJ19" s="108">
        <f t="shared" si="57"/>
        <v>19603</v>
      </c>
      <c r="AK19" s="108">
        <f t="shared" si="57"/>
        <v>21353</v>
      </c>
      <c r="AL19" s="108">
        <f t="shared" si="57"/>
        <v>23051</v>
      </c>
      <c r="AM19" s="108">
        <f t="shared" si="57"/>
        <v>24997</v>
      </c>
      <c r="AN19" s="108">
        <f t="shared" si="57"/>
        <v>26576</v>
      </c>
      <c r="AO19" s="108">
        <f t="shared" si="57"/>
        <v>27684</v>
      </c>
      <c r="AP19" s="108">
        <f t="shared" si="57"/>
        <v>28754</v>
      </c>
      <c r="AQ19" s="108">
        <f t="shared" si="57"/>
        <v>29950</v>
      </c>
      <c r="AR19" s="108">
        <f t="shared" si="57"/>
        <v>30855</v>
      </c>
      <c r="AS19" s="108">
        <f t="shared" si="57"/>
        <v>31638</v>
      </c>
      <c r="AT19" s="108">
        <f t="shared" si="57"/>
        <v>32217</v>
      </c>
      <c r="AU19" s="108">
        <f t="shared" si="57"/>
        <v>32400</v>
      </c>
      <c r="AV19" s="108">
        <f t="shared" si="57"/>
        <v>32418</v>
      </c>
      <c r="AW19" s="108">
        <f t="shared" si="57"/>
        <v>31380</v>
      </c>
      <c r="AX19" s="108">
        <f t="shared" si="57"/>
        <v>31214</v>
      </c>
      <c r="AY19" s="108">
        <f t="shared" si="57"/>
        <v>30933</v>
      </c>
      <c r="AZ19" s="108">
        <f t="shared" si="57"/>
        <v>30573</v>
      </c>
      <c r="BA19" s="108">
        <f t="shared" ref="BA19:BS19" si="58">BA17+BA18</f>
        <v>29851</v>
      </c>
      <c r="BB19" s="108">
        <f t="shared" si="58"/>
        <v>29282</v>
      </c>
      <c r="BC19" s="108">
        <f t="shared" si="58"/>
        <v>28531</v>
      </c>
      <c r="BD19" s="108">
        <f t="shared" si="58"/>
        <v>27732</v>
      </c>
      <c r="BE19" s="108">
        <f t="shared" si="58"/>
        <v>27140</v>
      </c>
      <c r="BF19" s="108">
        <f t="shared" si="58"/>
        <v>26358</v>
      </c>
      <c r="BG19" s="108">
        <f t="shared" si="58"/>
        <v>25605</v>
      </c>
      <c r="BH19" s="108">
        <f t="shared" si="58"/>
        <v>24561</v>
      </c>
      <c r="BI19" s="108">
        <f t="shared" si="58"/>
        <v>23323</v>
      </c>
      <c r="BJ19" s="108">
        <f t="shared" si="58"/>
        <v>22040</v>
      </c>
      <c r="BK19" s="108">
        <f t="shared" si="58"/>
        <v>20808</v>
      </c>
      <c r="BL19" s="40">
        <f t="shared" si="58"/>
        <v>18790</v>
      </c>
      <c r="BM19" s="108">
        <f t="shared" si="58"/>
        <v>17959</v>
      </c>
      <c r="BN19" s="108">
        <f t="shared" si="58"/>
        <v>17309</v>
      </c>
      <c r="BO19" s="108">
        <f t="shared" si="58"/>
        <v>16839</v>
      </c>
      <c r="BP19" s="108">
        <f t="shared" si="58"/>
        <v>16660</v>
      </c>
      <c r="BQ19" s="108">
        <f t="shared" si="58"/>
        <v>16739</v>
      </c>
      <c r="BR19" s="108">
        <f t="shared" si="58"/>
        <v>16961</v>
      </c>
      <c r="BS19" s="108">
        <f t="shared" si="58"/>
        <v>13508</v>
      </c>
      <c r="BT19" s="108">
        <f>BT17+BT18</f>
        <v>13571</v>
      </c>
      <c r="BU19" s="108">
        <f>BU17+BU18</f>
        <v>13878</v>
      </c>
      <c r="BV19" s="108">
        <f>BV17+BV18</f>
        <v>13663</v>
      </c>
      <c r="BW19" s="108">
        <f>BW17+BW18</f>
        <v>14411</v>
      </c>
      <c r="BX19" s="108">
        <f t="shared" ref="BX19:CA19" si="59">BX17+BX18</f>
        <v>14127</v>
      </c>
      <c r="BY19" s="108">
        <f t="shared" si="59"/>
        <v>13793</v>
      </c>
      <c r="BZ19" s="108">
        <f t="shared" si="59"/>
        <v>13719</v>
      </c>
      <c r="CA19" s="108">
        <f t="shared" si="59"/>
        <v>13864</v>
      </c>
      <c r="CB19" s="108">
        <f t="shared" ref="CB19:CE19" si="60">CB17+CB18</f>
        <v>13550</v>
      </c>
      <c r="CC19" s="108">
        <f t="shared" si="60"/>
        <v>13777</v>
      </c>
      <c r="CD19" s="108">
        <f t="shared" si="60"/>
        <v>13944</v>
      </c>
      <c r="CE19" s="108">
        <f t="shared" si="60"/>
        <v>14548</v>
      </c>
      <c r="CF19" s="108">
        <f t="shared" ref="CF19:CM19" si="61">CF17+CF18</f>
        <v>14813</v>
      </c>
      <c r="CG19" s="108">
        <f t="shared" si="61"/>
        <v>14630</v>
      </c>
      <c r="CH19" s="108">
        <f t="shared" si="61"/>
        <v>15334</v>
      </c>
      <c r="CI19" s="108">
        <f t="shared" si="61"/>
        <v>15225</v>
      </c>
      <c r="CJ19" s="108">
        <f t="shared" si="61"/>
        <v>14972.5</v>
      </c>
      <c r="CK19" s="108">
        <f t="shared" si="61"/>
        <v>14669.5</v>
      </c>
      <c r="CL19" s="108">
        <f t="shared" si="61"/>
        <v>14316</v>
      </c>
      <c r="CM19" s="108">
        <f t="shared" si="61"/>
        <v>13949.875</v>
      </c>
      <c r="CN19" s="5"/>
      <c r="CP19" s="26" t="s">
        <v>607</v>
      </c>
      <c r="CQ19" s="493">
        <f>+(O45-O47)*O42</f>
        <v>597.65229320226433</v>
      </c>
      <c r="CR19" s="493">
        <f>+(P45-P47)*P42</f>
        <v>1009.444085097476</v>
      </c>
      <c r="CS19" s="493">
        <f>+(Q45-Q47)*Q42</f>
        <v>2015.6226642964953</v>
      </c>
      <c r="CT19" s="493">
        <f>+(R45-R47)*R42</f>
        <v>5296.7197959541063</v>
      </c>
      <c r="CU19" t="s">
        <v>631</v>
      </c>
    </row>
    <row r="20" spans="1:99">
      <c r="A20" s="14"/>
      <c r="B20" s="27"/>
      <c r="C20" s="27"/>
      <c r="D20" s="27"/>
      <c r="E20" s="27"/>
      <c r="F20" s="27"/>
      <c r="G20" s="27"/>
      <c r="H20" s="27"/>
      <c r="I20" s="108"/>
      <c r="J20" s="108"/>
      <c r="K20" s="108"/>
      <c r="L20" s="328"/>
      <c r="M20" s="328"/>
      <c r="N20" s="27"/>
      <c r="O20" s="27"/>
      <c r="P20" s="27"/>
      <c r="Q20" s="27"/>
      <c r="R20" s="27"/>
      <c r="S20" s="27"/>
      <c r="T20" s="27"/>
      <c r="U20" s="27"/>
      <c r="V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99"/>
      <c r="AV20" s="27"/>
      <c r="AW20" s="27"/>
      <c r="AX20" s="27"/>
      <c r="AY20" s="27"/>
      <c r="AZ20" s="27"/>
      <c r="BA20" s="108"/>
      <c r="BB20" s="108"/>
      <c r="BC20" s="108"/>
      <c r="BD20" s="108"/>
      <c r="BE20" s="108"/>
      <c r="BF20" s="108"/>
      <c r="BG20" s="108"/>
      <c r="BH20" s="108"/>
      <c r="BI20" s="108"/>
      <c r="BJ20" s="108"/>
      <c r="BK20" s="108"/>
      <c r="BL20" s="40"/>
      <c r="BM20" s="108"/>
      <c r="BN20" s="108"/>
      <c r="BO20" s="108"/>
      <c r="BP20" s="40"/>
      <c r="BQ20" s="108"/>
      <c r="BR20" s="108"/>
      <c r="BS20" s="108"/>
      <c r="BT20" s="108"/>
      <c r="BU20" s="108"/>
      <c r="BV20" s="108"/>
      <c r="BW20" s="108"/>
      <c r="BX20" s="108"/>
      <c r="BY20" s="108"/>
      <c r="BZ20" s="108"/>
      <c r="CA20" s="108"/>
      <c r="CB20" s="108"/>
      <c r="CC20" s="108"/>
      <c r="CD20" s="108"/>
      <c r="CE20" s="108"/>
      <c r="CF20" s="108"/>
      <c r="CG20" s="108"/>
      <c r="CH20" s="108"/>
      <c r="CI20" s="108"/>
      <c r="CJ20" s="27"/>
      <c r="CK20" s="27"/>
      <c r="CL20" s="27"/>
      <c r="CM20" s="27"/>
      <c r="CN20" s="5"/>
      <c r="CP20" s="26">
        <v>787</v>
      </c>
      <c r="CQ20" s="493">
        <f>+O23</f>
        <v>547</v>
      </c>
      <c r="CR20" s="493">
        <f>+P23</f>
        <v>-684</v>
      </c>
      <c r="CS20" s="493">
        <f>+Q23</f>
        <v>-677</v>
      </c>
      <c r="CT20" s="493">
        <f>+R23</f>
        <v>1275.125</v>
      </c>
      <c r="CU20" t="s">
        <v>631</v>
      </c>
    </row>
    <row r="21" spans="1:99">
      <c r="A21" s="1" t="s">
        <v>480</v>
      </c>
      <c r="B21" s="72"/>
      <c r="C21" s="72"/>
      <c r="D21" s="72">
        <f t="shared" ref="D21:V21" si="62">(C17-D17)</f>
        <v>-5176</v>
      </c>
      <c r="E21" s="72">
        <f t="shared" si="62"/>
        <v>-5691</v>
      </c>
      <c r="F21" s="72">
        <f t="shared" si="62"/>
        <v>-4529</v>
      </c>
      <c r="G21" s="72">
        <f t="shared" si="62"/>
        <v>-2361</v>
      </c>
      <c r="H21" s="72">
        <f t="shared" si="62"/>
        <v>1202</v>
      </c>
      <c r="I21" s="72">
        <f t="shared" si="62"/>
        <v>1950</v>
      </c>
      <c r="J21" s="72">
        <f t="shared" si="62"/>
        <v>2391</v>
      </c>
      <c r="K21" s="72">
        <f t="shared" si="62"/>
        <v>4251</v>
      </c>
      <c r="L21" s="72">
        <f t="shared" si="62"/>
        <v>3740</v>
      </c>
      <c r="M21" s="72">
        <f t="shared" si="62"/>
        <v>3283</v>
      </c>
      <c r="N21" s="72">
        <f t="shared" si="62"/>
        <v>-996</v>
      </c>
      <c r="O21" s="72">
        <f t="shared" si="62"/>
        <v>305</v>
      </c>
      <c r="P21" s="72">
        <f t="shared" si="62"/>
        <v>-794</v>
      </c>
      <c r="Q21" s="72">
        <f t="shared" si="62"/>
        <v>-681</v>
      </c>
      <c r="R21" s="562">
        <f>SUM(CJ21:CM21)</f>
        <v>1010</v>
      </c>
      <c r="S21" s="72">
        <f t="shared" si="62"/>
        <v>1920</v>
      </c>
      <c r="T21" s="72">
        <f t="shared" si="62"/>
        <v>1920</v>
      </c>
      <c r="U21" s="72">
        <f t="shared" si="62"/>
        <v>1920</v>
      </c>
      <c r="V21" s="72">
        <f t="shared" si="62"/>
        <v>1920</v>
      </c>
      <c r="X21" s="72"/>
      <c r="Y21" s="72"/>
      <c r="Z21" s="72"/>
      <c r="AA21" s="72"/>
      <c r="AB21" s="72"/>
      <c r="AC21" s="72"/>
      <c r="AD21" s="72"/>
      <c r="AE21" s="72">
        <f t="shared" ref="AE21:BD21" si="63">(AD17-AE17)</f>
        <v>-1054</v>
      </c>
      <c r="AF21" s="72">
        <f t="shared" si="63"/>
        <v>-1196</v>
      </c>
      <c r="AG21" s="72">
        <f t="shared" si="63"/>
        <v>-1235</v>
      </c>
      <c r="AH21" s="72">
        <f t="shared" si="63"/>
        <v>-1091</v>
      </c>
      <c r="AI21" s="72">
        <f t="shared" si="63"/>
        <v>-1654</v>
      </c>
      <c r="AJ21" s="72">
        <f t="shared" si="63"/>
        <v>-1166</v>
      </c>
      <c r="AK21" s="72">
        <f t="shared" si="63"/>
        <v>-1638</v>
      </c>
      <c r="AL21" s="72">
        <f t="shared" si="63"/>
        <v>-1456</v>
      </c>
      <c r="AM21" s="72">
        <f t="shared" si="63"/>
        <v>-1431</v>
      </c>
      <c r="AN21" s="72">
        <f t="shared" si="63"/>
        <v>-1503</v>
      </c>
      <c r="AO21" s="72">
        <f t="shared" si="63"/>
        <v>-1119</v>
      </c>
      <c r="AP21" s="72">
        <f t="shared" si="63"/>
        <v>-947</v>
      </c>
      <c r="AQ21" s="72">
        <f t="shared" si="63"/>
        <v>-960</v>
      </c>
      <c r="AR21" s="72">
        <f t="shared" si="63"/>
        <v>-793</v>
      </c>
      <c r="AS21" s="72">
        <f t="shared" si="63"/>
        <v>-790</v>
      </c>
      <c r="AT21" s="72">
        <f t="shared" si="63"/>
        <v>-577</v>
      </c>
      <c r="AU21" s="72">
        <f t="shared" si="63"/>
        <v>-201</v>
      </c>
      <c r="AV21" s="72">
        <f t="shared" si="63"/>
        <v>-141</v>
      </c>
      <c r="AW21" s="72">
        <f t="shared" si="63"/>
        <v>978</v>
      </c>
      <c r="AX21" s="72">
        <f t="shared" si="63"/>
        <v>150</v>
      </c>
      <c r="AY21" s="72">
        <f t="shared" si="63"/>
        <v>215</v>
      </c>
      <c r="AZ21" s="72">
        <f t="shared" si="63"/>
        <v>316</v>
      </c>
      <c r="BA21" s="72">
        <f t="shared" si="63"/>
        <v>531</v>
      </c>
      <c r="BB21" s="72">
        <f t="shared" si="63"/>
        <v>513</v>
      </c>
      <c r="BC21" s="72">
        <f t="shared" si="63"/>
        <v>590</v>
      </c>
      <c r="BD21" s="72">
        <f t="shared" si="63"/>
        <v>668</v>
      </c>
      <c r="BE21" s="72">
        <f t="shared" ref="BE21:BG22" si="64">(BD17-BE17)</f>
        <v>449</v>
      </c>
      <c r="BF21" s="72">
        <f t="shared" si="64"/>
        <v>657</v>
      </c>
      <c r="BG21" s="72">
        <f t="shared" si="64"/>
        <v>617</v>
      </c>
      <c r="BH21" s="72">
        <f>(BG17-BH17)</f>
        <v>938</v>
      </c>
      <c r="BI21" s="72">
        <f t="shared" ref="BI21:BK22" si="65">(BH17-BI17)</f>
        <v>1060</v>
      </c>
      <c r="BJ21" s="72">
        <f t="shared" si="65"/>
        <v>1144</v>
      </c>
      <c r="BK21" s="72">
        <f t="shared" si="65"/>
        <v>1109</v>
      </c>
      <c r="BL21" s="23">
        <f t="shared" ref="BL21:BM23" si="66">(BK17-BL17)</f>
        <v>1875</v>
      </c>
      <c r="BM21" s="23">
        <f t="shared" si="66"/>
        <v>806</v>
      </c>
      <c r="BN21" s="72">
        <f t="shared" ref="BN21:BP23" si="67">(BM17-BN17)</f>
        <v>603</v>
      </c>
      <c r="BO21" s="72">
        <f t="shared" si="67"/>
        <v>456</v>
      </c>
      <c r="BP21" s="23">
        <f t="shared" si="67"/>
        <v>173</v>
      </c>
      <c r="BQ21" s="72">
        <f t="shared" ref="BQ21:BS22" si="68">(BP17-BQ17)</f>
        <v>-124</v>
      </c>
      <c r="BR21" s="72">
        <f t="shared" si="68"/>
        <v>-226</v>
      </c>
      <c r="BS21" s="72">
        <f t="shared" si="68"/>
        <v>3460</v>
      </c>
      <c r="BT21" s="72">
        <f t="shared" ref="BT21:CA23" si="69">(BS17-BT17)</f>
        <v>-60</v>
      </c>
      <c r="BU21" s="72">
        <f t="shared" si="69"/>
        <v>-303</v>
      </c>
      <c r="BV21" s="72">
        <f t="shared" si="69"/>
        <v>188</v>
      </c>
      <c r="BW21" s="72">
        <f t="shared" si="69"/>
        <v>-821</v>
      </c>
      <c r="BX21" s="72">
        <f t="shared" si="69"/>
        <v>273</v>
      </c>
      <c r="BY21" s="72">
        <f t="shared" si="69"/>
        <v>223</v>
      </c>
      <c r="BZ21" s="72">
        <f t="shared" si="69"/>
        <v>5</v>
      </c>
      <c r="CA21" s="72">
        <f t="shared" si="69"/>
        <v>-196</v>
      </c>
      <c r="CB21" s="72">
        <f t="shared" ref="CB21:CB23" si="70">(CA17-CB17)</f>
        <v>277</v>
      </c>
      <c r="CC21" s="72">
        <f t="shared" ref="CC21:CC23" si="71">(CB17-CC17)</f>
        <v>-229</v>
      </c>
      <c r="CD21" s="72">
        <f t="shared" ref="CD21:CD23" si="72">(CC17-CD17)</f>
        <v>-206</v>
      </c>
      <c r="CE21" s="72">
        <f t="shared" ref="CE21:CE23" si="73">(CD17-CE17)</f>
        <v>-636</v>
      </c>
      <c r="CF21" s="72">
        <f>(CE17-CF17)</f>
        <v>-274</v>
      </c>
      <c r="CG21" s="72">
        <f t="shared" ref="CG21:CG23" si="74">(CF17-CG17)</f>
        <v>132</v>
      </c>
      <c r="CH21" s="72">
        <f t="shared" ref="CH21:CH23" si="75">(CG17-CH17)</f>
        <v>-768</v>
      </c>
      <c r="CI21" s="72">
        <f t="shared" ref="CI21:CI23" si="76">(CH17-CI17)</f>
        <v>229</v>
      </c>
      <c r="CJ21" s="43">
        <v>252.5</v>
      </c>
      <c r="CK21" s="43">
        <v>252.5</v>
      </c>
      <c r="CL21" s="43">
        <v>252.5</v>
      </c>
      <c r="CM21" s="43">
        <v>252.5</v>
      </c>
      <c r="CN21" s="5"/>
      <c r="CP21" s="26" t="s">
        <v>610</v>
      </c>
      <c r="CQ21" s="493">
        <f>+Income_Statement_Annual!Y13-CQ19</f>
        <v>-2232.6522932022644</v>
      </c>
      <c r="CR21" s="493">
        <f>+Income_Statement_Annual!Z13-CR19</f>
        <v>-8978.4440850974752</v>
      </c>
      <c r="CS21" s="493">
        <f>+Income_Statement_Annual!AA13-CS19</f>
        <v>-9094.6226642964957</v>
      </c>
      <c r="CT21" s="493">
        <f>+Income_Statement_Annual!AB13-CT19</f>
        <v>-6291.260876420658</v>
      </c>
      <c r="CU21" t="s">
        <v>632</v>
      </c>
    </row>
    <row r="22" spans="1:99">
      <c r="A22" s="1" t="s">
        <v>517</v>
      </c>
      <c r="B22" s="273"/>
      <c r="C22" s="72"/>
      <c r="D22" s="72">
        <f t="shared" ref="D22:V22" si="77">(C18-D18)</f>
        <v>-425</v>
      </c>
      <c r="E22" s="72">
        <f t="shared" si="77"/>
        <v>-1038</v>
      </c>
      <c r="F22" s="72">
        <f t="shared" si="77"/>
        <v>-424</v>
      </c>
      <c r="G22" s="72">
        <f t="shared" si="77"/>
        <v>-89</v>
      </c>
      <c r="H22" s="72">
        <f t="shared" si="77"/>
        <v>265</v>
      </c>
      <c r="I22" s="72">
        <f t="shared" si="77"/>
        <v>452</v>
      </c>
      <c r="J22" s="72">
        <f t="shared" si="77"/>
        <v>535</v>
      </c>
      <c r="K22" s="72">
        <f t="shared" si="77"/>
        <v>546</v>
      </c>
      <c r="L22" s="72">
        <f t="shared" si="77"/>
        <v>229</v>
      </c>
      <c r="M22" s="72">
        <f t="shared" si="77"/>
        <v>48</v>
      </c>
      <c r="N22" s="72">
        <f t="shared" si="77"/>
        <v>93</v>
      </c>
      <c r="O22" s="72">
        <f t="shared" si="77"/>
        <v>242</v>
      </c>
      <c r="P22" s="72">
        <f t="shared" si="77"/>
        <v>110</v>
      </c>
      <c r="Q22" s="72">
        <f t="shared" si="77"/>
        <v>4</v>
      </c>
      <c r="R22" s="562">
        <f>SUM(CJ22:CM22)</f>
        <v>202</v>
      </c>
      <c r="S22" s="72">
        <f t="shared" si="77"/>
        <v>240</v>
      </c>
      <c r="T22" s="72">
        <f t="shared" si="77"/>
        <v>240</v>
      </c>
      <c r="U22" s="72">
        <f t="shared" si="77"/>
        <v>240</v>
      </c>
      <c r="V22" s="72">
        <f t="shared" si="77"/>
        <v>240</v>
      </c>
      <c r="X22" s="72"/>
      <c r="Y22" s="72"/>
      <c r="Z22" s="72"/>
      <c r="AA22" s="72"/>
      <c r="AB22" s="72"/>
      <c r="AC22" s="72"/>
      <c r="AD22" s="72"/>
      <c r="AE22" s="72">
        <f t="shared" ref="AE22:BD22" si="78">(AD18-AE18)</f>
        <v>-144</v>
      </c>
      <c r="AF22" s="72">
        <f t="shared" si="78"/>
        <v>-83</v>
      </c>
      <c r="AG22" s="72">
        <f t="shared" si="78"/>
        <v>-148</v>
      </c>
      <c r="AH22" s="72">
        <f t="shared" si="78"/>
        <v>-84</v>
      </c>
      <c r="AI22" s="72">
        <f t="shared" si="78"/>
        <v>-110</v>
      </c>
      <c r="AJ22" s="72">
        <f t="shared" si="78"/>
        <v>-169</v>
      </c>
      <c r="AK22" s="72">
        <f t="shared" si="78"/>
        <v>-112</v>
      </c>
      <c r="AL22" s="72">
        <f t="shared" si="78"/>
        <v>-242</v>
      </c>
      <c r="AM22" s="72">
        <f t="shared" si="78"/>
        <v>-515</v>
      </c>
      <c r="AN22" s="72">
        <f t="shared" si="78"/>
        <v>-76</v>
      </c>
      <c r="AO22" s="72">
        <f t="shared" si="78"/>
        <v>11</v>
      </c>
      <c r="AP22" s="72">
        <f t="shared" si="78"/>
        <v>-123</v>
      </c>
      <c r="AQ22" s="72">
        <f t="shared" si="78"/>
        <v>-236</v>
      </c>
      <c r="AR22" s="72">
        <f t="shared" si="78"/>
        <v>-112</v>
      </c>
      <c r="AS22" s="72">
        <f t="shared" si="78"/>
        <v>7</v>
      </c>
      <c r="AT22" s="72">
        <f t="shared" si="78"/>
        <v>-2</v>
      </c>
      <c r="AU22" s="72">
        <f t="shared" si="78"/>
        <v>18</v>
      </c>
      <c r="AV22" s="72">
        <f t="shared" si="78"/>
        <v>123</v>
      </c>
      <c r="AW22" s="72">
        <f t="shared" si="78"/>
        <v>60</v>
      </c>
      <c r="AX22" s="72">
        <f t="shared" si="78"/>
        <v>16</v>
      </c>
      <c r="AY22" s="72">
        <f t="shared" si="78"/>
        <v>66</v>
      </c>
      <c r="AZ22" s="72">
        <f t="shared" si="78"/>
        <v>44</v>
      </c>
      <c r="BA22" s="72">
        <f t="shared" si="78"/>
        <v>191</v>
      </c>
      <c r="BB22" s="72">
        <f t="shared" si="78"/>
        <v>56</v>
      </c>
      <c r="BC22" s="72">
        <f t="shared" si="78"/>
        <v>161</v>
      </c>
      <c r="BD22" s="72">
        <f t="shared" si="78"/>
        <v>131</v>
      </c>
      <c r="BE22" s="72">
        <f t="shared" si="64"/>
        <v>143</v>
      </c>
      <c r="BF22" s="72">
        <f t="shared" si="64"/>
        <v>125</v>
      </c>
      <c r="BG22" s="72">
        <f t="shared" si="64"/>
        <v>136</v>
      </c>
      <c r="BH22" s="72">
        <f>(BG18-BH18)</f>
        <v>106</v>
      </c>
      <c r="BI22" s="72">
        <f t="shared" si="65"/>
        <v>178</v>
      </c>
      <c r="BJ22" s="72">
        <f t="shared" si="65"/>
        <v>139</v>
      </c>
      <c r="BK22" s="72">
        <f t="shared" si="65"/>
        <v>123</v>
      </c>
      <c r="BL22" s="23">
        <f t="shared" si="66"/>
        <v>143</v>
      </c>
      <c r="BM22" s="23">
        <f t="shared" si="66"/>
        <v>25</v>
      </c>
      <c r="BN22" s="72">
        <f t="shared" si="67"/>
        <v>47</v>
      </c>
      <c r="BO22" s="72">
        <f t="shared" si="67"/>
        <v>14</v>
      </c>
      <c r="BP22" s="23">
        <f t="shared" si="67"/>
        <v>6</v>
      </c>
      <c r="BQ22" s="72">
        <f t="shared" si="68"/>
        <v>45</v>
      </c>
      <c r="BR22" s="72">
        <f t="shared" si="68"/>
        <v>4</v>
      </c>
      <c r="BS22" s="72">
        <f t="shared" si="68"/>
        <v>-7</v>
      </c>
      <c r="BT22" s="72">
        <f t="shared" si="69"/>
        <v>-3</v>
      </c>
      <c r="BU22" s="72">
        <f t="shared" si="69"/>
        <v>-4</v>
      </c>
      <c r="BV22" s="72">
        <f t="shared" si="69"/>
        <v>27</v>
      </c>
      <c r="BW22" s="72">
        <f t="shared" si="69"/>
        <v>73</v>
      </c>
      <c r="BX22" s="72">
        <f t="shared" si="69"/>
        <v>11</v>
      </c>
      <c r="BY22" s="72">
        <f t="shared" si="69"/>
        <v>111</v>
      </c>
      <c r="BZ22" s="72">
        <f t="shared" si="69"/>
        <v>69</v>
      </c>
      <c r="CA22" s="72">
        <f t="shared" si="69"/>
        <v>51</v>
      </c>
      <c r="CB22" s="72">
        <f t="shared" si="70"/>
        <v>37</v>
      </c>
      <c r="CC22" s="72">
        <f t="shared" si="71"/>
        <v>2</v>
      </c>
      <c r="CD22" s="72">
        <f t="shared" si="72"/>
        <v>39</v>
      </c>
      <c r="CE22" s="72">
        <f t="shared" si="73"/>
        <v>32</v>
      </c>
      <c r="CF22" s="72">
        <f>(CE18-CF18)</f>
        <v>9</v>
      </c>
      <c r="CG22" s="72">
        <f t="shared" si="74"/>
        <v>51</v>
      </c>
      <c r="CH22" s="72">
        <f t="shared" si="75"/>
        <v>64</v>
      </c>
      <c r="CI22" s="72">
        <f t="shared" si="76"/>
        <v>-120</v>
      </c>
      <c r="CJ22" s="43">
        <v>50.5</v>
      </c>
      <c r="CK22" s="43">
        <v>50.5</v>
      </c>
      <c r="CL22" s="43">
        <v>50.5</v>
      </c>
      <c r="CM22" s="43">
        <v>50.5</v>
      </c>
      <c r="CN22" s="5"/>
      <c r="CP22" s="26" t="s">
        <v>550</v>
      </c>
      <c r="CQ22" s="493">
        <f>+Income_Statement_Annual!Y14+Cash_Flow_Annual!Y21</f>
        <v>-985</v>
      </c>
      <c r="CR22" s="493">
        <f>+Income_Statement_Annual!Z14+Cash_Flow_Annual!Z21</f>
        <v>-3850</v>
      </c>
      <c r="CS22" s="493">
        <f>+Income_Statement_Annual!AA14+Cash_Flow_Annual!AA21</f>
        <v>1213</v>
      </c>
      <c r="CT22" s="493">
        <f>+Income_Statement_Annual!AB14+Cash_Flow_Annual!AB21</f>
        <v>-872.18343550175348</v>
      </c>
    </row>
    <row r="23" spans="1:99" s="5" customFormat="1">
      <c r="A23" s="12" t="s">
        <v>484</v>
      </c>
      <c r="B23" s="108"/>
      <c r="C23" s="108"/>
      <c r="D23" s="108">
        <f t="shared" ref="D23:V23" si="79">(C19-D19)</f>
        <v>-5601</v>
      </c>
      <c r="E23" s="108">
        <f t="shared" si="79"/>
        <v>-6729</v>
      </c>
      <c r="F23" s="108">
        <f t="shared" si="79"/>
        <v>-4953</v>
      </c>
      <c r="G23" s="108">
        <f t="shared" si="79"/>
        <v>-2450</v>
      </c>
      <c r="H23" s="108">
        <f t="shared" si="79"/>
        <v>1467</v>
      </c>
      <c r="I23" s="108">
        <f t="shared" si="79"/>
        <v>2402</v>
      </c>
      <c r="J23" s="108">
        <f t="shared" si="79"/>
        <v>2926</v>
      </c>
      <c r="K23" s="108">
        <f t="shared" si="79"/>
        <v>4797</v>
      </c>
      <c r="L23" s="108">
        <f t="shared" si="79"/>
        <v>3969</v>
      </c>
      <c r="M23" s="108">
        <f t="shared" si="79"/>
        <v>3331</v>
      </c>
      <c r="N23" s="108">
        <f t="shared" si="79"/>
        <v>-903</v>
      </c>
      <c r="O23" s="108">
        <f t="shared" si="79"/>
        <v>547</v>
      </c>
      <c r="P23" s="108">
        <f t="shared" si="79"/>
        <v>-684</v>
      </c>
      <c r="Q23" s="108">
        <f t="shared" si="79"/>
        <v>-677</v>
      </c>
      <c r="R23" s="108">
        <f t="shared" si="79"/>
        <v>1275.125</v>
      </c>
      <c r="S23" s="108">
        <f t="shared" si="79"/>
        <v>2160</v>
      </c>
      <c r="T23" s="108">
        <f t="shared" si="79"/>
        <v>2160</v>
      </c>
      <c r="U23" s="108">
        <f t="shared" si="79"/>
        <v>2160</v>
      </c>
      <c r="V23" s="108">
        <f t="shared" si="79"/>
        <v>2160</v>
      </c>
      <c r="X23" s="40"/>
      <c r="Y23" s="40"/>
      <c r="Z23" s="40"/>
      <c r="AA23" s="40"/>
      <c r="AB23" s="40"/>
      <c r="AC23" s="40"/>
      <c r="AD23" s="40"/>
      <c r="AE23" s="40">
        <f t="shared" ref="AE23:BD23" si="80">(AD19-AE19)</f>
        <v>-1198</v>
      </c>
      <c r="AF23" s="40">
        <f t="shared" si="80"/>
        <v>-1279</v>
      </c>
      <c r="AG23" s="40">
        <f t="shared" si="80"/>
        <v>-1383</v>
      </c>
      <c r="AH23" s="40">
        <f t="shared" si="80"/>
        <v>-1175</v>
      </c>
      <c r="AI23" s="40">
        <f t="shared" si="80"/>
        <v>-1764</v>
      </c>
      <c r="AJ23" s="40">
        <f t="shared" si="80"/>
        <v>-1335</v>
      </c>
      <c r="AK23" s="40">
        <f t="shared" si="80"/>
        <v>-1750</v>
      </c>
      <c r="AL23" s="40">
        <f t="shared" si="80"/>
        <v>-1698</v>
      </c>
      <c r="AM23" s="40">
        <f t="shared" si="80"/>
        <v>-1946</v>
      </c>
      <c r="AN23" s="40">
        <f t="shared" si="80"/>
        <v>-1579</v>
      </c>
      <c r="AO23" s="40">
        <f t="shared" si="80"/>
        <v>-1108</v>
      </c>
      <c r="AP23" s="40">
        <f t="shared" si="80"/>
        <v>-1070</v>
      </c>
      <c r="AQ23" s="40">
        <f t="shared" si="80"/>
        <v>-1196</v>
      </c>
      <c r="AR23" s="40">
        <f t="shared" si="80"/>
        <v>-905</v>
      </c>
      <c r="AS23" s="40">
        <f t="shared" si="80"/>
        <v>-783</v>
      </c>
      <c r="AT23" s="40">
        <f t="shared" si="80"/>
        <v>-579</v>
      </c>
      <c r="AU23" s="40">
        <f t="shared" si="80"/>
        <v>-183</v>
      </c>
      <c r="AV23" s="40">
        <f t="shared" si="80"/>
        <v>-18</v>
      </c>
      <c r="AW23" s="40">
        <f t="shared" si="80"/>
        <v>1038</v>
      </c>
      <c r="AX23" s="40">
        <f t="shared" si="80"/>
        <v>166</v>
      </c>
      <c r="AY23" s="40">
        <f t="shared" si="80"/>
        <v>281</v>
      </c>
      <c r="AZ23" s="40">
        <f t="shared" si="80"/>
        <v>360</v>
      </c>
      <c r="BA23" s="40">
        <f t="shared" si="80"/>
        <v>722</v>
      </c>
      <c r="BB23" s="40">
        <f t="shared" si="80"/>
        <v>569</v>
      </c>
      <c r="BC23" s="318">
        <f t="shared" si="80"/>
        <v>751</v>
      </c>
      <c r="BD23" s="40">
        <f t="shared" si="80"/>
        <v>799</v>
      </c>
      <c r="BE23" s="40">
        <f>(BD19-BE19)</f>
        <v>592</v>
      </c>
      <c r="BF23" s="40">
        <f>(BE19-BF19)</f>
        <v>782</v>
      </c>
      <c r="BG23" s="108">
        <f>(BF19-BG19)</f>
        <v>753</v>
      </c>
      <c r="BH23" s="40">
        <f>(BG19-BH19)</f>
        <v>1044</v>
      </c>
      <c r="BI23" s="40">
        <f>(BH19-BI19)</f>
        <v>1238</v>
      </c>
      <c r="BJ23" s="40">
        <f>(BI19-BJ19)</f>
        <v>1283</v>
      </c>
      <c r="BK23" s="40">
        <f>(BJ19-BK19)</f>
        <v>1232</v>
      </c>
      <c r="BL23" s="40">
        <f t="shared" si="66"/>
        <v>2018</v>
      </c>
      <c r="BM23" s="40">
        <f t="shared" si="66"/>
        <v>831</v>
      </c>
      <c r="BN23" s="40">
        <f t="shared" si="67"/>
        <v>650</v>
      </c>
      <c r="BO23" s="318">
        <f t="shared" si="67"/>
        <v>470</v>
      </c>
      <c r="BP23" s="40">
        <f t="shared" si="67"/>
        <v>179</v>
      </c>
      <c r="BQ23" s="40">
        <f>(BP19-BQ19)</f>
        <v>-79</v>
      </c>
      <c r="BR23" s="40">
        <f>(BQ19-BR19)</f>
        <v>-222</v>
      </c>
      <c r="BS23" s="318">
        <f>(BR19-BS19)</f>
        <v>3453</v>
      </c>
      <c r="BT23" s="318">
        <f t="shared" si="69"/>
        <v>-63</v>
      </c>
      <c r="BU23" s="318">
        <f t="shared" si="69"/>
        <v>-307</v>
      </c>
      <c r="BV23" s="318">
        <f t="shared" si="69"/>
        <v>215</v>
      </c>
      <c r="BW23" s="318">
        <f t="shared" si="69"/>
        <v>-748</v>
      </c>
      <c r="BX23" s="318">
        <f t="shared" si="69"/>
        <v>284</v>
      </c>
      <c r="BY23" s="318">
        <f t="shared" si="69"/>
        <v>334</v>
      </c>
      <c r="BZ23" s="318">
        <f t="shared" si="69"/>
        <v>74</v>
      </c>
      <c r="CA23" s="318">
        <f t="shared" si="69"/>
        <v>-145</v>
      </c>
      <c r="CB23" s="318">
        <f t="shared" si="70"/>
        <v>314</v>
      </c>
      <c r="CC23" s="318">
        <f t="shared" si="71"/>
        <v>-227</v>
      </c>
      <c r="CD23" s="318">
        <f t="shared" si="72"/>
        <v>-167</v>
      </c>
      <c r="CE23" s="318">
        <f t="shared" si="73"/>
        <v>-604</v>
      </c>
      <c r="CF23" s="108">
        <f>(CE19-CF19)</f>
        <v>-265</v>
      </c>
      <c r="CG23" s="318">
        <f t="shared" si="74"/>
        <v>183</v>
      </c>
      <c r="CH23" s="318">
        <f t="shared" si="75"/>
        <v>-704</v>
      </c>
      <c r="CI23" s="318">
        <f t="shared" si="76"/>
        <v>109</v>
      </c>
      <c r="CJ23" s="108">
        <f t="shared" ref="CJ23" si="81">(CI19-CJ19)</f>
        <v>252.5</v>
      </c>
      <c r="CK23" s="108">
        <f t="shared" ref="CK23" si="82">(CJ19-CK19)</f>
        <v>303</v>
      </c>
      <c r="CL23" s="108">
        <f t="shared" ref="CL23" si="83">(CK19-CL19)</f>
        <v>353.5</v>
      </c>
      <c r="CM23" s="108">
        <f t="shared" ref="CM23" si="84">(CL19-CM19)</f>
        <v>366.125</v>
      </c>
      <c r="CP23" s="26" t="s">
        <v>551</v>
      </c>
      <c r="CQ23" s="493">
        <f>+Income_Statement_Annual!Y15</f>
        <v>3329</v>
      </c>
      <c r="CR23" s="493">
        <f>+Income_Statement_Annual!Z15</f>
        <v>3618</v>
      </c>
      <c r="CS23" s="493">
        <f>+Income_Statement_Annual!AA15</f>
        <v>13474</v>
      </c>
      <c r="CT23" s="493">
        <f>+Income_Statement_Annual!AB15</f>
        <v>3818.4474999999998</v>
      </c>
    </row>
    <row r="24" spans="1:99" s="5" customFormat="1">
      <c r="A24" s="12"/>
      <c r="B24" s="308"/>
      <c r="C24" s="308"/>
      <c r="D24" s="308"/>
      <c r="E24" s="308"/>
      <c r="F24" s="308"/>
      <c r="G24" s="308"/>
      <c r="H24" s="308"/>
      <c r="I24" s="40"/>
      <c r="J24" s="40"/>
      <c r="K24" s="40"/>
      <c r="L24" s="40"/>
      <c r="M24" s="40"/>
      <c r="N24" s="308"/>
      <c r="O24" s="308"/>
      <c r="P24" s="308"/>
      <c r="Q24" s="308"/>
      <c r="R24" s="308"/>
      <c r="S24" s="308"/>
      <c r="T24" s="308"/>
      <c r="U24" s="308"/>
      <c r="V24" s="308"/>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318"/>
      <c r="BD24" s="40"/>
      <c r="BE24" s="40"/>
      <c r="BF24" s="40"/>
      <c r="BG24" s="318"/>
      <c r="BH24" s="40"/>
      <c r="BI24" s="40"/>
      <c r="BJ24" s="40"/>
      <c r="BK24" s="318"/>
      <c r="BL24" s="40"/>
      <c r="BM24" s="40"/>
      <c r="BN24" s="40"/>
      <c r="BO24" s="318"/>
      <c r="BP24" s="40"/>
      <c r="BQ24" s="40"/>
      <c r="BR24" s="40"/>
      <c r="BS24" s="318"/>
      <c r="BT24" s="318"/>
      <c r="BU24" s="318"/>
      <c r="BV24" s="318"/>
      <c r="BW24" s="318"/>
      <c r="BX24" s="318"/>
      <c r="BY24" s="318"/>
      <c r="BZ24" s="318"/>
      <c r="CA24" s="318"/>
      <c r="CB24" s="318"/>
      <c r="CC24" s="318"/>
      <c r="CD24" s="318"/>
      <c r="CE24" s="318"/>
      <c r="CF24" s="318"/>
      <c r="CG24" s="318"/>
      <c r="CH24" s="318"/>
      <c r="CI24" s="318"/>
      <c r="CJ24" s="308"/>
      <c r="CK24" s="308"/>
      <c r="CL24" s="308"/>
      <c r="CM24" s="308"/>
      <c r="CP24" s="26" t="s">
        <v>611</v>
      </c>
      <c r="CQ24" s="493">
        <f>Income_Statement_Annual!Y37</f>
        <v>-2459</v>
      </c>
      <c r="CR24" s="493">
        <f>Income_Statement_Annual!Z37</f>
        <v>-2725</v>
      </c>
      <c r="CS24" s="493">
        <f>Income_Statement_Annual!AA37</f>
        <v>-2771</v>
      </c>
      <c r="CT24" s="493">
        <f>Income_Statement_Annual!AB37</f>
        <v>-2709.1482500000002</v>
      </c>
    </row>
    <row r="25" spans="1:99">
      <c r="A25" s="1" t="s">
        <v>511</v>
      </c>
      <c r="B25" s="27"/>
      <c r="C25" s="27"/>
      <c r="D25" s="72">
        <f t="shared" ref="D25:V25" si="85">D19-C19</f>
        <v>5601</v>
      </c>
      <c r="E25" s="72">
        <f t="shared" si="85"/>
        <v>6729</v>
      </c>
      <c r="F25" s="72">
        <f t="shared" si="85"/>
        <v>4953</v>
      </c>
      <c r="G25" s="72">
        <f t="shared" si="85"/>
        <v>2450</v>
      </c>
      <c r="H25" s="72">
        <f t="shared" si="85"/>
        <v>-1467</v>
      </c>
      <c r="I25" s="72">
        <f t="shared" si="85"/>
        <v>-2402</v>
      </c>
      <c r="J25" s="72">
        <f t="shared" si="85"/>
        <v>-2926</v>
      </c>
      <c r="K25" s="72">
        <f t="shared" si="85"/>
        <v>-4797</v>
      </c>
      <c r="L25" s="72">
        <f t="shared" si="85"/>
        <v>-3969</v>
      </c>
      <c r="M25" s="72">
        <f t="shared" si="85"/>
        <v>-3331</v>
      </c>
      <c r="N25" s="72">
        <f>SUM(BT25:BW25)</f>
        <v>903</v>
      </c>
      <c r="O25" s="72">
        <f t="shared" si="85"/>
        <v>-547</v>
      </c>
      <c r="P25" s="72">
        <f t="shared" si="85"/>
        <v>684</v>
      </c>
      <c r="Q25" s="72">
        <f>SUM(CF25:CI25)</f>
        <v>677</v>
      </c>
      <c r="R25" s="72">
        <f t="shared" si="85"/>
        <v>-1275.125</v>
      </c>
      <c r="S25" s="72">
        <f t="shared" si="85"/>
        <v>-2160</v>
      </c>
      <c r="T25" s="72">
        <f t="shared" si="85"/>
        <v>-2160</v>
      </c>
      <c r="U25" s="72">
        <f t="shared" si="85"/>
        <v>-2160</v>
      </c>
      <c r="V25" s="72">
        <f t="shared" si="85"/>
        <v>-2160</v>
      </c>
      <c r="X25" s="23"/>
      <c r="Y25" s="23"/>
      <c r="Z25" s="23"/>
      <c r="AA25" s="23"/>
      <c r="AB25" s="23"/>
      <c r="AC25" s="23"/>
      <c r="AD25" s="23"/>
      <c r="AE25" s="23">
        <f>AE19-AD19</f>
        <v>1198</v>
      </c>
      <c r="AF25" s="23">
        <f t="shared" ref="AF25:BS25" si="86">AF19-AE19</f>
        <v>1279</v>
      </c>
      <c r="AG25" s="23">
        <f t="shared" si="86"/>
        <v>1383</v>
      </c>
      <c r="AH25" s="23">
        <f t="shared" si="86"/>
        <v>1175</v>
      </c>
      <c r="AI25" s="23">
        <f t="shared" si="86"/>
        <v>1764</v>
      </c>
      <c r="AJ25" s="23">
        <f t="shared" si="86"/>
        <v>1335</v>
      </c>
      <c r="AK25" s="23">
        <f t="shared" si="86"/>
        <v>1750</v>
      </c>
      <c r="AL25" s="23">
        <f t="shared" si="86"/>
        <v>1698</v>
      </c>
      <c r="AM25" s="23">
        <f t="shared" si="86"/>
        <v>1946</v>
      </c>
      <c r="AN25" s="23">
        <f t="shared" si="86"/>
        <v>1579</v>
      </c>
      <c r="AO25" s="23">
        <f t="shared" si="86"/>
        <v>1108</v>
      </c>
      <c r="AP25" s="23">
        <f t="shared" si="86"/>
        <v>1070</v>
      </c>
      <c r="AQ25" s="23">
        <f t="shared" si="86"/>
        <v>1196</v>
      </c>
      <c r="AR25" s="23">
        <f t="shared" si="86"/>
        <v>905</v>
      </c>
      <c r="AS25" s="23">
        <f t="shared" si="86"/>
        <v>783</v>
      </c>
      <c r="AT25" s="23">
        <f t="shared" si="86"/>
        <v>579</v>
      </c>
      <c r="AU25" s="23">
        <f t="shared" si="86"/>
        <v>183</v>
      </c>
      <c r="AV25" s="23">
        <f t="shared" si="86"/>
        <v>18</v>
      </c>
      <c r="AW25" s="23">
        <f t="shared" si="86"/>
        <v>-1038</v>
      </c>
      <c r="AX25" s="23">
        <f t="shared" si="86"/>
        <v>-166</v>
      </c>
      <c r="AY25" s="23">
        <f t="shared" si="86"/>
        <v>-281</v>
      </c>
      <c r="AZ25" s="23">
        <f t="shared" si="86"/>
        <v>-360</v>
      </c>
      <c r="BA25" s="23">
        <f t="shared" si="86"/>
        <v>-722</v>
      </c>
      <c r="BB25" s="23">
        <f t="shared" si="86"/>
        <v>-569</v>
      </c>
      <c r="BC25" s="23">
        <f t="shared" si="86"/>
        <v>-751</v>
      </c>
      <c r="BD25" s="23">
        <f t="shared" si="86"/>
        <v>-799</v>
      </c>
      <c r="BE25" s="23">
        <f t="shared" si="86"/>
        <v>-592</v>
      </c>
      <c r="BF25" s="23">
        <f t="shared" si="86"/>
        <v>-782</v>
      </c>
      <c r="BG25" s="23">
        <f t="shared" si="86"/>
        <v>-753</v>
      </c>
      <c r="BH25" s="23">
        <f t="shared" si="86"/>
        <v>-1044</v>
      </c>
      <c r="BI25" s="23">
        <f t="shared" si="86"/>
        <v>-1238</v>
      </c>
      <c r="BJ25" s="23">
        <f t="shared" si="86"/>
        <v>-1283</v>
      </c>
      <c r="BK25" s="23">
        <f t="shared" si="86"/>
        <v>-1232</v>
      </c>
      <c r="BL25" s="23">
        <f t="shared" si="86"/>
        <v>-2018</v>
      </c>
      <c r="BM25" s="23">
        <f t="shared" si="86"/>
        <v>-831</v>
      </c>
      <c r="BN25" s="72">
        <f t="shared" si="86"/>
        <v>-650</v>
      </c>
      <c r="BO25" s="72">
        <f t="shared" si="86"/>
        <v>-470</v>
      </c>
      <c r="BP25" s="72">
        <f t="shared" si="86"/>
        <v>-179</v>
      </c>
      <c r="BQ25" s="72">
        <f t="shared" si="86"/>
        <v>79</v>
      </c>
      <c r="BR25" s="72">
        <f t="shared" si="86"/>
        <v>222</v>
      </c>
      <c r="BS25" s="72">
        <f t="shared" si="86"/>
        <v>-3453</v>
      </c>
      <c r="BT25" s="72">
        <f>BT19-BS19</f>
        <v>63</v>
      </c>
      <c r="BU25" s="72">
        <f>BU19-BT19</f>
        <v>307</v>
      </c>
      <c r="BV25" s="72">
        <f>BV19-BU19</f>
        <v>-215</v>
      </c>
      <c r="BW25" s="72">
        <f>BW19-BV19</f>
        <v>748</v>
      </c>
      <c r="BX25" s="72">
        <f t="shared" ref="BX25:CA25" si="87">BX19-BW19</f>
        <v>-284</v>
      </c>
      <c r="BY25" s="72">
        <f t="shared" si="87"/>
        <v>-334</v>
      </c>
      <c r="BZ25" s="72">
        <f t="shared" si="87"/>
        <v>-74</v>
      </c>
      <c r="CA25" s="72">
        <f t="shared" si="87"/>
        <v>145</v>
      </c>
      <c r="CB25" s="72">
        <f t="shared" ref="CB25" si="88">CB19-CA19</f>
        <v>-314</v>
      </c>
      <c r="CC25" s="72">
        <f t="shared" ref="CC25" si="89">CC19-CB19</f>
        <v>227</v>
      </c>
      <c r="CD25" s="72">
        <f t="shared" ref="CD25" si="90">CD19-CC19</f>
        <v>167</v>
      </c>
      <c r="CE25" s="72">
        <f t="shared" ref="CE25" si="91">CE19-CD19</f>
        <v>604</v>
      </c>
      <c r="CF25" s="72">
        <f>CF19-CE19</f>
        <v>265</v>
      </c>
      <c r="CG25" s="72">
        <f t="shared" ref="CG25" si="92">CG19-CF19</f>
        <v>-183</v>
      </c>
      <c r="CH25" s="72">
        <f t="shared" ref="CH25" si="93">CH19-CG19</f>
        <v>704</v>
      </c>
      <c r="CI25" s="72">
        <f t="shared" ref="CI25" si="94">CI19-CH19</f>
        <v>-109</v>
      </c>
      <c r="CJ25" s="72">
        <f t="shared" ref="CJ25" si="95">CJ19-CI19</f>
        <v>-252.5</v>
      </c>
      <c r="CK25" s="72">
        <f t="shared" ref="CK25" si="96">CK19-CJ19</f>
        <v>-303</v>
      </c>
      <c r="CL25" s="72">
        <f t="shared" ref="CL25" si="97">CL19-CK19</f>
        <v>-353.5</v>
      </c>
      <c r="CM25" s="72">
        <f t="shared" ref="CM25" si="98">CM19-CL19</f>
        <v>-366.125</v>
      </c>
      <c r="CN25" s="5"/>
      <c r="CP25" s="26" t="s">
        <v>608</v>
      </c>
      <c r="CQ25" s="493">
        <f>+Income_Statement_Annual!Y43</f>
        <v>-237</v>
      </c>
      <c r="CR25" s="493">
        <f>+Income_Statement_Annual!Z43</f>
        <v>381</v>
      </c>
      <c r="CS25" s="493">
        <f>+Income_Statement_Annual!AA43</f>
        <v>-397</v>
      </c>
      <c r="CT25" s="493">
        <f>+Income_Statement_Annual!AB43</f>
        <v>-52.784550525461512</v>
      </c>
    </row>
    <row r="26" spans="1:99">
      <c r="A26" s="1" t="s">
        <v>1</v>
      </c>
      <c r="B26" s="27"/>
      <c r="C26" s="27"/>
      <c r="D26" s="43">
        <v>0</v>
      </c>
      <c r="E26" s="43">
        <v>0</v>
      </c>
      <c r="F26" s="43">
        <v>0</v>
      </c>
      <c r="G26" s="43">
        <v>0</v>
      </c>
      <c r="H26" s="43">
        <v>0</v>
      </c>
      <c r="I26" s="43">
        <v>0</v>
      </c>
      <c r="J26" s="43">
        <v>0</v>
      </c>
      <c r="K26" s="43">
        <v>0</v>
      </c>
      <c r="L26" s="43">
        <v>0</v>
      </c>
      <c r="M26" s="43">
        <v>0</v>
      </c>
      <c r="N26" s="72">
        <f>SUM(BT26:BW26)</f>
        <v>-1540.2555555555555</v>
      </c>
      <c r="O26" s="72">
        <f t="shared" ref="O26:T26" si="99">(O7*O9*0.55)-(O7*O36)</f>
        <v>-2597.3356164383567</v>
      </c>
      <c r="P26" s="72">
        <f t="shared" si="99"/>
        <v>-1561.0735294117646</v>
      </c>
      <c r="Q26" s="72">
        <f>SUM(CF26:CI26)</f>
        <v>-1422.2832621082621</v>
      </c>
      <c r="R26" s="72">
        <f t="shared" si="99"/>
        <v>-335.62500000000006</v>
      </c>
      <c r="S26" s="72">
        <f t="shared" si="99"/>
        <v>0</v>
      </c>
      <c r="T26" s="72">
        <f t="shared" si="99"/>
        <v>0</v>
      </c>
      <c r="U26" s="72">
        <f t="shared" ref="U26" si="100">(U7*U9*0.55)-(U7*U36)</f>
        <v>0</v>
      </c>
      <c r="V26" s="72">
        <f t="shared" ref="V26" si="101">(V7*V9*0.55)-(V7*V36)</f>
        <v>0</v>
      </c>
      <c r="X26" s="43">
        <v>0</v>
      </c>
      <c r="Y26" s="43">
        <v>0</v>
      </c>
      <c r="Z26" s="43">
        <v>0</v>
      </c>
      <c r="AA26" s="43">
        <v>0</v>
      </c>
      <c r="AB26" s="43">
        <v>0</v>
      </c>
      <c r="AC26" s="43">
        <v>0</v>
      </c>
      <c r="AD26" s="43">
        <v>0</v>
      </c>
      <c r="AE26" s="43">
        <v>0</v>
      </c>
      <c r="AF26" s="43">
        <v>0</v>
      </c>
      <c r="AG26" s="43">
        <v>0</v>
      </c>
      <c r="AH26" s="43">
        <v>0</v>
      </c>
      <c r="AI26" s="43">
        <v>0</v>
      </c>
      <c r="AJ26" s="43">
        <v>0</v>
      </c>
      <c r="AK26" s="43">
        <v>0</v>
      </c>
      <c r="AL26" s="43">
        <v>0</v>
      </c>
      <c r="AM26" s="43">
        <v>0</v>
      </c>
      <c r="AN26" s="43">
        <v>0</v>
      </c>
      <c r="AO26" s="43">
        <v>0</v>
      </c>
      <c r="AP26" s="43">
        <v>0</v>
      </c>
      <c r="AQ26" s="43">
        <v>0</v>
      </c>
      <c r="AR26" s="43">
        <v>0</v>
      </c>
      <c r="AS26" s="43">
        <v>0</v>
      </c>
      <c r="AT26" s="43">
        <v>0</v>
      </c>
      <c r="AU26" s="43">
        <v>0</v>
      </c>
      <c r="AV26" s="43">
        <v>0</v>
      </c>
      <c r="AW26" s="43">
        <v>0</v>
      </c>
      <c r="AX26" s="43">
        <v>0</v>
      </c>
      <c r="AY26" s="43">
        <v>0</v>
      </c>
      <c r="AZ26" s="43">
        <v>0</v>
      </c>
      <c r="BA26" s="43">
        <v>0</v>
      </c>
      <c r="BB26" s="43">
        <v>0</v>
      </c>
      <c r="BC26" s="43">
        <v>0</v>
      </c>
      <c r="BD26" s="43">
        <v>0</v>
      </c>
      <c r="BE26" s="43">
        <v>0</v>
      </c>
      <c r="BF26" s="43">
        <v>0</v>
      </c>
      <c r="BG26" s="43">
        <v>0</v>
      </c>
      <c r="BH26" s="43">
        <v>0</v>
      </c>
      <c r="BI26" s="43">
        <v>0</v>
      </c>
      <c r="BJ26" s="43">
        <v>0</v>
      </c>
      <c r="BK26" s="43">
        <v>0</v>
      </c>
      <c r="BL26" s="43">
        <v>0</v>
      </c>
      <c r="BM26" s="43">
        <v>0</v>
      </c>
      <c r="BN26" s="43">
        <v>0</v>
      </c>
      <c r="BO26" s="43">
        <v>0</v>
      </c>
      <c r="BP26" s="43">
        <v>0</v>
      </c>
      <c r="BQ26" s="43">
        <v>0</v>
      </c>
      <c r="BR26" s="43">
        <v>0</v>
      </c>
      <c r="BS26" s="43">
        <v>0</v>
      </c>
      <c r="BT26" s="43">
        <v>0</v>
      </c>
      <c r="BU26" s="43">
        <v>0</v>
      </c>
      <c r="BV26" s="72">
        <f t="shared" ref="BV26:CA26" si="102">(BV7*BV9*0.55)-(BV7*BV36)</f>
        <v>-218.80555555555554</v>
      </c>
      <c r="BW26" s="72">
        <f t="shared" si="102"/>
        <v>-1321.45</v>
      </c>
      <c r="BX26" s="72">
        <f t="shared" si="102"/>
        <v>-376.48636363636365</v>
      </c>
      <c r="BY26" s="72">
        <f t="shared" si="102"/>
        <v>-560.45000000000005</v>
      </c>
      <c r="BZ26" s="72">
        <f t="shared" si="102"/>
        <v>-828.81842105263161</v>
      </c>
      <c r="CA26" s="72">
        <f t="shared" si="102"/>
        <v>-1183.2695652173913</v>
      </c>
      <c r="CB26" s="72">
        <f t="shared" ref="CB26:CE26" si="103">(CB7*CB9*0.55)-(CB7*CB36)</f>
        <v>-173.98461538461541</v>
      </c>
      <c r="CC26" s="72">
        <f t="shared" si="103"/>
        <v>-464.36111111111109</v>
      </c>
      <c r="CD26" s="72">
        <f t="shared" si="103"/>
        <v>-397.89285714285717</v>
      </c>
      <c r="CE26" s="72">
        <f t="shared" si="103"/>
        <v>-539.58333333333326</v>
      </c>
      <c r="CF26" s="72">
        <f t="shared" ref="CF26:CM26" si="104">(CF7*CF9*0.55)-(CF7*CF36)</f>
        <v>-451.17307692307691</v>
      </c>
      <c r="CG26" s="72">
        <f t="shared" si="104"/>
        <v>-311.125</v>
      </c>
      <c r="CH26" s="72">
        <f t="shared" si="104"/>
        <v>-396.73333333333335</v>
      </c>
      <c r="CI26" s="72">
        <f t="shared" si="104"/>
        <v>-263.25185185185188</v>
      </c>
      <c r="CJ26" s="72">
        <f t="shared" si="104"/>
        <v>-87.187500000000014</v>
      </c>
      <c r="CK26" s="72">
        <f t="shared" si="104"/>
        <v>-84.687500000000014</v>
      </c>
      <c r="CL26" s="72">
        <f t="shared" si="104"/>
        <v>-82.187500000000014</v>
      </c>
      <c r="CM26" s="72">
        <f t="shared" si="104"/>
        <v>-81.562500000000014</v>
      </c>
      <c r="CN26" s="5"/>
      <c r="CP26" s="26" t="s">
        <v>614</v>
      </c>
      <c r="CQ26" s="493">
        <f>+Income_Statement_Annual!Y56-(SUM(Inventory!CQ21:CQ25,CQ19)-Cash_Flow_Annual!Y21)</f>
        <v>524</v>
      </c>
      <c r="CR26" s="493">
        <f>+Income_Statement_Annual!Z56-(SUM(Inventory!CR21:CR25,CR19)-Cash_Flow_Annual!Z21)</f>
        <v>279</v>
      </c>
      <c r="CS26" s="493">
        <f>+Income_Statement_Annual!AA56-(SUM(Inventory!CS21:CS25,CS19)-Cash_Flow_Annual!AA21)</f>
        <v>-861</v>
      </c>
      <c r="CT26" s="493">
        <f>+Income_Statement_Annual!AB56-(SUM(Inventory!CT21:CT25,CT19)-Cash_Flow_Annual!AB21)</f>
        <v>-383.7292287770785</v>
      </c>
    </row>
    <row r="27" spans="1:99">
      <c r="A27" s="1" t="s">
        <v>645</v>
      </c>
      <c r="B27" s="27"/>
      <c r="C27" s="27"/>
      <c r="D27" s="43"/>
      <c r="E27" s="43"/>
      <c r="F27" s="43"/>
      <c r="G27" s="43"/>
      <c r="H27" s="43"/>
      <c r="I27" s="43"/>
      <c r="J27" s="43"/>
      <c r="K27" s="43"/>
      <c r="L27" s="43"/>
      <c r="M27" s="43"/>
      <c r="N27" s="72"/>
      <c r="O27" s="72"/>
      <c r="P27" s="422">
        <f>SUM(CB27:CE27)</f>
        <v>1850</v>
      </c>
      <c r="Q27" s="422">
        <f>SUM(CF27:CI27)</f>
        <v>1200</v>
      </c>
      <c r="R27" s="562">
        <f t="shared" ref="R27" ca="1" si="105">SUM(CJ27:CM27)</f>
        <v>0</v>
      </c>
      <c r="S27" s="422">
        <v>0</v>
      </c>
      <c r="T27" s="422">
        <v>0</v>
      </c>
      <c r="U27" s="422">
        <v>0</v>
      </c>
      <c r="V27" s="422">
        <v>0</v>
      </c>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c r="BU27" s="43"/>
      <c r="BV27" s="72"/>
      <c r="BW27" s="72"/>
      <c r="BX27" s="72"/>
      <c r="BY27" s="72"/>
      <c r="BZ27" s="72"/>
      <c r="CA27" s="72"/>
      <c r="CB27" s="422">
        <v>300</v>
      </c>
      <c r="CC27" s="422">
        <v>300</v>
      </c>
      <c r="CD27" s="422">
        <v>500</v>
      </c>
      <c r="CE27" s="422">
        <v>750</v>
      </c>
      <c r="CF27" s="422">
        <v>350</v>
      </c>
      <c r="CG27" s="422">
        <v>350</v>
      </c>
      <c r="CH27" s="422">
        <v>250</v>
      </c>
      <c r="CI27" s="422">
        <v>250</v>
      </c>
      <c r="CJ27" s="422">
        <f ca="1">$R27/4</f>
        <v>0</v>
      </c>
      <c r="CK27" s="422">
        <f t="shared" ref="CK27:CM27" ca="1" si="106">$R27/4</f>
        <v>0</v>
      </c>
      <c r="CL27" s="422">
        <f t="shared" ca="1" si="106"/>
        <v>0</v>
      </c>
      <c r="CM27" s="422">
        <f t="shared" ca="1" si="106"/>
        <v>0</v>
      </c>
      <c r="CN27" s="5"/>
      <c r="CP27" s="26"/>
      <c r="CQ27" s="493"/>
      <c r="CR27" s="493"/>
      <c r="CS27" s="493"/>
      <c r="CT27" s="493"/>
    </row>
    <row r="28" spans="1:99" s="5" customFormat="1">
      <c r="A28" s="362" t="s">
        <v>545</v>
      </c>
      <c r="B28" s="363"/>
      <c r="C28" s="363"/>
      <c r="D28" s="363">
        <f t="shared" ref="D28:O28" si="107">D25+D26</f>
        <v>5601</v>
      </c>
      <c r="E28" s="363">
        <f t="shared" si="107"/>
        <v>6729</v>
      </c>
      <c r="F28" s="363">
        <f t="shared" si="107"/>
        <v>4953</v>
      </c>
      <c r="G28" s="363">
        <f t="shared" si="107"/>
        <v>2450</v>
      </c>
      <c r="H28" s="363">
        <f t="shared" si="107"/>
        <v>-1467</v>
      </c>
      <c r="I28" s="363">
        <f t="shared" si="107"/>
        <v>-2402</v>
      </c>
      <c r="J28" s="363">
        <f t="shared" si="107"/>
        <v>-2926</v>
      </c>
      <c r="K28" s="363">
        <f t="shared" si="107"/>
        <v>-4797</v>
      </c>
      <c r="L28" s="363">
        <f t="shared" si="107"/>
        <v>-3969</v>
      </c>
      <c r="M28" s="363">
        <f t="shared" si="107"/>
        <v>-3331</v>
      </c>
      <c r="N28" s="363">
        <f t="shared" si="107"/>
        <v>-637.25555555555547</v>
      </c>
      <c r="O28" s="363">
        <f t="shared" si="107"/>
        <v>-3144.3356164383567</v>
      </c>
      <c r="P28" s="363">
        <f>P25+P26+P27</f>
        <v>972.92647058823536</v>
      </c>
      <c r="Q28" s="363">
        <f t="shared" ref="Q28:S28" si="108">Q25+Q26+Q27</f>
        <v>454.71673789173792</v>
      </c>
      <c r="R28" s="363">
        <f t="shared" ca="1" si="108"/>
        <v>-1610.75</v>
      </c>
      <c r="S28" s="363">
        <f t="shared" si="108"/>
        <v>-2160</v>
      </c>
      <c r="T28" s="363">
        <f t="shared" ref="T28:U28" si="109">T25+T26+T27</f>
        <v>-2160</v>
      </c>
      <c r="U28" s="363">
        <f t="shared" si="109"/>
        <v>-2160</v>
      </c>
      <c r="V28" s="363">
        <f t="shared" ref="V28" si="110">V25+V26+V27</f>
        <v>-2160</v>
      </c>
      <c r="W28" s="401"/>
      <c r="X28" s="363">
        <f t="shared" ref="X28:BS28" si="111">X25+X26</f>
        <v>0</v>
      </c>
      <c r="Y28" s="363">
        <f t="shared" si="111"/>
        <v>0</v>
      </c>
      <c r="Z28" s="363">
        <f t="shared" si="111"/>
        <v>0</v>
      </c>
      <c r="AA28" s="363">
        <f t="shared" si="111"/>
        <v>0</v>
      </c>
      <c r="AB28" s="363">
        <f t="shared" si="111"/>
        <v>0</v>
      </c>
      <c r="AC28" s="363">
        <f t="shared" si="111"/>
        <v>0</v>
      </c>
      <c r="AD28" s="363">
        <f t="shared" si="111"/>
        <v>0</v>
      </c>
      <c r="AE28" s="363">
        <f t="shared" si="111"/>
        <v>1198</v>
      </c>
      <c r="AF28" s="363">
        <f t="shared" si="111"/>
        <v>1279</v>
      </c>
      <c r="AG28" s="363">
        <f t="shared" si="111"/>
        <v>1383</v>
      </c>
      <c r="AH28" s="363">
        <f t="shared" si="111"/>
        <v>1175</v>
      </c>
      <c r="AI28" s="363">
        <f t="shared" si="111"/>
        <v>1764</v>
      </c>
      <c r="AJ28" s="363">
        <f t="shared" si="111"/>
        <v>1335</v>
      </c>
      <c r="AK28" s="363">
        <f t="shared" si="111"/>
        <v>1750</v>
      </c>
      <c r="AL28" s="363">
        <f t="shared" si="111"/>
        <v>1698</v>
      </c>
      <c r="AM28" s="363">
        <f t="shared" si="111"/>
        <v>1946</v>
      </c>
      <c r="AN28" s="363">
        <f t="shared" si="111"/>
        <v>1579</v>
      </c>
      <c r="AO28" s="363">
        <f t="shared" si="111"/>
        <v>1108</v>
      </c>
      <c r="AP28" s="363">
        <f t="shared" si="111"/>
        <v>1070</v>
      </c>
      <c r="AQ28" s="363">
        <f t="shared" si="111"/>
        <v>1196</v>
      </c>
      <c r="AR28" s="363">
        <f t="shared" si="111"/>
        <v>905</v>
      </c>
      <c r="AS28" s="363">
        <f t="shared" si="111"/>
        <v>783</v>
      </c>
      <c r="AT28" s="363">
        <f t="shared" si="111"/>
        <v>579</v>
      </c>
      <c r="AU28" s="363">
        <f t="shared" si="111"/>
        <v>183</v>
      </c>
      <c r="AV28" s="363">
        <f t="shared" si="111"/>
        <v>18</v>
      </c>
      <c r="AW28" s="363">
        <f t="shared" si="111"/>
        <v>-1038</v>
      </c>
      <c r="AX28" s="363">
        <f t="shared" si="111"/>
        <v>-166</v>
      </c>
      <c r="AY28" s="363">
        <f t="shared" si="111"/>
        <v>-281</v>
      </c>
      <c r="AZ28" s="363">
        <f t="shared" si="111"/>
        <v>-360</v>
      </c>
      <c r="BA28" s="363">
        <f t="shared" si="111"/>
        <v>-722</v>
      </c>
      <c r="BB28" s="363">
        <f t="shared" si="111"/>
        <v>-569</v>
      </c>
      <c r="BC28" s="363">
        <f t="shared" si="111"/>
        <v>-751</v>
      </c>
      <c r="BD28" s="363">
        <f t="shared" si="111"/>
        <v>-799</v>
      </c>
      <c r="BE28" s="363">
        <f t="shared" si="111"/>
        <v>-592</v>
      </c>
      <c r="BF28" s="363">
        <f t="shared" si="111"/>
        <v>-782</v>
      </c>
      <c r="BG28" s="363">
        <f t="shared" si="111"/>
        <v>-753</v>
      </c>
      <c r="BH28" s="363">
        <f t="shared" si="111"/>
        <v>-1044</v>
      </c>
      <c r="BI28" s="363">
        <f t="shared" si="111"/>
        <v>-1238</v>
      </c>
      <c r="BJ28" s="363">
        <f t="shared" si="111"/>
        <v>-1283</v>
      </c>
      <c r="BK28" s="363">
        <f t="shared" si="111"/>
        <v>-1232</v>
      </c>
      <c r="BL28" s="363">
        <f t="shared" si="111"/>
        <v>-2018</v>
      </c>
      <c r="BM28" s="363">
        <f t="shared" si="111"/>
        <v>-831</v>
      </c>
      <c r="BN28" s="363">
        <f t="shared" si="111"/>
        <v>-650</v>
      </c>
      <c r="BO28" s="363">
        <f t="shared" si="111"/>
        <v>-470</v>
      </c>
      <c r="BP28" s="363">
        <f t="shared" si="111"/>
        <v>-179</v>
      </c>
      <c r="BQ28" s="363">
        <f t="shared" si="111"/>
        <v>79</v>
      </c>
      <c r="BR28" s="363">
        <f t="shared" si="111"/>
        <v>222</v>
      </c>
      <c r="BS28" s="363">
        <f t="shared" si="111"/>
        <v>-3453</v>
      </c>
      <c r="BT28" s="363">
        <f>BT25+BT26</f>
        <v>63</v>
      </c>
      <c r="BU28" s="363">
        <f>BU25+BU26</f>
        <v>307</v>
      </c>
      <c r="BV28" s="363">
        <f>BV25+BV26</f>
        <v>-433.80555555555554</v>
      </c>
      <c r="BW28" s="363">
        <f>BW25+BW26</f>
        <v>-573.45000000000005</v>
      </c>
      <c r="BX28" s="363">
        <f t="shared" ref="BX28:CA28" si="112">BX25+BX26</f>
        <v>-660.48636363636365</v>
      </c>
      <c r="BY28" s="363">
        <f t="shared" si="112"/>
        <v>-894.45</v>
      </c>
      <c r="BZ28" s="363">
        <f t="shared" si="112"/>
        <v>-902.81842105263161</v>
      </c>
      <c r="CA28" s="363">
        <f t="shared" si="112"/>
        <v>-1038.2695652173913</v>
      </c>
      <c r="CB28" s="363">
        <f>CB25+CB26+CB27</f>
        <v>-187.98461538461538</v>
      </c>
      <c r="CC28" s="363">
        <f t="shared" ref="CC28:CE28" si="113">CC25+CC26+CC27</f>
        <v>62.638888888888914</v>
      </c>
      <c r="CD28" s="363">
        <f t="shared" si="113"/>
        <v>269.10714285714283</v>
      </c>
      <c r="CE28" s="363">
        <f t="shared" si="113"/>
        <v>814.41666666666674</v>
      </c>
      <c r="CF28" s="363">
        <f t="shared" ref="CF28:CM28" si="114">CF25+CF26+CF27</f>
        <v>163.82692307692309</v>
      </c>
      <c r="CG28" s="363">
        <f t="shared" si="114"/>
        <v>-144.125</v>
      </c>
      <c r="CH28" s="363">
        <f t="shared" si="114"/>
        <v>557.26666666666665</v>
      </c>
      <c r="CI28" s="363">
        <f t="shared" si="114"/>
        <v>-122.25185185185188</v>
      </c>
      <c r="CJ28" s="363">
        <f t="shared" ca="1" si="114"/>
        <v>-339.6875</v>
      </c>
      <c r="CK28" s="363">
        <f t="shared" ca="1" si="114"/>
        <v>-387.6875</v>
      </c>
      <c r="CL28" s="363">
        <f t="shared" ca="1" si="114"/>
        <v>-435.6875</v>
      </c>
      <c r="CM28" s="363">
        <f t="shared" ca="1" si="114"/>
        <v>-447.6875</v>
      </c>
      <c r="CP28" s="26" t="s">
        <v>612</v>
      </c>
      <c r="CQ28" s="493">
        <f>+Cash_Flow_Annual!Y5</f>
        <v>1861</v>
      </c>
      <c r="CR28" s="493">
        <f>+Cash_Flow_Annual!Z5</f>
        <v>1836</v>
      </c>
      <c r="CS28" s="493">
        <f>+Cash_Flow_Annual!AA5</f>
        <v>1953</v>
      </c>
      <c r="CT28" s="493">
        <f>+Cash_Flow_Annual!AB5</f>
        <v>2073.7350000000001</v>
      </c>
    </row>
    <row r="29" spans="1:99" s="351" customFormat="1">
      <c r="A29" s="347"/>
      <c r="B29" s="348"/>
      <c r="C29" s="348"/>
      <c r="D29" s="349" t="str">
        <f>IF(D28=SUM(AF28:AI28),"TRUE","FALSE")</f>
        <v>TRUE</v>
      </c>
      <c r="E29" s="349" t="str">
        <f>IF(E28=SUM(AJ28:AM28),"TRUE","FALSE")</f>
        <v>TRUE</v>
      </c>
      <c r="F29" s="349" t="str">
        <f>IF(F28=SUM(AN28:AQ28),"TRUE","FALSE")</f>
        <v>TRUE</v>
      </c>
      <c r="G29" s="349" t="str">
        <f>IF(G28=SUM(AR28:AU28),"TRUE","FALSE")</f>
        <v>TRUE</v>
      </c>
      <c r="H29" s="349" t="str">
        <f>IF(H28=SUM(AV28:AY28),"TRUE","FALSE")</f>
        <v>TRUE</v>
      </c>
      <c r="I29" s="349" t="str">
        <f>IF(I28=SUM(AZ28:BC28),"TRUE","FALSE")</f>
        <v>TRUE</v>
      </c>
      <c r="J29" s="349" t="str">
        <f>IF(J28=SUM(BD28:BG28),"TRUE","FALSE")</f>
        <v>TRUE</v>
      </c>
      <c r="K29" s="349" t="str">
        <f>IF(K28=SUM(BH28:BK28),"TRUE","FALSE")</f>
        <v>TRUE</v>
      </c>
      <c r="L29" s="349" t="str">
        <f>IF(L28=SUM(BL28:BO28),"TRUE","FALSE")</f>
        <v>TRUE</v>
      </c>
      <c r="M29" s="349" t="str">
        <f>IF(M28=SUM(BP28:BS28),"TRUE","FALSE")</f>
        <v>TRUE</v>
      </c>
      <c r="N29" s="350"/>
      <c r="O29" s="348"/>
      <c r="P29" s="348"/>
      <c r="Q29" s="348"/>
      <c r="R29" s="348"/>
      <c r="S29" s="348"/>
      <c r="T29" s="348"/>
      <c r="U29" s="348"/>
      <c r="V29" s="348"/>
      <c r="X29" s="350"/>
      <c r="Y29" s="350"/>
      <c r="Z29" s="350"/>
      <c r="AA29" s="350"/>
      <c r="AB29" s="350"/>
      <c r="AC29" s="350"/>
      <c r="AD29" s="350"/>
      <c r="AE29" s="350"/>
      <c r="AF29" s="350"/>
      <c r="AG29" s="350"/>
      <c r="AH29" s="350"/>
      <c r="AI29" s="350"/>
      <c r="AJ29" s="350"/>
      <c r="AK29" s="350"/>
      <c r="AL29" s="350"/>
      <c r="AM29" s="350"/>
      <c r="AN29" s="350"/>
      <c r="AO29" s="350"/>
      <c r="AP29" s="350"/>
      <c r="AQ29" s="350"/>
      <c r="AR29" s="350"/>
      <c r="AS29" s="350"/>
      <c r="AT29" s="350"/>
      <c r="AU29" s="350"/>
      <c r="AV29" s="350"/>
      <c r="AW29" s="350"/>
      <c r="AX29" s="350"/>
      <c r="AY29" s="350"/>
      <c r="AZ29" s="350"/>
      <c r="BA29" s="350"/>
      <c r="BB29" s="350"/>
      <c r="BC29" s="348"/>
      <c r="BD29" s="350"/>
      <c r="BE29" s="350"/>
      <c r="BF29" s="350"/>
      <c r="BG29" s="348"/>
      <c r="BH29" s="350"/>
      <c r="BI29" s="350"/>
      <c r="BJ29" s="350"/>
      <c r="BK29" s="348"/>
      <c r="BL29" s="350"/>
      <c r="BM29" s="350"/>
      <c r="BN29" s="350"/>
      <c r="BO29" s="348"/>
      <c r="BP29" s="348"/>
      <c r="BQ29" s="348"/>
      <c r="BR29" s="348"/>
      <c r="BS29" s="348"/>
      <c r="BT29" s="348"/>
      <c r="BU29" s="348"/>
      <c r="BV29" s="348"/>
      <c r="BW29" s="348"/>
      <c r="BX29" s="348"/>
      <c r="BY29" s="348"/>
      <c r="BZ29" s="348"/>
      <c r="CA29" s="348"/>
      <c r="CB29" s="348"/>
      <c r="CC29" s="348"/>
      <c r="CD29" s="348"/>
      <c r="CE29" s="348"/>
      <c r="CF29" s="348"/>
      <c r="CG29" s="348"/>
      <c r="CH29" s="348"/>
      <c r="CI29" s="348"/>
      <c r="CJ29" s="348"/>
      <c r="CK29" s="348"/>
      <c r="CL29" s="348"/>
      <c r="CM29" s="348"/>
      <c r="CP29" s="26" t="s">
        <v>609</v>
      </c>
      <c r="CQ29" s="493">
        <f>+Cash_Flow_Annual!Y28-CQ20-Cash_Flow_Annual!Y21</f>
        <v>2763</v>
      </c>
      <c r="CR29" s="493">
        <f>+Cash_Flow_Annual!Z28-CR20-Cash_Flow_Annual!Z21</f>
        <v>-9647</v>
      </c>
      <c r="CS29" s="493">
        <f>+Cash_Flow_Annual!AA28-CS20-Cash_Flow_Annual!AA21</f>
        <v>-1666</v>
      </c>
      <c r="CT29" s="493">
        <f ca="1">+Cash_Flow_Annual!AB28-CT20-Cash_Flow_Annual!AB21</f>
        <v>803.88120471108095</v>
      </c>
    </row>
    <row r="30" spans="1:99" s="5" customFormat="1">
      <c r="A30" s="1" t="s">
        <v>480</v>
      </c>
      <c r="B30" s="23"/>
      <c r="C30" s="23"/>
      <c r="D30" s="23">
        <f t="shared" ref="D30:Q30" si="115">D21/D5</f>
        <v>-101.49019607843137</v>
      </c>
      <c r="E30" s="23">
        <f t="shared" si="115"/>
        <v>-65.41379310344827</v>
      </c>
      <c r="F30" s="23">
        <f t="shared" si="115"/>
        <v>-37.741666666666667</v>
      </c>
      <c r="G30" s="23">
        <f t="shared" si="115"/>
        <v>-19.675000000000001</v>
      </c>
      <c r="H30" s="23">
        <f t="shared" si="115"/>
        <v>8.7101449275362324</v>
      </c>
      <c r="I30" s="23">
        <f t="shared" si="115"/>
        <v>13.541666666666666</v>
      </c>
      <c r="J30" s="23">
        <f t="shared" si="115"/>
        <v>16.604166666666668</v>
      </c>
      <c r="K30" s="23">
        <f t="shared" si="115"/>
        <v>25.303571428571427</v>
      </c>
      <c r="L30" s="23">
        <f t="shared" si="115"/>
        <v>66.785714285714292</v>
      </c>
      <c r="M30" s="23">
        <f>M21/M5</f>
        <v>156.33333333333334</v>
      </c>
      <c r="N30" s="23">
        <f t="shared" si="115"/>
        <v>-76.615384615384613</v>
      </c>
      <c r="O30" s="23">
        <f t="shared" si="115"/>
        <v>12.708333333333334</v>
      </c>
      <c r="P30" s="23">
        <f t="shared" si="115"/>
        <v>-24.8125</v>
      </c>
      <c r="Q30" s="23">
        <f t="shared" si="115"/>
        <v>-9.7285714285714278</v>
      </c>
      <c r="R30" s="23">
        <f>R21/R5</f>
        <v>10.520833333333334</v>
      </c>
      <c r="S30" s="23">
        <f>S21/S5</f>
        <v>16</v>
      </c>
      <c r="T30" s="23">
        <f>T21/T5</f>
        <v>16</v>
      </c>
      <c r="U30" s="23">
        <f>U21/U5</f>
        <v>16</v>
      </c>
      <c r="V30" s="23">
        <f>V21/V5</f>
        <v>16</v>
      </c>
      <c r="X30" s="23"/>
      <c r="Y30" s="23"/>
      <c r="Z30" s="23"/>
      <c r="AA30" s="23"/>
      <c r="AB30" s="23"/>
      <c r="AC30" s="23"/>
      <c r="AD30" s="23"/>
      <c r="AE30" s="23">
        <f t="shared" ref="AE30:BS30" si="116">AE21/AE5</f>
        <v>-140.53333333333333</v>
      </c>
      <c r="AF30" s="23">
        <f t="shared" si="116"/>
        <v>-113.9047619047619</v>
      </c>
      <c r="AG30" s="23">
        <f t="shared" si="116"/>
        <v>-117.61904761904762</v>
      </c>
      <c r="AH30" s="23">
        <f t="shared" si="116"/>
        <v>-72.733333333333334</v>
      </c>
      <c r="AI30" s="23">
        <f t="shared" si="116"/>
        <v>-110.26666666666667</v>
      </c>
      <c r="AJ30" s="23">
        <f t="shared" si="116"/>
        <v>-77.733333333333334</v>
      </c>
      <c r="AK30" s="23">
        <f t="shared" si="116"/>
        <v>-78</v>
      </c>
      <c r="AL30" s="23">
        <f t="shared" si="116"/>
        <v>-69.333333333333329</v>
      </c>
      <c r="AM30" s="23">
        <f t="shared" si="116"/>
        <v>-47.7</v>
      </c>
      <c r="AN30" s="23">
        <f t="shared" si="116"/>
        <v>-50.1</v>
      </c>
      <c r="AO30" s="23">
        <f t="shared" si="116"/>
        <v>-37.299999999999997</v>
      </c>
      <c r="AP30" s="23">
        <f t="shared" si="116"/>
        <v>-31.566666666666666</v>
      </c>
      <c r="AQ30" s="23">
        <f t="shared" si="116"/>
        <v>-32</v>
      </c>
      <c r="AR30" s="23">
        <f t="shared" si="116"/>
        <v>-26.433333333333334</v>
      </c>
      <c r="AS30" s="23">
        <f t="shared" si="116"/>
        <v>-26.333333333333332</v>
      </c>
      <c r="AT30" s="23">
        <f t="shared" si="116"/>
        <v>-19.233333333333334</v>
      </c>
      <c r="AU30" s="23">
        <f t="shared" si="116"/>
        <v>-6.7</v>
      </c>
      <c r="AV30" s="23">
        <f t="shared" si="116"/>
        <v>-4.7</v>
      </c>
      <c r="AW30" s="23">
        <f t="shared" si="116"/>
        <v>27.166666666666668</v>
      </c>
      <c r="AX30" s="23">
        <f t="shared" si="116"/>
        <v>4.166666666666667</v>
      </c>
      <c r="AY30" s="23">
        <f t="shared" si="116"/>
        <v>5.9722222222222223</v>
      </c>
      <c r="AZ30" s="23">
        <f t="shared" si="116"/>
        <v>8.7777777777777786</v>
      </c>
      <c r="BA30" s="23">
        <f t="shared" si="116"/>
        <v>14.75</v>
      </c>
      <c r="BB30" s="23">
        <f t="shared" si="116"/>
        <v>14.25</v>
      </c>
      <c r="BC30" s="23">
        <f t="shared" si="116"/>
        <v>16.388888888888889</v>
      </c>
      <c r="BD30" s="23">
        <f t="shared" si="116"/>
        <v>18.555555555555557</v>
      </c>
      <c r="BE30" s="23">
        <f t="shared" si="116"/>
        <v>12.472222222222221</v>
      </c>
      <c r="BF30" s="23">
        <f t="shared" si="116"/>
        <v>18.25</v>
      </c>
      <c r="BG30" s="23">
        <f t="shared" si="116"/>
        <v>17.138888888888889</v>
      </c>
      <c r="BH30" s="23">
        <f t="shared" si="116"/>
        <v>22.333333333333332</v>
      </c>
      <c r="BI30" s="23">
        <f t="shared" si="116"/>
        <v>25.238095238095237</v>
      </c>
      <c r="BJ30" s="23">
        <f t="shared" si="116"/>
        <v>27.238095238095237</v>
      </c>
      <c r="BK30" s="23">
        <f t="shared" si="116"/>
        <v>26.404761904761905</v>
      </c>
      <c r="BL30" s="23">
        <f t="shared" si="116"/>
        <v>64.65517241379311</v>
      </c>
      <c r="BM30" s="23">
        <f t="shared" si="116"/>
        <v>115.14285714285714</v>
      </c>
      <c r="BN30" s="23">
        <f t="shared" si="116"/>
        <v>60.3</v>
      </c>
      <c r="BO30" s="23">
        <f t="shared" si="116"/>
        <v>45.6</v>
      </c>
      <c r="BP30" s="23">
        <f t="shared" si="116"/>
        <v>28.833333333333332</v>
      </c>
      <c r="BQ30" s="23">
        <f t="shared" si="116"/>
        <v>-20.666666666666668</v>
      </c>
      <c r="BR30" s="23">
        <f t="shared" si="116"/>
        <v>-37.666666666666664</v>
      </c>
      <c r="BS30" s="23">
        <f t="shared" si="116"/>
        <v>1153.3333333333333</v>
      </c>
      <c r="BT30" s="23" t="e">
        <f>BT21/BT5</f>
        <v>#DIV/0!</v>
      </c>
      <c r="BU30" s="23" t="e">
        <f>BU21/BU5</f>
        <v>#DIV/0!</v>
      </c>
      <c r="BV30" s="23">
        <f>BV21/BV5</f>
        <v>47</v>
      </c>
      <c r="BW30" s="23">
        <f>BW21/BW5</f>
        <v>-91.222222222222229</v>
      </c>
      <c r="BX30" s="23">
        <f t="shared" ref="BX30:CA30" si="117">BX21/BX5</f>
        <v>136.5</v>
      </c>
      <c r="BY30" s="23">
        <f t="shared" si="117"/>
        <v>24.777777777777779</v>
      </c>
      <c r="BZ30" s="23">
        <f t="shared" si="117"/>
        <v>0.83333333333333337</v>
      </c>
      <c r="CA30" s="23">
        <f t="shared" si="117"/>
        <v>-28</v>
      </c>
      <c r="CB30" s="23">
        <f t="shared" ref="CB30:CE30" si="118">CB21/CB5</f>
        <v>30.777777777777779</v>
      </c>
      <c r="CC30" s="23">
        <f t="shared" si="118"/>
        <v>-57.25</v>
      </c>
      <c r="CD30" s="23">
        <f t="shared" si="118"/>
        <v>-22.888888888888889</v>
      </c>
      <c r="CE30" s="23">
        <f t="shared" si="118"/>
        <v>-63.6</v>
      </c>
      <c r="CF30" s="23">
        <f t="shared" ref="CF30:CM30" si="119">CF21/CF5</f>
        <v>-34.25</v>
      </c>
      <c r="CG30" s="23">
        <f t="shared" si="119"/>
        <v>6.9473684210526319</v>
      </c>
      <c r="CH30" s="23">
        <f t="shared" si="119"/>
        <v>-38.4</v>
      </c>
      <c r="CI30" s="23">
        <f t="shared" si="119"/>
        <v>9.9565217391304355</v>
      </c>
      <c r="CJ30" s="23">
        <f t="shared" si="119"/>
        <v>10.520833333333334</v>
      </c>
      <c r="CK30" s="23">
        <f t="shared" si="119"/>
        <v>10.520833333333334</v>
      </c>
      <c r="CL30" s="23">
        <f t="shared" si="119"/>
        <v>10.520833333333334</v>
      </c>
      <c r="CM30" s="23">
        <f t="shared" si="119"/>
        <v>10.520833333333334</v>
      </c>
      <c r="CP30" s="26" t="s">
        <v>613</v>
      </c>
      <c r="CQ30" s="493">
        <f>+Cash_Flow_Annual!Y6+Cash_Flow_Annual!Y13+Cash_Flow_Annual!Y8+Cash_Flow_Annual!Y9+Cash_Flow_Annual!Y11</f>
        <v>2252</v>
      </c>
      <c r="CR30" s="493">
        <f>+Cash_Flow_Annual!Z6+Cash_Flow_Annual!Z13+Cash_Flow_Annual!Z8+Cash_Flow_Annual!Z9+Cash_Flow_Annual!Z11</f>
        <v>6681</v>
      </c>
      <c r="CS30" s="493">
        <f>+Cash_Flow_Annual!AA6+Cash_Flow_Annual!AA13+Cash_Flow_Annual!AA8+Cash_Flow_Annual!AA9+Cash_Flow_Annual!AA11</f>
        <v>-2124</v>
      </c>
      <c r="CT30" s="493">
        <f>+Cash_Flow_Annual!AB6+Cash_Flow_Annual!AB13+Cash_Flow_Annual!AB8+Cash_Flow_Annual!AB9+Cash_Flow_Annual!AB11</f>
        <v>2925</v>
      </c>
    </row>
    <row r="31" spans="1:99" s="5" customFormat="1">
      <c r="A31" s="1" t="s">
        <v>517</v>
      </c>
      <c r="B31" s="23"/>
      <c r="C31" s="23"/>
      <c r="D31" s="23">
        <f t="shared" ref="D31:Q31" si="120">D22/D5</f>
        <v>-8.3333333333333339</v>
      </c>
      <c r="E31" s="23">
        <f t="shared" si="120"/>
        <v>-11.931034482758621</v>
      </c>
      <c r="F31" s="23">
        <f t="shared" si="120"/>
        <v>-3.5333333333333332</v>
      </c>
      <c r="G31" s="23">
        <f t="shared" si="120"/>
        <v>-0.7416666666666667</v>
      </c>
      <c r="H31" s="23">
        <f t="shared" si="120"/>
        <v>1.9202898550724639</v>
      </c>
      <c r="I31" s="23">
        <f t="shared" si="120"/>
        <v>3.1388888888888888</v>
      </c>
      <c r="J31" s="23">
        <f t="shared" si="120"/>
        <v>3.7152777777777777</v>
      </c>
      <c r="K31" s="23">
        <f t="shared" si="120"/>
        <v>3.25</v>
      </c>
      <c r="L31" s="23">
        <f t="shared" si="120"/>
        <v>4.0892857142857144</v>
      </c>
      <c r="M31" s="23">
        <f>M22/M5</f>
        <v>2.2857142857142856</v>
      </c>
      <c r="N31" s="23">
        <f t="shared" si="120"/>
        <v>7.1538461538461542</v>
      </c>
      <c r="O31" s="23">
        <f t="shared" si="120"/>
        <v>10.083333333333334</v>
      </c>
      <c r="P31" s="23">
        <f t="shared" si="120"/>
        <v>3.4375</v>
      </c>
      <c r="Q31" s="23">
        <f t="shared" si="120"/>
        <v>5.7142857142857141E-2</v>
      </c>
      <c r="R31" s="23">
        <f>R22/R5</f>
        <v>2.1041666666666665</v>
      </c>
      <c r="S31" s="23">
        <f>S22/S5</f>
        <v>2</v>
      </c>
      <c r="T31" s="23">
        <f>T22/T5</f>
        <v>2</v>
      </c>
      <c r="U31" s="23">
        <f>U22/U5</f>
        <v>2</v>
      </c>
      <c r="V31" s="23">
        <f>V22/V5</f>
        <v>2</v>
      </c>
      <c r="X31" s="23"/>
      <c r="Y31" s="23"/>
      <c r="Z31" s="23"/>
      <c r="AA31" s="23"/>
      <c r="AB31" s="23"/>
      <c r="AC31" s="23"/>
      <c r="AD31" s="23"/>
      <c r="AE31" s="23">
        <f t="shared" ref="AE31:BS31" si="121">AE22/AE5</f>
        <v>-19.2</v>
      </c>
      <c r="AF31" s="23">
        <f t="shared" si="121"/>
        <v>-7.9047619047619051</v>
      </c>
      <c r="AG31" s="23">
        <f t="shared" si="121"/>
        <v>-14.095238095238095</v>
      </c>
      <c r="AH31" s="23">
        <f t="shared" si="121"/>
        <v>-5.6</v>
      </c>
      <c r="AI31" s="23">
        <f t="shared" si="121"/>
        <v>-7.333333333333333</v>
      </c>
      <c r="AJ31" s="23">
        <f t="shared" si="121"/>
        <v>-11.266666666666667</v>
      </c>
      <c r="AK31" s="23">
        <f t="shared" si="121"/>
        <v>-5.333333333333333</v>
      </c>
      <c r="AL31" s="23">
        <f t="shared" si="121"/>
        <v>-11.523809523809524</v>
      </c>
      <c r="AM31" s="23">
        <f t="shared" si="121"/>
        <v>-17.166666666666668</v>
      </c>
      <c r="AN31" s="23">
        <f t="shared" si="121"/>
        <v>-2.5333333333333332</v>
      </c>
      <c r="AO31" s="23">
        <f t="shared" si="121"/>
        <v>0.36666666666666664</v>
      </c>
      <c r="AP31" s="23">
        <f t="shared" si="121"/>
        <v>-4.0999999999999996</v>
      </c>
      <c r="AQ31" s="23">
        <f t="shared" si="121"/>
        <v>-7.8666666666666663</v>
      </c>
      <c r="AR31" s="23">
        <f t="shared" si="121"/>
        <v>-3.7333333333333334</v>
      </c>
      <c r="AS31" s="23">
        <f t="shared" si="121"/>
        <v>0.23333333333333334</v>
      </c>
      <c r="AT31" s="23">
        <f t="shared" si="121"/>
        <v>-6.6666666666666666E-2</v>
      </c>
      <c r="AU31" s="23">
        <f t="shared" si="121"/>
        <v>0.6</v>
      </c>
      <c r="AV31" s="23">
        <f t="shared" si="121"/>
        <v>4.0999999999999996</v>
      </c>
      <c r="AW31" s="23">
        <f t="shared" si="121"/>
        <v>1.6666666666666667</v>
      </c>
      <c r="AX31" s="23">
        <f t="shared" si="121"/>
        <v>0.44444444444444442</v>
      </c>
      <c r="AY31" s="23">
        <f t="shared" si="121"/>
        <v>1.8333333333333333</v>
      </c>
      <c r="AZ31" s="23">
        <f t="shared" si="121"/>
        <v>1.2222222222222223</v>
      </c>
      <c r="BA31" s="23">
        <f t="shared" si="121"/>
        <v>5.3055555555555554</v>
      </c>
      <c r="BB31" s="23">
        <f t="shared" si="121"/>
        <v>1.5555555555555556</v>
      </c>
      <c r="BC31" s="23">
        <f t="shared" si="121"/>
        <v>4.4722222222222223</v>
      </c>
      <c r="BD31" s="23">
        <f t="shared" si="121"/>
        <v>3.6388888888888888</v>
      </c>
      <c r="BE31" s="23">
        <f t="shared" si="121"/>
        <v>3.9722222222222223</v>
      </c>
      <c r="BF31" s="23">
        <f t="shared" si="121"/>
        <v>3.4722222222222223</v>
      </c>
      <c r="BG31" s="23">
        <f t="shared" si="121"/>
        <v>3.7777777777777777</v>
      </c>
      <c r="BH31" s="23">
        <f t="shared" si="121"/>
        <v>2.5238095238095237</v>
      </c>
      <c r="BI31" s="23">
        <f t="shared" si="121"/>
        <v>4.2380952380952381</v>
      </c>
      <c r="BJ31" s="23">
        <f t="shared" si="121"/>
        <v>3.3095238095238093</v>
      </c>
      <c r="BK31" s="23">
        <f t="shared" si="121"/>
        <v>2.9285714285714284</v>
      </c>
      <c r="BL31" s="23">
        <f t="shared" si="121"/>
        <v>4.931034482758621</v>
      </c>
      <c r="BM31" s="23">
        <f t="shared" si="121"/>
        <v>3.5714285714285716</v>
      </c>
      <c r="BN31" s="23">
        <f t="shared" si="121"/>
        <v>4.7</v>
      </c>
      <c r="BO31" s="23">
        <f t="shared" si="121"/>
        <v>1.4</v>
      </c>
      <c r="BP31" s="23">
        <f t="shared" si="121"/>
        <v>1</v>
      </c>
      <c r="BQ31" s="23">
        <f t="shared" si="121"/>
        <v>7.5</v>
      </c>
      <c r="BR31" s="23">
        <f t="shared" si="121"/>
        <v>0.66666666666666663</v>
      </c>
      <c r="BS31" s="23">
        <f t="shared" si="121"/>
        <v>-2.3333333333333335</v>
      </c>
      <c r="BT31" s="23" t="e">
        <f>BT22/BT5</f>
        <v>#DIV/0!</v>
      </c>
      <c r="BU31" s="23" t="e">
        <f>BU22/BU5</f>
        <v>#DIV/0!</v>
      </c>
      <c r="BV31" s="23">
        <f>BV22/BV5</f>
        <v>6.75</v>
      </c>
      <c r="BW31" s="23">
        <f>BW22/BW5</f>
        <v>8.1111111111111107</v>
      </c>
      <c r="BX31" s="23">
        <f t="shared" ref="BX31:CA31" si="122">BX22/BX5</f>
        <v>5.5</v>
      </c>
      <c r="BY31" s="23">
        <f t="shared" si="122"/>
        <v>12.333333333333334</v>
      </c>
      <c r="BZ31" s="23">
        <f t="shared" si="122"/>
        <v>11.5</v>
      </c>
      <c r="CA31" s="23">
        <f t="shared" si="122"/>
        <v>7.2857142857142856</v>
      </c>
      <c r="CB31" s="23">
        <f t="shared" ref="CB31:CE31" si="123">CB22/CB5</f>
        <v>4.1111111111111107</v>
      </c>
      <c r="CC31" s="23">
        <f t="shared" si="123"/>
        <v>0.5</v>
      </c>
      <c r="CD31" s="23">
        <f t="shared" si="123"/>
        <v>4.333333333333333</v>
      </c>
      <c r="CE31" s="23">
        <f t="shared" si="123"/>
        <v>3.2</v>
      </c>
      <c r="CF31" s="23">
        <f t="shared" ref="CF31:CM31" si="124">CF22/CF5</f>
        <v>1.125</v>
      </c>
      <c r="CG31" s="23">
        <f t="shared" si="124"/>
        <v>2.6842105263157894</v>
      </c>
      <c r="CH31" s="23">
        <f t="shared" si="124"/>
        <v>3.2</v>
      </c>
      <c r="CI31" s="23">
        <f t="shared" si="124"/>
        <v>-5.2173913043478262</v>
      </c>
      <c r="CJ31" s="23">
        <f t="shared" si="124"/>
        <v>2.1041666666666665</v>
      </c>
      <c r="CK31" s="23">
        <f t="shared" si="124"/>
        <v>2.1041666666666665</v>
      </c>
      <c r="CL31" s="23">
        <f t="shared" si="124"/>
        <v>2.1041666666666665</v>
      </c>
      <c r="CM31" s="23">
        <f t="shared" si="124"/>
        <v>2.1041666666666665</v>
      </c>
      <c r="CP31" s="102" t="s">
        <v>11</v>
      </c>
      <c r="CQ31" s="494">
        <f>SUM(CQ19:CQ30)</f>
        <v>5960</v>
      </c>
      <c r="CR31" s="494">
        <f>SUM(CR19:CR30)</f>
        <v>-12080</v>
      </c>
      <c r="CS31" s="494">
        <f>SUM(CS19:CS30)</f>
        <v>1065</v>
      </c>
      <c r="CT31" s="494">
        <f ca="1">SUM(CT19:CT30)</f>
        <v>5883.8021594402353</v>
      </c>
    </row>
    <row r="32" spans="1:99" s="5" customFormat="1">
      <c r="A32" s="12" t="s">
        <v>477</v>
      </c>
      <c r="B32" s="40"/>
      <c r="C32" s="40"/>
      <c r="D32" s="40">
        <f t="shared" ref="D32:Q32" si="125">D23/D5</f>
        <v>-109.82352941176471</v>
      </c>
      <c r="E32" s="40">
        <f t="shared" si="125"/>
        <v>-77.34482758620689</v>
      </c>
      <c r="F32" s="40">
        <f t="shared" si="125"/>
        <v>-41.274999999999999</v>
      </c>
      <c r="G32" s="40">
        <f t="shared" si="125"/>
        <v>-20.416666666666668</v>
      </c>
      <c r="H32" s="40">
        <f t="shared" si="125"/>
        <v>10.630434782608695</v>
      </c>
      <c r="I32" s="40">
        <f t="shared" si="125"/>
        <v>16.680555555555557</v>
      </c>
      <c r="J32" s="40">
        <f t="shared" si="125"/>
        <v>20.319444444444443</v>
      </c>
      <c r="K32" s="40">
        <f t="shared" si="125"/>
        <v>28.553571428571427</v>
      </c>
      <c r="L32" s="40">
        <f t="shared" si="125"/>
        <v>70.875</v>
      </c>
      <c r="M32" s="40">
        <f>M23/M5</f>
        <v>158.61904761904762</v>
      </c>
      <c r="N32" s="40">
        <f t="shared" si="125"/>
        <v>-69.461538461538467</v>
      </c>
      <c r="O32" s="40">
        <f>O23/O5</f>
        <v>22.791666666666668</v>
      </c>
      <c r="P32" s="40">
        <f t="shared" si="125"/>
        <v>-21.375</v>
      </c>
      <c r="Q32" s="40">
        <f t="shared" si="125"/>
        <v>-9.6714285714285708</v>
      </c>
      <c r="R32" s="40">
        <f>R23/R5</f>
        <v>13.282552083333334</v>
      </c>
      <c r="S32" s="40">
        <f>S23/S5</f>
        <v>18</v>
      </c>
      <c r="T32" s="40">
        <f>T23/T5</f>
        <v>18</v>
      </c>
      <c r="U32" s="40">
        <f>U23/U5</f>
        <v>18</v>
      </c>
      <c r="V32" s="40">
        <f>V23/V5</f>
        <v>18</v>
      </c>
      <c r="X32" s="40"/>
      <c r="Y32" s="40"/>
      <c r="Z32" s="40"/>
      <c r="AA32" s="40"/>
      <c r="AB32" s="40"/>
      <c r="AC32" s="40"/>
      <c r="AD32" s="40"/>
      <c r="AE32" s="40">
        <f t="shared" ref="AE32:BS32" si="126">AE23/AE5</f>
        <v>-159.73333333333332</v>
      </c>
      <c r="AF32" s="40">
        <f t="shared" si="126"/>
        <v>-121.80952380952381</v>
      </c>
      <c r="AG32" s="40">
        <f t="shared" si="126"/>
        <v>-131.71428571428572</v>
      </c>
      <c r="AH32" s="40">
        <f t="shared" si="126"/>
        <v>-78.333333333333329</v>
      </c>
      <c r="AI32" s="40">
        <f t="shared" si="126"/>
        <v>-117.6</v>
      </c>
      <c r="AJ32" s="40">
        <f t="shared" si="126"/>
        <v>-89</v>
      </c>
      <c r="AK32" s="40">
        <f t="shared" si="126"/>
        <v>-83.333333333333329</v>
      </c>
      <c r="AL32" s="40">
        <f t="shared" si="126"/>
        <v>-80.857142857142861</v>
      </c>
      <c r="AM32" s="40">
        <f t="shared" si="126"/>
        <v>-64.86666666666666</v>
      </c>
      <c r="AN32" s="40">
        <f t="shared" si="126"/>
        <v>-52.633333333333333</v>
      </c>
      <c r="AO32" s="40">
        <f t="shared" si="126"/>
        <v>-36.93333333333333</v>
      </c>
      <c r="AP32" s="40">
        <f t="shared" si="126"/>
        <v>-35.666666666666664</v>
      </c>
      <c r="AQ32" s="40">
        <f t="shared" si="126"/>
        <v>-39.866666666666667</v>
      </c>
      <c r="AR32" s="40">
        <f t="shared" si="126"/>
        <v>-30.166666666666668</v>
      </c>
      <c r="AS32" s="40">
        <f t="shared" si="126"/>
        <v>-26.1</v>
      </c>
      <c r="AT32" s="40">
        <f t="shared" si="126"/>
        <v>-19.3</v>
      </c>
      <c r="AU32" s="40">
        <f t="shared" si="126"/>
        <v>-6.1</v>
      </c>
      <c r="AV32" s="40">
        <f t="shared" si="126"/>
        <v>-0.6</v>
      </c>
      <c r="AW32" s="40">
        <f t="shared" si="126"/>
        <v>28.833333333333332</v>
      </c>
      <c r="AX32" s="40">
        <f t="shared" si="126"/>
        <v>4.6111111111111107</v>
      </c>
      <c r="AY32" s="40">
        <f t="shared" si="126"/>
        <v>7.8055555555555554</v>
      </c>
      <c r="AZ32" s="40">
        <f t="shared" si="126"/>
        <v>10</v>
      </c>
      <c r="BA32" s="40">
        <f t="shared" si="126"/>
        <v>20.055555555555557</v>
      </c>
      <c r="BB32" s="40">
        <f t="shared" si="126"/>
        <v>15.805555555555555</v>
      </c>
      <c r="BC32" s="108">
        <f t="shared" si="126"/>
        <v>20.861111111111111</v>
      </c>
      <c r="BD32" s="40">
        <f t="shared" si="126"/>
        <v>22.194444444444443</v>
      </c>
      <c r="BE32" s="40">
        <f t="shared" si="126"/>
        <v>16.444444444444443</v>
      </c>
      <c r="BF32" s="40">
        <f t="shared" si="126"/>
        <v>21.722222222222221</v>
      </c>
      <c r="BG32" s="108">
        <f t="shared" si="126"/>
        <v>20.916666666666668</v>
      </c>
      <c r="BH32" s="40">
        <f t="shared" si="126"/>
        <v>24.857142857142858</v>
      </c>
      <c r="BI32" s="40">
        <f t="shared" si="126"/>
        <v>29.476190476190474</v>
      </c>
      <c r="BJ32" s="40">
        <f t="shared" si="126"/>
        <v>30.547619047619047</v>
      </c>
      <c r="BK32" s="108">
        <f t="shared" si="126"/>
        <v>29.333333333333332</v>
      </c>
      <c r="BL32" s="40">
        <f t="shared" si="126"/>
        <v>69.58620689655173</v>
      </c>
      <c r="BM32" s="314">
        <f t="shared" si="126"/>
        <v>118.71428571428571</v>
      </c>
      <c r="BN32" s="40">
        <f t="shared" si="126"/>
        <v>65</v>
      </c>
      <c r="BO32" s="40">
        <f t="shared" si="126"/>
        <v>47</v>
      </c>
      <c r="BP32" s="40">
        <f t="shared" si="126"/>
        <v>29.833333333333332</v>
      </c>
      <c r="BQ32" s="40">
        <f t="shared" si="126"/>
        <v>-13.166666666666666</v>
      </c>
      <c r="BR32" s="40">
        <f t="shared" si="126"/>
        <v>-37</v>
      </c>
      <c r="BS32" s="40">
        <f t="shared" si="126"/>
        <v>1151</v>
      </c>
      <c r="BT32" s="40" t="e">
        <f>BT23/BT5</f>
        <v>#DIV/0!</v>
      </c>
      <c r="BU32" s="40" t="e">
        <f>BU23/BU5</f>
        <v>#DIV/0!</v>
      </c>
      <c r="BV32" s="40">
        <f>BV23/BV5</f>
        <v>53.75</v>
      </c>
      <c r="BW32" s="40">
        <f>BW23/BW5</f>
        <v>-83.111111111111114</v>
      </c>
      <c r="BX32" s="40">
        <f t="shared" ref="BX32:CA32" si="127">BX23/BX5</f>
        <v>142</v>
      </c>
      <c r="BY32" s="40">
        <f t="shared" si="127"/>
        <v>37.111111111111114</v>
      </c>
      <c r="BZ32" s="40">
        <f t="shared" si="127"/>
        <v>12.333333333333334</v>
      </c>
      <c r="CA32" s="40">
        <f t="shared" si="127"/>
        <v>-20.714285714285715</v>
      </c>
      <c r="CB32" s="40">
        <f t="shared" ref="CB32:CE32" si="128">CB23/CB5</f>
        <v>34.888888888888886</v>
      </c>
      <c r="CC32" s="40">
        <f t="shared" si="128"/>
        <v>-56.75</v>
      </c>
      <c r="CD32" s="40">
        <f t="shared" si="128"/>
        <v>-18.555555555555557</v>
      </c>
      <c r="CE32" s="40">
        <f t="shared" si="128"/>
        <v>-60.4</v>
      </c>
      <c r="CF32" s="40">
        <f t="shared" ref="CF32:CM32" si="129">CF23/CF5</f>
        <v>-33.125</v>
      </c>
      <c r="CG32" s="40">
        <f t="shared" si="129"/>
        <v>9.6315789473684212</v>
      </c>
      <c r="CH32" s="40">
        <f t="shared" si="129"/>
        <v>-35.200000000000003</v>
      </c>
      <c r="CI32" s="40">
        <f t="shared" si="129"/>
        <v>4.7391304347826084</v>
      </c>
      <c r="CJ32" s="40">
        <f t="shared" si="129"/>
        <v>10.520833333333334</v>
      </c>
      <c r="CK32" s="40">
        <f t="shared" si="129"/>
        <v>12.625</v>
      </c>
      <c r="CL32" s="40">
        <f t="shared" si="129"/>
        <v>14.729166666666666</v>
      </c>
      <c r="CM32" s="40">
        <f t="shared" si="129"/>
        <v>15.255208333333334</v>
      </c>
      <c r="CP32" s="496" t="s">
        <v>615</v>
      </c>
      <c r="CQ32" s="495" t="b">
        <f>+CQ31=Cash_Flow_Annual!Y29</f>
        <v>1</v>
      </c>
      <c r="CR32" s="495" t="b">
        <f>+CR31=Cash_Flow_Annual!Z29</f>
        <v>1</v>
      </c>
      <c r="CS32" s="495" t="b">
        <f>+CS31=Cash_Flow_Annual!AA29</f>
        <v>1</v>
      </c>
      <c r="CT32" s="495" t="b">
        <f ca="1">+CT31=Cash_Flow_Annual!AB29</f>
        <v>0</v>
      </c>
    </row>
    <row r="33" spans="1:102">
      <c r="A33" s="1"/>
      <c r="B33" s="23"/>
      <c r="C33" s="23"/>
      <c r="D33" s="23"/>
      <c r="E33" s="23"/>
      <c r="F33" s="23"/>
      <c r="G33" s="23"/>
      <c r="H33" s="23"/>
      <c r="I33" s="23"/>
      <c r="J33" s="23"/>
      <c r="K33" s="23"/>
      <c r="L33" s="23"/>
      <c r="M33" s="23"/>
      <c r="N33" s="27"/>
      <c r="O33" s="27"/>
      <c r="P33" s="27"/>
      <c r="Q33" s="27"/>
      <c r="R33" s="27"/>
      <c r="S33" s="27"/>
      <c r="T33" s="27"/>
      <c r="U33" s="27"/>
      <c r="V33" s="27"/>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72"/>
      <c r="BD33" s="23"/>
      <c r="BE33" s="23"/>
      <c r="BF33" s="23"/>
      <c r="BG33" s="72"/>
      <c r="BH33" s="23"/>
      <c r="BI33" s="23"/>
      <c r="BJ33" s="23"/>
      <c r="BK33" s="72"/>
      <c r="BL33" s="23"/>
      <c r="BM33" s="316"/>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5"/>
      <c r="CP33" s="496" t="s">
        <v>616</v>
      </c>
      <c r="CQ33" s="497" t="b">
        <f>SUM(CQ19,CQ21:CQ26,-Cash_Flow_Annual!Y21)=Cash_Flow_Annual!Y4</f>
        <v>1</v>
      </c>
      <c r="CR33" s="497" t="b">
        <f>SUM(CR19,CR21:CR26,-Cash_Flow_Annual!Z21)=Cash_Flow_Annual!Z4</f>
        <v>1</v>
      </c>
      <c r="CS33" s="497" t="b">
        <f>SUM(CS19,CS21:CS26,-Cash_Flow_Annual!AA21)=Cash_Flow_Annual!AA4</f>
        <v>1</v>
      </c>
      <c r="CT33" s="497" t="b">
        <f>SUM(CT19,CT21:CT26,-Cash_Flow_Annual!AB21)=Cash_Flow_Annual!AB4</f>
        <v>0</v>
      </c>
    </row>
    <row r="34" spans="1:102">
      <c r="A34" s="1" t="s">
        <v>480</v>
      </c>
      <c r="B34" s="23"/>
      <c r="C34" s="23"/>
      <c r="D34" s="23">
        <f t="shared" ref="D34:K34" si="130">D21/D6</f>
        <v>-112.52173913043478</v>
      </c>
      <c r="E34" s="23">
        <f t="shared" si="130"/>
        <v>-87.553846153846152</v>
      </c>
      <c r="F34" s="23">
        <f t="shared" si="130"/>
        <v>-39.728070175438596</v>
      </c>
      <c r="G34" s="23">
        <f t="shared" si="130"/>
        <v>-17.488888888888887</v>
      </c>
      <c r="H34" s="23">
        <f t="shared" si="130"/>
        <v>8.7737226277372269</v>
      </c>
      <c r="I34" s="23">
        <f t="shared" si="130"/>
        <v>14.338235294117647</v>
      </c>
      <c r="J34" s="23">
        <f t="shared" si="130"/>
        <v>16.489655172413794</v>
      </c>
      <c r="K34" s="23">
        <f t="shared" si="130"/>
        <v>26.905063291139239</v>
      </c>
      <c r="L34" s="23">
        <f>L21/L6</f>
        <v>70.566037735849051</v>
      </c>
      <c r="M34" s="23">
        <f>M21/M6</f>
        <v>234.5</v>
      </c>
      <c r="N34" s="72" t="e">
        <f t="shared" ref="N34:P35" si="131">AVERAGE(BT34:BW34)</f>
        <v>#DIV/0!</v>
      </c>
      <c r="O34" s="72" t="e">
        <f t="shared" si="131"/>
        <v>#DIV/0!</v>
      </c>
      <c r="P34" s="72">
        <f t="shared" si="131"/>
        <v>4.8847222222222211</v>
      </c>
      <c r="Q34" s="72">
        <f>AVERAGE(CF34:CI34)</f>
        <v>-9.7738603988603998</v>
      </c>
      <c r="R34" s="72">
        <f>AVERAGE(CJ34:CM34)</f>
        <v>11</v>
      </c>
      <c r="S34" s="43">
        <v>16</v>
      </c>
      <c r="T34" s="43">
        <v>16</v>
      </c>
      <c r="U34" s="43">
        <v>16</v>
      </c>
      <c r="V34" s="43">
        <v>16</v>
      </c>
      <c r="X34" s="23"/>
      <c r="Y34" s="23"/>
      <c r="Z34" s="23"/>
      <c r="AA34" s="23"/>
      <c r="AB34" s="23"/>
      <c r="AC34" s="23"/>
      <c r="AD34" s="23"/>
      <c r="AE34" s="23">
        <f t="shared" ref="AE34:BL34" si="132">AE21/AE6</f>
        <v>-527</v>
      </c>
      <c r="AF34" s="23">
        <f t="shared" si="132"/>
        <v>-239.2</v>
      </c>
      <c r="AG34" s="23">
        <f t="shared" si="132"/>
        <v>-205.83333333333334</v>
      </c>
      <c r="AH34" s="23">
        <f t="shared" si="132"/>
        <v>-90.916666666666671</v>
      </c>
      <c r="AI34" s="23">
        <f t="shared" si="132"/>
        <v>-71.913043478260875</v>
      </c>
      <c r="AJ34" s="23">
        <f t="shared" si="132"/>
        <v>-1166</v>
      </c>
      <c r="AK34" s="23">
        <f t="shared" si="132"/>
        <v>-102.375</v>
      </c>
      <c r="AL34" s="23">
        <f t="shared" si="132"/>
        <v>-63.304347826086953</v>
      </c>
      <c r="AM34" s="23">
        <f t="shared" si="132"/>
        <v>-57.24</v>
      </c>
      <c r="AN34" s="23">
        <f t="shared" si="132"/>
        <v>-83.5</v>
      </c>
      <c r="AO34" s="23">
        <f t="shared" si="132"/>
        <v>-37.299999999999997</v>
      </c>
      <c r="AP34" s="23">
        <f t="shared" si="132"/>
        <v>-30.548387096774192</v>
      </c>
      <c r="AQ34" s="23">
        <f t="shared" si="132"/>
        <v>-27.428571428571427</v>
      </c>
      <c r="AR34" s="23">
        <f t="shared" si="132"/>
        <v>-26.433333333333334</v>
      </c>
      <c r="AS34" s="23">
        <f t="shared" si="132"/>
        <v>-23.235294117647058</v>
      </c>
      <c r="AT34" s="23">
        <f t="shared" si="132"/>
        <v>-15.594594594594595</v>
      </c>
      <c r="AU34" s="23">
        <f t="shared" si="132"/>
        <v>-5.9117647058823533</v>
      </c>
      <c r="AV34" s="23">
        <f t="shared" si="132"/>
        <v>-4.7</v>
      </c>
      <c r="AW34" s="23">
        <f t="shared" si="132"/>
        <v>25.736842105263158</v>
      </c>
      <c r="AX34" s="23">
        <f t="shared" si="132"/>
        <v>4.166666666666667</v>
      </c>
      <c r="AY34" s="23">
        <f t="shared" si="132"/>
        <v>6.5151515151515156</v>
      </c>
      <c r="AZ34" s="23">
        <f t="shared" si="132"/>
        <v>9.875</v>
      </c>
      <c r="BA34" s="23">
        <f t="shared" si="132"/>
        <v>16.09090909090909</v>
      </c>
      <c r="BB34" s="23">
        <f t="shared" si="132"/>
        <v>14.657142857142857</v>
      </c>
      <c r="BC34" s="72">
        <f t="shared" si="132"/>
        <v>16.388888888888889</v>
      </c>
      <c r="BD34" s="23">
        <f t="shared" si="132"/>
        <v>19.647058823529413</v>
      </c>
      <c r="BE34" s="23">
        <f t="shared" si="132"/>
        <v>11.815789473684211</v>
      </c>
      <c r="BF34" s="23">
        <f t="shared" si="132"/>
        <v>19.323529411764707</v>
      </c>
      <c r="BG34" s="72">
        <f t="shared" si="132"/>
        <v>15.820512820512821</v>
      </c>
      <c r="BH34" s="23">
        <f t="shared" si="132"/>
        <v>26.055555555555557</v>
      </c>
      <c r="BI34" s="23">
        <f t="shared" si="132"/>
        <v>25.238095238095237</v>
      </c>
      <c r="BJ34" s="23">
        <f t="shared" si="132"/>
        <v>32.685714285714283</v>
      </c>
      <c r="BK34" s="72">
        <f t="shared" si="132"/>
        <v>24.644444444444446</v>
      </c>
      <c r="BL34" s="23">
        <f t="shared" si="132"/>
        <v>64.65517241379311</v>
      </c>
      <c r="BM34" s="23">
        <f t="shared" ref="BM34:BR34" si="133">BM21/BM6</f>
        <v>115.14285714285714</v>
      </c>
      <c r="BN34" s="23">
        <f t="shared" si="133"/>
        <v>46.384615384615387</v>
      </c>
      <c r="BO34" s="23">
        <f t="shared" si="133"/>
        <v>114</v>
      </c>
      <c r="BP34" s="23">
        <f t="shared" si="133"/>
        <v>86.5</v>
      </c>
      <c r="BQ34" s="23">
        <f t="shared" si="133"/>
        <v>-10.333333333333334</v>
      </c>
      <c r="BR34" s="23" t="e">
        <f t="shared" si="133"/>
        <v>#DIV/0!</v>
      </c>
      <c r="BS34" s="23" t="e">
        <f>BS21/BS6</f>
        <v>#DIV/0!</v>
      </c>
      <c r="BT34" s="23" t="e">
        <f t="shared" ref="BT34:CC34" si="134">BT21/BT6</f>
        <v>#DIV/0!</v>
      </c>
      <c r="BU34" s="23" t="e">
        <f t="shared" si="134"/>
        <v>#DIV/0!</v>
      </c>
      <c r="BV34" s="23">
        <f t="shared" si="134"/>
        <v>20.888888888888889</v>
      </c>
      <c r="BW34" s="23">
        <f t="shared" si="134"/>
        <v>-37.31818181818182</v>
      </c>
      <c r="BX34" s="23">
        <f t="shared" si="134"/>
        <v>24.818181818181817</v>
      </c>
      <c r="BY34" s="23">
        <f t="shared" si="134"/>
        <v>11.15</v>
      </c>
      <c r="BZ34" s="23">
        <f t="shared" si="134"/>
        <v>0.26315789473684209</v>
      </c>
      <c r="CA34" s="23">
        <f t="shared" si="134"/>
        <v>-8.5217391304347831</v>
      </c>
      <c r="CB34" s="23">
        <f t="shared" si="134"/>
        <v>21.307692307692307</v>
      </c>
      <c r="CC34" s="23">
        <f t="shared" si="134"/>
        <v>-25.444444444444443</v>
      </c>
      <c r="CD34" s="23">
        <f t="shared" ref="CD34:CF34" si="135">CD21/CD6</f>
        <v>-14.714285714285714</v>
      </c>
      <c r="CE34" s="23">
        <f t="shared" si="135"/>
        <v>-42.4</v>
      </c>
      <c r="CF34" s="23">
        <f t="shared" si="135"/>
        <v>-21.076923076923077</v>
      </c>
      <c r="CG34" s="23">
        <f t="shared" ref="CG34:CI34" si="136">CG21/CG6</f>
        <v>5.5</v>
      </c>
      <c r="CH34" s="23">
        <f t="shared" si="136"/>
        <v>-32</v>
      </c>
      <c r="CI34" s="23">
        <f t="shared" si="136"/>
        <v>8.481481481481481</v>
      </c>
      <c r="CJ34" s="43">
        <v>8</v>
      </c>
      <c r="CK34" s="43">
        <v>10</v>
      </c>
      <c r="CL34" s="43">
        <v>12</v>
      </c>
      <c r="CM34" s="43">
        <v>14</v>
      </c>
      <c r="CN34" s="5"/>
      <c r="CQ34" s="280"/>
      <c r="CR34" s="280"/>
      <c r="CS34" s="280"/>
      <c r="CT34" s="280"/>
    </row>
    <row r="35" spans="1:102">
      <c r="A35" s="1" t="s">
        <v>517</v>
      </c>
      <c r="B35" s="23"/>
      <c r="C35" s="23"/>
      <c r="D35" s="23">
        <f t="shared" ref="D35:K35" si="137">D22/D6</f>
        <v>-9.2391304347826093</v>
      </c>
      <c r="E35" s="23">
        <f t="shared" si="137"/>
        <v>-15.969230769230769</v>
      </c>
      <c r="F35" s="23">
        <f t="shared" si="137"/>
        <v>-3.7192982456140351</v>
      </c>
      <c r="G35" s="23">
        <f t="shared" si="137"/>
        <v>-0.65925925925925921</v>
      </c>
      <c r="H35" s="23">
        <f t="shared" si="137"/>
        <v>1.9343065693430657</v>
      </c>
      <c r="I35" s="23">
        <f t="shared" si="137"/>
        <v>3.3235294117647061</v>
      </c>
      <c r="J35" s="23">
        <f t="shared" si="137"/>
        <v>3.6896551724137931</v>
      </c>
      <c r="K35" s="23">
        <f t="shared" si="137"/>
        <v>3.4556962025316458</v>
      </c>
      <c r="L35" s="23">
        <f>L22/L6</f>
        <v>4.3207547169811322</v>
      </c>
      <c r="M35" s="23">
        <f>M22/M6</f>
        <v>3.4285714285714284</v>
      </c>
      <c r="N35" s="72" t="e">
        <f t="shared" si="131"/>
        <v>#DIV/0!</v>
      </c>
      <c r="O35" s="72" t="e">
        <f t="shared" si="131"/>
        <v>#DIV/0!</v>
      </c>
      <c r="P35" s="72">
        <f t="shared" si="131"/>
        <v>3.2170454545454543</v>
      </c>
      <c r="Q35" s="72">
        <f>AVERAGE(CF35:CI35)</f>
        <v>0.25988247863247871</v>
      </c>
      <c r="R35" s="72">
        <f>AVERAGE(CJ35:CM35)</f>
        <v>1.625</v>
      </c>
      <c r="S35" s="43">
        <v>2</v>
      </c>
      <c r="T35" s="43">
        <v>2</v>
      </c>
      <c r="U35" s="43">
        <v>2</v>
      </c>
      <c r="V35" s="43">
        <v>2</v>
      </c>
      <c r="X35" s="23"/>
      <c r="Y35" s="23"/>
      <c r="Z35" s="23"/>
      <c r="AA35" s="23"/>
      <c r="AB35" s="23"/>
      <c r="AC35" s="23"/>
      <c r="AD35" s="23"/>
      <c r="AE35" s="23">
        <f t="shared" ref="AE35:BL35" si="138">AE22/AE6</f>
        <v>-72</v>
      </c>
      <c r="AF35" s="23">
        <f t="shared" si="138"/>
        <v>-16.600000000000001</v>
      </c>
      <c r="AG35" s="23">
        <f t="shared" si="138"/>
        <v>-24.666666666666668</v>
      </c>
      <c r="AH35" s="23">
        <f t="shared" si="138"/>
        <v>-7</v>
      </c>
      <c r="AI35" s="23">
        <f t="shared" si="138"/>
        <v>-4.7826086956521738</v>
      </c>
      <c r="AJ35" s="23">
        <f t="shared" si="138"/>
        <v>-169</v>
      </c>
      <c r="AK35" s="23">
        <f t="shared" si="138"/>
        <v>-7</v>
      </c>
      <c r="AL35" s="23">
        <f t="shared" si="138"/>
        <v>-10.521739130434783</v>
      </c>
      <c r="AM35" s="23">
        <f t="shared" si="138"/>
        <v>-20.6</v>
      </c>
      <c r="AN35" s="23">
        <f t="shared" si="138"/>
        <v>-4.2222222222222223</v>
      </c>
      <c r="AO35" s="23">
        <f t="shared" si="138"/>
        <v>0.36666666666666664</v>
      </c>
      <c r="AP35" s="23">
        <f t="shared" si="138"/>
        <v>-3.967741935483871</v>
      </c>
      <c r="AQ35" s="23">
        <f t="shared" si="138"/>
        <v>-6.7428571428571429</v>
      </c>
      <c r="AR35" s="23">
        <f t="shared" si="138"/>
        <v>-3.7333333333333334</v>
      </c>
      <c r="AS35" s="23">
        <f t="shared" si="138"/>
        <v>0.20588235294117646</v>
      </c>
      <c r="AT35" s="23">
        <f t="shared" si="138"/>
        <v>-5.4054054054054057E-2</v>
      </c>
      <c r="AU35" s="23">
        <f t="shared" si="138"/>
        <v>0.52941176470588236</v>
      </c>
      <c r="AV35" s="23">
        <f t="shared" si="138"/>
        <v>4.0999999999999996</v>
      </c>
      <c r="AW35" s="23">
        <f t="shared" si="138"/>
        <v>1.5789473684210527</v>
      </c>
      <c r="AX35" s="23">
        <f t="shared" si="138"/>
        <v>0.44444444444444442</v>
      </c>
      <c r="AY35" s="23">
        <f t="shared" si="138"/>
        <v>2</v>
      </c>
      <c r="AZ35" s="23">
        <f t="shared" si="138"/>
        <v>1.375</v>
      </c>
      <c r="BA35" s="23">
        <f t="shared" si="138"/>
        <v>5.7878787878787881</v>
      </c>
      <c r="BB35" s="23">
        <f t="shared" si="138"/>
        <v>1.6</v>
      </c>
      <c r="BC35" s="72">
        <f t="shared" si="138"/>
        <v>4.4722222222222223</v>
      </c>
      <c r="BD35" s="23">
        <f t="shared" si="138"/>
        <v>3.8529411764705883</v>
      </c>
      <c r="BE35" s="23">
        <f t="shared" si="138"/>
        <v>3.763157894736842</v>
      </c>
      <c r="BF35" s="23">
        <f t="shared" si="138"/>
        <v>3.6764705882352939</v>
      </c>
      <c r="BG35" s="72">
        <f t="shared" si="138"/>
        <v>3.4871794871794872</v>
      </c>
      <c r="BH35" s="23">
        <f t="shared" si="138"/>
        <v>2.9444444444444446</v>
      </c>
      <c r="BI35" s="23">
        <f t="shared" si="138"/>
        <v>4.2380952380952381</v>
      </c>
      <c r="BJ35" s="23">
        <f t="shared" si="138"/>
        <v>3.9714285714285715</v>
      </c>
      <c r="BK35" s="72">
        <f t="shared" si="138"/>
        <v>2.7333333333333334</v>
      </c>
      <c r="BL35" s="23">
        <f t="shared" si="138"/>
        <v>4.931034482758621</v>
      </c>
      <c r="BM35" s="23">
        <f t="shared" ref="BM35:BR35" si="139">BM22/BM6</f>
        <v>3.5714285714285716</v>
      </c>
      <c r="BN35" s="23">
        <f t="shared" si="139"/>
        <v>3.6153846153846154</v>
      </c>
      <c r="BO35" s="23">
        <f t="shared" si="139"/>
        <v>3.5</v>
      </c>
      <c r="BP35" s="23">
        <f t="shared" si="139"/>
        <v>3</v>
      </c>
      <c r="BQ35" s="23">
        <f t="shared" si="139"/>
        <v>3.75</v>
      </c>
      <c r="BR35" s="23" t="e">
        <f t="shared" si="139"/>
        <v>#DIV/0!</v>
      </c>
      <c r="BS35" s="23" t="e">
        <f>BS22/BS6</f>
        <v>#DIV/0!</v>
      </c>
      <c r="BT35" s="23" t="e">
        <f t="shared" ref="BT35:CC35" si="140">BT22/BT6</f>
        <v>#DIV/0!</v>
      </c>
      <c r="BU35" s="23" t="e">
        <f t="shared" si="140"/>
        <v>#DIV/0!</v>
      </c>
      <c r="BV35" s="23">
        <f t="shared" si="140"/>
        <v>3</v>
      </c>
      <c r="BW35" s="23">
        <f t="shared" si="140"/>
        <v>3.3181818181818183</v>
      </c>
      <c r="BX35" s="23">
        <f t="shared" si="140"/>
        <v>1</v>
      </c>
      <c r="BY35" s="23">
        <f t="shared" si="140"/>
        <v>5.55</v>
      </c>
      <c r="BZ35" s="23">
        <f t="shared" si="140"/>
        <v>3.6315789473684212</v>
      </c>
      <c r="CA35" s="23">
        <f t="shared" si="140"/>
        <v>2.2173913043478262</v>
      </c>
      <c r="CB35" s="23">
        <f t="shared" si="140"/>
        <v>2.8461538461538463</v>
      </c>
      <c r="CC35" s="23">
        <f t="shared" si="140"/>
        <v>0.22222222222222221</v>
      </c>
      <c r="CD35" s="23">
        <f t="shared" ref="CD35:CF35" si="141">CD22/CD6</f>
        <v>2.7857142857142856</v>
      </c>
      <c r="CE35" s="23">
        <f t="shared" si="141"/>
        <v>2.1333333333333333</v>
      </c>
      <c r="CF35" s="23">
        <f t="shared" si="141"/>
        <v>0.69230769230769229</v>
      </c>
      <c r="CG35" s="23">
        <f t="shared" ref="CG35:CI35" si="142">CG22/CG6</f>
        <v>2.125</v>
      </c>
      <c r="CH35" s="23">
        <f t="shared" si="142"/>
        <v>2.6666666666666665</v>
      </c>
      <c r="CI35" s="23">
        <f t="shared" si="142"/>
        <v>-4.4444444444444446</v>
      </c>
      <c r="CJ35" s="43">
        <v>2</v>
      </c>
      <c r="CK35" s="43">
        <v>2</v>
      </c>
      <c r="CL35" s="43">
        <v>2</v>
      </c>
      <c r="CM35" s="43">
        <v>0.5</v>
      </c>
      <c r="CN35" s="5"/>
      <c r="CP35" s="102" t="s">
        <v>140</v>
      </c>
      <c r="CQ35" s="401">
        <f>+Cash_Flow_Annual!Y33</f>
        <v>-1527</v>
      </c>
      <c r="CR35" s="401">
        <f>+Cash_Flow_Annual!Z33</f>
        <v>-2230</v>
      </c>
      <c r="CS35" s="401">
        <f>+Cash_Flow_Annual!AA33</f>
        <v>-2942</v>
      </c>
      <c r="CT35" s="401">
        <f>+Cash_Flow_Annual!AB33</f>
        <v>-4058.3996098321868</v>
      </c>
    </row>
    <row r="36" spans="1:102" s="5" customFormat="1">
      <c r="A36" s="12" t="s">
        <v>478</v>
      </c>
      <c r="B36" s="40"/>
      <c r="C36" s="40"/>
      <c r="D36" s="40">
        <f t="shared" ref="D36:Q36" si="143">D23/D6</f>
        <v>-121.76086956521739</v>
      </c>
      <c r="E36" s="40">
        <f t="shared" si="143"/>
        <v>-103.52307692307693</v>
      </c>
      <c r="F36" s="40">
        <f t="shared" si="143"/>
        <v>-43.44736842105263</v>
      </c>
      <c r="G36" s="40">
        <f t="shared" si="143"/>
        <v>-18.148148148148149</v>
      </c>
      <c r="H36" s="40">
        <f t="shared" si="143"/>
        <v>10.708029197080291</v>
      </c>
      <c r="I36" s="40">
        <f t="shared" si="143"/>
        <v>17.661764705882351</v>
      </c>
      <c r="J36" s="40">
        <f t="shared" si="143"/>
        <v>20.179310344827588</v>
      </c>
      <c r="K36" s="40">
        <f t="shared" si="143"/>
        <v>30.360759493670887</v>
      </c>
      <c r="L36" s="40">
        <f>L23/L6</f>
        <v>74.886792452830193</v>
      </c>
      <c r="M36" s="40">
        <f>M23/M6</f>
        <v>237.92857142857142</v>
      </c>
      <c r="N36" s="40">
        <f t="shared" si="143"/>
        <v>-29.129032258064516</v>
      </c>
      <c r="O36" s="40">
        <f t="shared" si="143"/>
        <v>7.493150684931507</v>
      </c>
      <c r="P36" s="40">
        <f t="shared" si="143"/>
        <v>-13.411764705882353</v>
      </c>
      <c r="Q36" s="40">
        <f t="shared" si="143"/>
        <v>-7.6931818181818183</v>
      </c>
      <c r="R36" s="40">
        <f>R23/R6</f>
        <v>12.625</v>
      </c>
      <c r="S36" s="40">
        <f>S23/S6</f>
        <v>18</v>
      </c>
      <c r="T36" s="40">
        <f>T23/T6</f>
        <v>18</v>
      </c>
      <c r="U36" s="40">
        <f>U23/U6</f>
        <v>18</v>
      </c>
      <c r="V36" s="40">
        <f>V23/V6</f>
        <v>18</v>
      </c>
      <c r="X36" s="40"/>
      <c r="Y36" s="40"/>
      <c r="Z36" s="40"/>
      <c r="AA36" s="40"/>
      <c r="AB36" s="40"/>
      <c r="AC36" s="40"/>
      <c r="AD36" s="40"/>
      <c r="AE36" s="40">
        <f t="shared" ref="AE36:BR36" si="144">AE23/AE6</f>
        <v>-599</v>
      </c>
      <c r="AF36" s="40">
        <f t="shared" si="144"/>
        <v>-255.8</v>
      </c>
      <c r="AG36" s="40">
        <f t="shared" si="144"/>
        <v>-230.5</v>
      </c>
      <c r="AH36" s="40">
        <f t="shared" si="144"/>
        <v>-97.916666666666671</v>
      </c>
      <c r="AI36" s="40">
        <f t="shared" si="144"/>
        <v>-76.695652173913047</v>
      </c>
      <c r="AJ36" s="40">
        <f t="shared" si="144"/>
        <v>-1335</v>
      </c>
      <c r="AK36" s="40">
        <f t="shared" si="144"/>
        <v>-109.375</v>
      </c>
      <c r="AL36" s="40">
        <f t="shared" si="144"/>
        <v>-73.826086956521735</v>
      </c>
      <c r="AM36" s="40">
        <f t="shared" si="144"/>
        <v>-77.84</v>
      </c>
      <c r="AN36" s="40">
        <f t="shared" si="144"/>
        <v>-87.722222222222229</v>
      </c>
      <c r="AO36" s="40">
        <f t="shared" si="144"/>
        <v>-36.93333333333333</v>
      </c>
      <c r="AP36" s="40">
        <f t="shared" si="144"/>
        <v>-34.516129032258064</v>
      </c>
      <c r="AQ36" s="40">
        <f t="shared" si="144"/>
        <v>-34.171428571428571</v>
      </c>
      <c r="AR36" s="40">
        <f t="shared" si="144"/>
        <v>-30.166666666666668</v>
      </c>
      <c r="AS36" s="40">
        <f t="shared" si="144"/>
        <v>-23.029411764705884</v>
      </c>
      <c r="AT36" s="40">
        <f t="shared" si="144"/>
        <v>-15.648648648648649</v>
      </c>
      <c r="AU36" s="40">
        <f t="shared" si="144"/>
        <v>-5.382352941176471</v>
      </c>
      <c r="AV36" s="40">
        <f t="shared" si="144"/>
        <v>-0.6</v>
      </c>
      <c r="AW36" s="40">
        <f t="shared" si="144"/>
        <v>27.315789473684209</v>
      </c>
      <c r="AX36" s="40">
        <f t="shared" si="144"/>
        <v>4.6111111111111107</v>
      </c>
      <c r="AY36" s="40">
        <f t="shared" si="144"/>
        <v>8.5151515151515156</v>
      </c>
      <c r="AZ36" s="40">
        <f t="shared" si="144"/>
        <v>11.25</v>
      </c>
      <c r="BA36" s="40">
        <f t="shared" si="144"/>
        <v>21.878787878787879</v>
      </c>
      <c r="BB36" s="40">
        <f t="shared" si="144"/>
        <v>16.257142857142856</v>
      </c>
      <c r="BC36" s="108">
        <f t="shared" si="144"/>
        <v>20.861111111111111</v>
      </c>
      <c r="BD36" s="40">
        <f t="shared" si="144"/>
        <v>23.5</v>
      </c>
      <c r="BE36" s="40">
        <f t="shared" si="144"/>
        <v>15.578947368421053</v>
      </c>
      <c r="BF36" s="40">
        <f t="shared" si="144"/>
        <v>23</v>
      </c>
      <c r="BG36" s="108">
        <f t="shared" si="144"/>
        <v>19.307692307692307</v>
      </c>
      <c r="BH36" s="40">
        <f t="shared" si="144"/>
        <v>29</v>
      </c>
      <c r="BI36" s="40">
        <f t="shared" si="144"/>
        <v>29.476190476190474</v>
      </c>
      <c r="BJ36" s="40">
        <f t="shared" si="144"/>
        <v>36.657142857142858</v>
      </c>
      <c r="BK36" s="108">
        <f t="shared" si="144"/>
        <v>27.377777777777776</v>
      </c>
      <c r="BL36" s="40">
        <f t="shared" si="144"/>
        <v>69.58620689655173</v>
      </c>
      <c r="BM36" s="324">
        <f t="shared" si="144"/>
        <v>118.71428571428571</v>
      </c>
      <c r="BN36" s="324">
        <f>BN23/BN6</f>
        <v>50</v>
      </c>
      <c r="BO36" s="40">
        <f t="shared" si="144"/>
        <v>117.5</v>
      </c>
      <c r="BP36" s="40">
        <f t="shared" si="144"/>
        <v>89.5</v>
      </c>
      <c r="BQ36" s="40">
        <f t="shared" si="144"/>
        <v>-6.583333333333333</v>
      </c>
      <c r="BR36" s="40" t="e">
        <f t="shared" si="144"/>
        <v>#DIV/0!</v>
      </c>
      <c r="BS36" s="40" t="e">
        <f>BS23/BS6</f>
        <v>#DIV/0!</v>
      </c>
      <c r="BT36" s="40" t="e">
        <f>BT23/BT6</f>
        <v>#DIV/0!</v>
      </c>
      <c r="BU36" s="40" t="e">
        <f>BU23/BU6</f>
        <v>#DIV/0!</v>
      </c>
      <c r="BV36" s="40">
        <f>BV23/BV6</f>
        <v>23.888888888888889</v>
      </c>
      <c r="BW36" s="40">
        <f>BW23/BW6</f>
        <v>-34</v>
      </c>
      <c r="BX36" s="40">
        <f t="shared" ref="BX36:CC36" si="145">BX23/BX6</f>
        <v>25.818181818181817</v>
      </c>
      <c r="BY36" s="40">
        <f t="shared" si="145"/>
        <v>16.7</v>
      </c>
      <c r="BZ36" s="40">
        <f t="shared" si="145"/>
        <v>3.8947368421052633</v>
      </c>
      <c r="CA36" s="40">
        <f t="shared" si="145"/>
        <v>-6.3043478260869561</v>
      </c>
      <c r="CB36" s="40">
        <f t="shared" si="145"/>
        <v>24.153846153846153</v>
      </c>
      <c r="CC36" s="40">
        <f t="shared" si="145"/>
        <v>-25.222222222222221</v>
      </c>
      <c r="CD36" s="40">
        <f t="shared" ref="CD36:CE36" si="146">CD23/CD6</f>
        <v>-11.928571428571429</v>
      </c>
      <c r="CE36" s="40">
        <f t="shared" si="146"/>
        <v>-40.266666666666666</v>
      </c>
      <c r="CF36" s="40">
        <f t="shared" ref="CF36:CM36" si="147">CF23/CF6</f>
        <v>-20.384615384615383</v>
      </c>
      <c r="CG36" s="40">
        <f t="shared" si="147"/>
        <v>7.625</v>
      </c>
      <c r="CH36" s="40">
        <f t="shared" si="147"/>
        <v>-29.333333333333332</v>
      </c>
      <c r="CI36" s="40">
        <f t="shared" si="147"/>
        <v>4.0370370370370372</v>
      </c>
      <c r="CJ36" s="40">
        <f t="shared" si="147"/>
        <v>10</v>
      </c>
      <c r="CK36" s="40">
        <f t="shared" si="147"/>
        <v>12</v>
      </c>
      <c r="CL36" s="40">
        <f t="shared" si="147"/>
        <v>14</v>
      </c>
      <c r="CM36" s="40">
        <f t="shared" si="147"/>
        <v>14.5</v>
      </c>
      <c r="CS36" s="26"/>
      <c r="CT36" s="493"/>
      <c r="CU36" s="493"/>
      <c r="CV36" s="493"/>
      <c r="CW36" s="493"/>
    </row>
    <row r="37" spans="1:102" s="5" customFormat="1">
      <c r="A37" s="12" t="s">
        <v>541</v>
      </c>
      <c r="B37" s="40"/>
      <c r="C37" s="40"/>
      <c r="D37" s="333">
        <f t="shared" ref="D37:Q37" si="148">D36/D9</f>
        <v>-1.0587901701323252</v>
      </c>
      <c r="E37" s="333">
        <f t="shared" si="148"/>
        <v>-0.90020066889632111</v>
      </c>
      <c r="F37" s="333">
        <f t="shared" si="148"/>
        <v>-0.37128935532233881</v>
      </c>
      <c r="G37" s="333">
        <f t="shared" si="148"/>
        <v>-0.14414308407366008</v>
      </c>
      <c r="H37" s="333">
        <f t="shared" si="148"/>
        <v>8.1346345791283137E-2</v>
      </c>
      <c r="I37" s="333">
        <f t="shared" si="148"/>
        <v>0.13261925795053001</v>
      </c>
      <c r="J37" s="333">
        <f t="shared" si="148"/>
        <v>0.14637318659329665</v>
      </c>
      <c r="K37" s="333">
        <f t="shared" si="148"/>
        <v>0.21637347767253046</v>
      </c>
      <c r="L37" s="333">
        <f>L36/L9</f>
        <v>0.52582885279927583</v>
      </c>
      <c r="M37" s="333">
        <f>M36/M9</f>
        <v>1.7241200828157348</v>
      </c>
      <c r="N37" s="283">
        <f t="shared" si="148"/>
        <v>-0.23682140047206923</v>
      </c>
      <c r="O37" s="283">
        <f t="shared" si="148"/>
        <v>6.8119551681195517E-2</v>
      </c>
      <c r="P37" s="283">
        <f t="shared" si="148"/>
        <v>-0.10729411764705883</v>
      </c>
      <c r="Q37" s="283">
        <f t="shared" si="148"/>
        <v>-6.0576234788833214E-2</v>
      </c>
      <c r="R37" s="283">
        <f>R36/R9</f>
        <v>8.7068965517241373E-2</v>
      </c>
      <c r="S37" s="283">
        <f>S36/S9</f>
        <v>0.12413793103448276</v>
      </c>
      <c r="T37" s="283">
        <f>T36/T9</f>
        <v>0.12413793103448276</v>
      </c>
      <c r="U37" s="283">
        <f>U36/U9</f>
        <v>0.12052226314027453</v>
      </c>
      <c r="V37" s="283">
        <f>V36/V9</f>
        <v>0.11701190596143157</v>
      </c>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108"/>
      <c r="BD37" s="40"/>
      <c r="BE37" s="40"/>
      <c r="BF37" s="40"/>
      <c r="BG37" s="108"/>
      <c r="BH37" s="40"/>
      <c r="BI37" s="40"/>
      <c r="BJ37" s="40"/>
      <c r="BK37" s="108"/>
      <c r="BL37" s="40"/>
      <c r="BM37" s="324"/>
      <c r="BN37" s="40"/>
      <c r="BO37" s="40"/>
      <c r="BP37" s="40"/>
      <c r="BQ37" s="40"/>
      <c r="BR37" s="40"/>
      <c r="BS37" s="40"/>
      <c r="BT37" s="40"/>
      <c r="BU37" s="40"/>
      <c r="BV37" s="40"/>
      <c r="BW37" s="40"/>
      <c r="BX37" s="40"/>
      <c r="BY37" s="40"/>
      <c r="BZ37" s="40"/>
      <c r="CA37" s="40"/>
      <c r="CB37" s="40"/>
      <c r="CC37" s="40"/>
      <c r="CD37" s="40"/>
      <c r="CE37" s="40"/>
      <c r="CF37" s="40"/>
      <c r="CG37" s="40"/>
      <c r="CH37" s="40"/>
      <c r="CI37" s="40"/>
      <c r="CJ37" s="283"/>
      <c r="CK37" s="283"/>
      <c r="CL37" s="283"/>
      <c r="CM37" s="283"/>
      <c r="CS37" s="26"/>
      <c r="CT37" s="493"/>
      <c r="CU37" s="493"/>
      <c r="CV37" s="493"/>
      <c r="CW37" s="493"/>
    </row>
    <row r="38" spans="1:102" s="5" customFormat="1">
      <c r="A38" s="12"/>
      <c r="B38" s="308"/>
      <c r="C38" s="308"/>
      <c r="D38" s="308"/>
      <c r="E38" s="308"/>
      <c r="F38" s="308"/>
      <c r="G38" s="308"/>
      <c r="H38" s="308"/>
      <c r="I38" s="40"/>
      <c r="J38" s="40"/>
      <c r="K38" s="40"/>
      <c r="L38" s="40"/>
      <c r="M38" s="40"/>
      <c r="N38" s="308"/>
      <c r="O38" s="308"/>
      <c r="P38" s="308"/>
      <c r="Q38" s="308"/>
      <c r="R38" s="308"/>
      <c r="S38" s="308"/>
      <c r="T38" s="308"/>
      <c r="U38" s="308"/>
      <c r="V38" s="308"/>
      <c r="X38" s="308"/>
      <c r="Y38" s="308"/>
      <c r="Z38" s="308"/>
      <c r="AA38" s="308"/>
      <c r="AB38" s="308"/>
      <c r="AC38" s="308"/>
      <c r="AD38" s="308"/>
      <c r="AE38" s="308"/>
      <c r="AF38" s="308"/>
      <c r="AG38" s="308"/>
      <c r="AH38" s="308"/>
      <c r="AI38" s="308"/>
      <c r="AJ38" s="308"/>
      <c r="AK38" s="308"/>
      <c r="AL38" s="308"/>
      <c r="AM38" s="308"/>
      <c r="AN38" s="308"/>
      <c r="AO38" s="308"/>
      <c r="AP38" s="308"/>
      <c r="AQ38" s="308"/>
      <c r="AR38" s="308"/>
      <c r="AS38" s="308"/>
      <c r="AT38" s="308"/>
      <c r="AU38" s="318"/>
      <c r="AV38" s="308"/>
      <c r="AW38" s="308"/>
      <c r="AX38" s="308"/>
      <c r="AY38" s="318"/>
      <c r="AZ38" s="40"/>
      <c r="BA38" s="108"/>
      <c r="BB38" s="40"/>
      <c r="BC38" s="108"/>
      <c r="BD38" s="40"/>
      <c r="BE38" s="40"/>
      <c r="BF38" s="40"/>
      <c r="BG38" s="108"/>
      <c r="BH38" s="40"/>
      <c r="BI38" s="40"/>
      <c r="BJ38" s="40"/>
      <c r="BK38" s="108"/>
      <c r="BL38" s="40"/>
      <c r="BM38" s="308"/>
      <c r="BN38" s="308"/>
      <c r="BO38" s="318"/>
      <c r="BP38" s="314"/>
      <c r="BQ38" s="308"/>
      <c r="BR38" s="308"/>
      <c r="BS38" s="318"/>
      <c r="BT38" s="318"/>
      <c r="BU38" s="318"/>
      <c r="BV38" s="318"/>
      <c r="BW38" s="318"/>
      <c r="BX38" s="318"/>
      <c r="BY38" s="318"/>
      <c r="BZ38" s="318"/>
      <c r="CA38" s="318"/>
      <c r="CB38" s="318"/>
      <c r="CC38" s="318"/>
      <c r="CD38" s="318"/>
      <c r="CE38" s="318"/>
      <c r="CF38" s="318"/>
      <c r="CG38" s="318"/>
      <c r="CH38" s="318"/>
      <c r="CI38" s="318"/>
      <c r="CJ38" s="308"/>
      <c r="CK38" s="308"/>
      <c r="CL38" s="308"/>
      <c r="CM38" s="308"/>
      <c r="CP38" s="307" t="s">
        <v>617</v>
      </c>
      <c r="CQ38" s="499" t="s">
        <v>618</v>
      </c>
      <c r="CR38" s="499" t="s">
        <v>619</v>
      </c>
      <c r="CS38" s="499" t="s">
        <v>620</v>
      </c>
      <c r="CT38" s="499" t="s">
        <v>621</v>
      </c>
      <c r="CU38" s="499" t="s">
        <v>622</v>
      </c>
      <c r="CV38" s="499" t="s">
        <v>623</v>
      </c>
      <c r="CW38" s="499" t="s">
        <v>624</v>
      </c>
      <c r="CX38" s="499" t="s">
        <v>625</v>
      </c>
    </row>
    <row r="39" spans="1:102">
      <c r="A39" s="16">
        <v>737</v>
      </c>
      <c r="B39" s="60"/>
      <c r="C39" s="60"/>
      <c r="D39" s="60"/>
      <c r="E39" s="60"/>
      <c r="F39" s="60"/>
      <c r="G39" s="60"/>
      <c r="H39" s="60"/>
      <c r="I39" s="60"/>
      <c r="J39" s="60"/>
      <c r="K39" s="415"/>
      <c r="L39" s="415"/>
      <c r="M39" s="415"/>
      <c r="N39" s="415"/>
      <c r="O39" s="415"/>
      <c r="P39" s="415"/>
      <c r="Q39" s="415"/>
      <c r="R39" s="415"/>
      <c r="S39" s="415"/>
      <c r="T39" s="415"/>
      <c r="U39" s="415"/>
      <c r="V39" s="415"/>
      <c r="X39" s="60"/>
      <c r="Y39" s="60"/>
      <c r="Z39" s="60"/>
      <c r="AA39" s="60"/>
      <c r="AB39" s="60"/>
      <c r="AC39" s="60"/>
      <c r="AD39" s="60"/>
      <c r="AE39" s="60"/>
      <c r="AF39" s="60"/>
      <c r="AG39" s="60"/>
      <c r="AH39" s="60"/>
      <c r="AI39" s="60"/>
      <c r="AJ39" s="60"/>
      <c r="AK39" s="60"/>
      <c r="AL39" s="60"/>
      <c r="AM39" s="60"/>
      <c r="AN39" s="60"/>
      <c r="AO39" s="60"/>
      <c r="AP39" s="60"/>
      <c r="AQ39" s="60"/>
      <c r="AR39" s="60"/>
      <c r="AS39" s="60"/>
      <c r="AT39" s="60"/>
      <c r="AU39" s="317"/>
      <c r="AV39" s="60"/>
      <c r="AW39" s="60"/>
      <c r="AX39" s="60"/>
      <c r="AY39" s="317"/>
      <c r="AZ39" s="60"/>
      <c r="BA39" s="60"/>
      <c r="BB39" s="60"/>
      <c r="BC39" s="317"/>
      <c r="BD39" s="60"/>
      <c r="BE39" s="60"/>
      <c r="BF39" s="60"/>
      <c r="BG39" s="317"/>
      <c r="BH39" s="60"/>
      <c r="BI39" s="60"/>
      <c r="BJ39" s="60"/>
      <c r="BK39" s="317"/>
      <c r="BL39" s="60"/>
      <c r="BM39" s="60"/>
      <c r="BN39" s="60"/>
      <c r="BO39" s="317"/>
      <c r="BP39" s="60"/>
      <c r="BQ39" s="60"/>
      <c r="BR39" s="60"/>
      <c r="BS39" s="317"/>
      <c r="BT39" s="317"/>
      <c r="BU39" s="317"/>
      <c r="BV39" s="317"/>
      <c r="BW39" s="317"/>
      <c r="BX39" s="317"/>
      <c r="BY39" s="317"/>
      <c r="BZ39" s="317"/>
      <c r="CA39" s="317"/>
      <c r="CB39" s="317"/>
      <c r="CC39" s="317"/>
      <c r="CD39" s="317"/>
      <c r="CE39" s="317"/>
      <c r="CF39" s="317"/>
      <c r="CG39" s="317"/>
      <c r="CH39" s="317"/>
      <c r="CI39" s="317"/>
      <c r="CJ39" s="415"/>
      <c r="CK39" s="415"/>
      <c r="CL39" s="415"/>
      <c r="CM39" s="415"/>
      <c r="CN39" s="5"/>
      <c r="CP39" s="26" t="s">
        <v>607</v>
      </c>
      <c r="CQ39" s="493">
        <f>+CQ19</f>
        <v>597.65229320226433</v>
      </c>
      <c r="CR39" s="493"/>
      <c r="CS39" s="493">
        <f>+CR19</f>
        <v>1009.444085097476</v>
      </c>
      <c r="CT39" s="493"/>
      <c r="CU39" s="493">
        <f>+CS19</f>
        <v>2015.6226642964953</v>
      </c>
      <c r="CV39" s="493"/>
      <c r="CW39" s="493">
        <f>+CT19</f>
        <v>5296.7197959541063</v>
      </c>
      <c r="CX39" s="493"/>
    </row>
    <row r="40" spans="1:102">
      <c r="A40" s="14"/>
      <c r="B40" s="78"/>
      <c r="C40" s="78"/>
      <c r="D40" s="78"/>
      <c r="E40" s="78"/>
      <c r="F40" s="78"/>
      <c r="G40" s="78"/>
      <c r="H40" s="78"/>
      <c r="I40" s="78"/>
      <c r="J40" s="78"/>
      <c r="K40" s="78"/>
      <c r="L40" s="78"/>
      <c r="M40" s="78"/>
      <c r="N40" s="72">
        <f t="shared" ref="N40:V40" si="149">N41/12</f>
        <v>20.916666666666668</v>
      </c>
      <c r="O40" s="72">
        <f t="shared" si="149"/>
        <v>29</v>
      </c>
      <c r="P40" s="72">
        <f t="shared" si="149"/>
        <v>15.416666666666666</v>
      </c>
      <c r="Q40" s="72">
        <f t="shared" si="149"/>
        <v>32.916666666666664</v>
      </c>
      <c r="R40" s="72">
        <f t="shared" si="149"/>
        <v>41.5</v>
      </c>
      <c r="S40" s="72">
        <f t="shared" si="149"/>
        <v>48.25</v>
      </c>
      <c r="T40" s="72">
        <f t="shared" si="149"/>
        <v>52</v>
      </c>
      <c r="U40" s="72">
        <f t="shared" si="149"/>
        <v>52</v>
      </c>
      <c r="V40" s="72">
        <f t="shared" si="149"/>
        <v>52</v>
      </c>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96"/>
      <c r="AV40" s="78"/>
      <c r="AW40" s="78"/>
      <c r="AX40" s="78"/>
      <c r="AY40" s="96"/>
      <c r="AZ40" s="78"/>
      <c r="BA40" s="78"/>
      <c r="BB40" s="78"/>
      <c r="BC40" s="96"/>
      <c r="BD40" s="78"/>
      <c r="BE40" s="78"/>
      <c r="BF40" s="78"/>
      <c r="BG40" s="96"/>
      <c r="BH40" s="78"/>
      <c r="BI40" s="78"/>
      <c r="BJ40" s="78"/>
      <c r="BK40" s="96"/>
      <c r="BL40" s="78"/>
      <c r="BM40" s="78"/>
      <c r="BN40" s="78"/>
      <c r="BO40" s="96"/>
      <c r="BP40" s="78"/>
      <c r="BQ40" s="78"/>
      <c r="BR40" s="78"/>
      <c r="BS40" s="96"/>
      <c r="BT40" s="96"/>
      <c r="BU40" s="96"/>
      <c r="BV40" s="96"/>
      <c r="BW40" s="96"/>
      <c r="BX40" s="96"/>
      <c r="BY40" s="96"/>
      <c r="BZ40" s="96"/>
      <c r="CA40" s="96"/>
      <c r="CB40" s="96"/>
      <c r="CC40" s="96"/>
      <c r="CD40" s="96"/>
      <c r="CE40" s="96"/>
      <c r="CF40" s="96"/>
      <c r="CG40" s="96"/>
      <c r="CH40" s="96"/>
      <c r="CI40" s="96"/>
      <c r="CJ40" s="72"/>
      <c r="CK40" s="72"/>
      <c r="CL40" s="72"/>
      <c r="CM40" s="72"/>
      <c r="CN40" s="5"/>
      <c r="CP40" s="26">
        <v>787</v>
      </c>
      <c r="CQ40" s="493">
        <f>+CQ20</f>
        <v>547</v>
      </c>
      <c r="CR40" s="493"/>
      <c r="CS40" s="493">
        <f>+CR20</f>
        <v>-684</v>
      </c>
      <c r="CT40" s="493"/>
      <c r="CU40" s="493">
        <f>+CS20</f>
        <v>-677</v>
      </c>
      <c r="CV40" s="493"/>
      <c r="CW40" s="493">
        <f>+CT20</f>
        <v>1275.125</v>
      </c>
      <c r="CX40" s="493"/>
    </row>
    <row r="41" spans="1:102">
      <c r="A41" s="1" t="s">
        <v>479</v>
      </c>
      <c r="B41" s="72">
        <f>SUM(X41:AA41)</f>
        <v>378</v>
      </c>
      <c r="C41" s="72">
        <f>SUM(AB41:AE41)</f>
        <v>378</v>
      </c>
      <c r="D41" s="72">
        <f>SUM(AF41:AI41)</f>
        <v>420</v>
      </c>
      <c r="E41" s="72">
        <f>SUM(AJ41:AM41)</f>
        <v>456</v>
      </c>
      <c r="F41" s="72">
        <f>SUM(AN41:AQ41)</f>
        <v>492</v>
      </c>
      <c r="G41" s="72">
        <f>SUM(AR41:AU41)</f>
        <v>504</v>
      </c>
      <c r="H41" s="72">
        <f>SUM(AV41:AY41)</f>
        <v>504</v>
      </c>
      <c r="I41" s="72">
        <f>SUM(AZ41:BC41)</f>
        <v>534</v>
      </c>
      <c r="J41" s="72">
        <f>SUM(BD41:BG41)</f>
        <v>594</v>
      </c>
      <c r="K41" s="72">
        <f>SUM(BH41:BK41)</f>
        <v>524</v>
      </c>
      <c r="L41" s="72">
        <f>SUM(BL41:BO41)</f>
        <v>10</v>
      </c>
      <c r="M41" s="72">
        <f>SUM(BP41:BS41)</f>
        <v>130</v>
      </c>
      <c r="N41" s="72">
        <f>SUM(BT41:BW41)</f>
        <v>251</v>
      </c>
      <c r="O41" s="72">
        <f>SUM(BX41:CA41)</f>
        <v>348</v>
      </c>
      <c r="P41" s="72">
        <f>SUM(CB41:CE41)</f>
        <v>185</v>
      </c>
      <c r="Q41" s="72">
        <f>SUM(CF41:CI41)</f>
        <v>395</v>
      </c>
      <c r="R41" s="562">
        <f>SUM(CJ41:CM41)</f>
        <v>498</v>
      </c>
      <c r="S41" s="43">
        <f>47*9+52*3</f>
        <v>579</v>
      </c>
      <c r="T41" s="43">
        <f>52*12</f>
        <v>624</v>
      </c>
      <c r="U41" s="43">
        <f>52*12</f>
        <v>624</v>
      </c>
      <c r="V41" s="43">
        <f>52*12</f>
        <v>624</v>
      </c>
      <c r="X41" s="43">
        <f t="shared" ref="X41:AD41" si="150">31.5*3</f>
        <v>94.5</v>
      </c>
      <c r="Y41" s="43">
        <f t="shared" si="150"/>
        <v>94.5</v>
      </c>
      <c r="Z41" s="43">
        <f t="shared" si="150"/>
        <v>94.5</v>
      </c>
      <c r="AA41" s="43">
        <f t="shared" si="150"/>
        <v>94.5</v>
      </c>
      <c r="AB41" s="43">
        <f t="shared" si="150"/>
        <v>94.5</v>
      </c>
      <c r="AC41" s="43">
        <f t="shared" si="150"/>
        <v>94.5</v>
      </c>
      <c r="AD41" s="43">
        <f t="shared" si="150"/>
        <v>94.5</v>
      </c>
      <c r="AE41" s="43">
        <f>31.5*3</f>
        <v>94.5</v>
      </c>
      <c r="AF41" s="43">
        <f>35*3</f>
        <v>105</v>
      </c>
      <c r="AG41" s="43">
        <f>35*3</f>
        <v>105</v>
      </c>
      <c r="AH41" s="43">
        <f>35*3</f>
        <v>105</v>
      </c>
      <c r="AI41" s="43">
        <f>35*3</f>
        <v>105</v>
      </c>
      <c r="AJ41" s="43">
        <f>38*3</f>
        <v>114</v>
      </c>
      <c r="AK41" s="43">
        <f>38*3</f>
        <v>114</v>
      </c>
      <c r="AL41" s="43">
        <f>38*3</f>
        <v>114</v>
      </c>
      <c r="AM41" s="43">
        <f>38*3</f>
        <v>114</v>
      </c>
      <c r="AN41" s="43">
        <f>38*3</f>
        <v>114</v>
      </c>
      <c r="AO41" s="43">
        <f t="shared" ref="AO41:AZ41" si="151">42*3</f>
        <v>126</v>
      </c>
      <c r="AP41" s="43">
        <f t="shared" si="151"/>
        <v>126</v>
      </c>
      <c r="AQ41" s="43">
        <f t="shared" si="151"/>
        <v>126</v>
      </c>
      <c r="AR41" s="43">
        <f t="shared" si="151"/>
        <v>126</v>
      </c>
      <c r="AS41" s="43">
        <f t="shared" si="151"/>
        <v>126</v>
      </c>
      <c r="AT41" s="43">
        <f t="shared" si="151"/>
        <v>126</v>
      </c>
      <c r="AU41" s="43">
        <f t="shared" si="151"/>
        <v>126</v>
      </c>
      <c r="AV41" s="43">
        <f t="shared" si="151"/>
        <v>126</v>
      </c>
      <c r="AW41" s="43">
        <f t="shared" si="151"/>
        <v>126</v>
      </c>
      <c r="AX41" s="43">
        <f t="shared" si="151"/>
        <v>126</v>
      </c>
      <c r="AY41" s="43">
        <f t="shared" si="151"/>
        <v>126</v>
      </c>
      <c r="AZ41" s="43">
        <f t="shared" si="151"/>
        <v>126</v>
      </c>
      <c r="BA41" s="43">
        <f>42*3</f>
        <v>126</v>
      </c>
      <c r="BB41" s="43">
        <f>47*3</f>
        <v>141</v>
      </c>
      <c r="BC41" s="43">
        <f>47*3</f>
        <v>141</v>
      </c>
      <c r="BD41" s="43">
        <f>47*3</f>
        <v>141</v>
      </c>
      <c r="BE41" s="43">
        <f>47*3</f>
        <v>141</v>
      </c>
      <c r="BF41" s="43">
        <f>52*3</f>
        <v>156</v>
      </c>
      <c r="BG41" s="43">
        <f>52*3</f>
        <v>156</v>
      </c>
      <c r="BH41" s="43">
        <f>52*2+1*42</f>
        <v>146</v>
      </c>
      <c r="BI41" s="43">
        <f>42*3</f>
        <v>126</v>
      </c>
      <c r="BJ41" s="43">
        <f>42*3</f>
        <v>126</v>
      </c>
      <c r="BK41" s="43">
        <f>42*3</f>
        <v>126</v>
      </c>
      <c r="BL41" s="43">
        <v>0</v>
      </c>
      <c r="BM41" s="43">
        <v>0</v>
      </c>
      <c r="BN41" s="43">
        <v>5</v>
      </c>
      <c r="BO41" s="43">
        <v>5</v>
      </c>
      <c r="BP41" s="43">
        <f>5*3</f>
        <v>15</v>
      </c>
      <c r="BQ41" s="43">
        <v>16</v>
      </c>
      <c r="BR41" s="43">
        <f>16+16+19</f>
        <v>51</v>
      </c>
      <c r="BS41" s="43">
        <f>16*3</f>
        <v>48</v>
      </c>
      <c r="BT41" s="43">
        <f>19*3</f>
        <v>57</v>
      </c>
      <c r="BU41" s="43">
        <f>22*3</f>
        <v>66</v>
      </c>
      <c r="BV41" s="43">
        <f>BV42-35</f>
        <v>53</v>
      </c>
      <c r="BW41" s="43">
        <v>75</v>
      </c>
      <c r="BX41" s="43">
        <v>92</v>
      </c>
      <c r="BY41" s="43">
        <v>90</v>
      </c>
      <c r="BZ41" s="43">
        <v>66</v>
      </c>
      <c r="CA41" s="43">
        <v>100</v>
      </c>
      <c r="CB41" s="43">
        <v>40</v>
      </c>
      <c r="CC41" s="43">
        <v>53</v>
      </c>
      <c r="CD41" s="43">
        <v>62</v>
      </c>
      <c r="CE41" s="43">
        <v>30</v>
      </c>
      <c r="CF41" s="43">
        <v>80</v>
      </c>
      <c r="CG41" s="43">
        <v>94</v>
      </c>
      <c r="CH41" s="43">
        <v>104</v>
      </c>
      <c r="CI41" s="43">
        <f>CI42</f>
        <v>117</v>
      </c>
      <c r="CJ41" s="43">
        <v>124.5</v>
      </c>
      <c r="CK41" s="43">
        <v>124.5</v>
      </c>
      <c r="CL41" s="43">
        <v>124.5</v>
      </c>
      <c r="CM41" s="43">
        <v>124.5</v>
      </c>
      <c r="CN41" s="5"/>
      <c r="CP41" s="26" t="s">
        <v>610</v>
      </c>
      <c r="CR41" s="493">
        <f>+CQ21</f>
        <v>-2232.6522932022644</v>
      </c>
      <c r="CS41" s="493">
        <f>+CR21</f>
        <v>-8978.4440850974752</v>
      </c>
      <c r="CT41" s="493"/>
      <c r="CU41" s="493">
        <f>+CS21</f>
        <v>-9094.6226642964957</v>
      </c>
      <c r="CV41" s="493"/>
      <c r="CW41" s="493">
        <f>+CT21</f>
        <v>-6291.260876420658</v>
      </c>
      <c r="CX41" s="493"/>
    </row>
    <row r="42" spans="1:102">
      <c r="A42" s="1" t="s">
        <v>515</v>
      </c>
      <c r="B42" s="72">
        <f>SUM(X42:AA42)</f>
        <v>376</v>
      </c>
      <c r="C42" s="72">
        <f>SUM(AB42:AE42)</f>
        <v>372</v>
      </c>
      <c r="D42" s="72">
        <f>SUM(AF42:AI42)</f>
        <v>415</v>
      </c>
      <c r="E42" s="72">
        <f>SUM(AJ42:AM42)</f>
        <v>440</v>
      </c>
      <c r="F42" s="72">
        <f>SUM(AN42:AQ42)</f>
        <v>485</v>
      </c>
      <c r="G42" s="72">
        <f>SUM(AR42:AU42)</f>
        <v>495</v>
      </c>
      <c r="H42" s="72">
        <f>SUM(AV42:AY42)</f>
        <v>490</v>
      </c>
      <c r="I42" s="72">
        <f>SUM(AZ42:BC42)</f>
        <v>529</v>
      </c>
      <c r="J42" s="72">
        <f>SUM(BD42:BG42)</f>
        <v>580</v>
      </c>
      <c r="K42" s="72">
        <f>SUM(BH42:BK42)</f>
        <v>127</v>
      </c>
      <c r="L42" s="38">
        <f>BCA_Model_Annual!V4</f>
        <v>43</v>
      </c>
      <c r="M42" s="38">
        <f>BCA_Model_Annual!W4</f>
        <v>263</v>
      </c>
      <c r="N42" s="38">
        <f>BCA_Model_Annual!X4</f>
        <v>387</v>
      </c>
      <c r="O42" s="38">
        <f>BCA_Model_Annual!Y4</f>
        <v>396</v>
      </c>
      <c r="P42" s="38">
        <f>BCA_Model_Annual!Z4</f>
        <v>265</v>
      </c>
      <c r="Q42" s="38">
        <f>BCA_Model_Annual!AA4</f>
        <v>447</v>
      </c>
      <c r="R42" s="38">
        <f>BCA_Model_Annual!AB4</f>
        <v>498</v>
      </c>
      <c r="S42" s="38">
        <f>BCA_Model_Annual!AC4</f>
        <v>579</v>
      </c>
      <c r="T42" s="38">
        <f>BCA_Model_Annual!AD4</f>
        <v>624</v>
      </c>
      <c r="U42" s="38">
        <f>BCA_Model_Annual!AE4</f>
        <v>624</v>
      </c>
      <c r="V42" s="38">
        <f>BCA_Model_Annual!AF4</f>
        <v>624</v>
      </c>
      <c r="X42" s="43">
        <v>86</v>
      </c>
      <c r="Y42" s="43">
        <v>95</v>
      </c>
      <c r="Z42" s="43">
        <v>100</v>
      </c>
      <c r="AA42" s="43">
        <v>95</v>
      </c>
      <c r="AB42" s="43">
        <v>87</v>
      </c>
      <c r="AC42" s="43">
        <v>94</v>
      </c>
      <c r="AD42" s="43">
        <v>100</v>
      </c>
      <c r="AE42" s="43">
        <v>91</v>
      </c>
      <c r="AF42" s="43">
        <v>99</v>
      </c>
      <c r="AG42" s="43">
        <v>109</v>
      </c>
      <c r="AH42" s="43">
        <v>102</v>
      </c>
      <c r="AI42" s="43">
        <v>105</v>
      </c>
      <c r="AJ42" s="43">
        <v>102</v>
      </c>
      <c r="AK42" s="43">
        <v>116</v>
      </c>
      <c r="AL42" s="43">
        <v>112</v>
      </c>
      <c r="AM42" s="43">
        <v>110</v>
      </c>
      <c r="AN42" s="43">
        <v>115</v>
      </c>
      <c r="AO42" s="43">
        <v>124</v>
      </c>
      <c r="AP42" s="43">
        <v>120</v>
      </c>
      <c r="AQ42" s="43">
        <v>126</v>
      </c>
      <c r="AR42" s="38">
        <f>BCA_Deliveries_Qtr!B4</f>
        <v>121</v>
      </c>
      <c r="AS42" s="38">
        <f>BCA_Deliveries_Qtr!C4</f>
        <v>128</v>
      </c>
      <c r="AT42" s="38">
        <f>BCA_Deliveries_Qtr!D4</f>
        <v>126</v>
      </c>
      <c r="AU42" s="38">
        <f>BCA_Deliveries_Qtr!E4</f>
        <v>120</v>
      </c>
      <c r="AV42" s="38">
        <f>BCA_Deliveries_Qtr!G4</f>
        <v>121</v>
      </c>
      <c r="AW42" s="38">
        <f>BCA_Deliveries_Qtr!H4</f>
        <v>127</v>
      </c>
      <c r="AX42" s="38">
        <f>BCA_Deliveries_Qtr!I4</f>
        <v>120</v>
      </c>
      <c r="AY42" s="38">
        <f>BCA_Deliveries_Qtr!J4</f>
        <v>122</v>
      </c>
      <c r="AZ42" s="38">
        <f>BCA_Deliveries_Qtr!L4</f>
        <v>113</v>
      </c>
      <c r="BA42" s="38">
        <f>BCA_Deliveries_Qtr!M4</f>
        <v>123</v>
      </c>
      <c r="BB42" s="38">
        <f>BCA_Deliveries_Qtr!N4</f>
        <v>145</v>
      </c>
      <c r="BC42" s="38">
        <f>BCA_Deliveries_Qtr!O4</f>
        <v>148</v>
      </c>
      <c r="BD42" s="38">
        <f>BCA_Deliveries_Qtr!Q4</f>
        <v>132</v>
      </c>
      <c r="BE42" s="38">
        <f>BCA_Deliveries_Qtr!R4</f>
        <v>137</v>
      </c>
      <c r="BF42" s="38">
        <f>BCA_Deliveries_Qtr!S4</f>
        <v>138</v>
      </c>
      <c r="BG42" s="38">
        <f>BCA_Deliveries_Qtr!T4</f>
        <v>173</v>
      </c>
      <c r="BH42" s="38">
        <f>BCA_Deliveries_Qtr!V4</f>
        <v>89</v>
      </c>
      <c r="BI42" s="38">
        <f>BCA_Deliveries_Qtr!W4</f>
        <v>24</v>
      </c>
      <c r="BJ42" s="38">
        <f>BCA_Deliveries_Qtr!X4</f>
        <v>5</v>
      </c>
      <c r="BK42" s="38">
        <f>BCA_Deliveries_Qtr!Y4</f>
        <v>9</v>
      </c>
      <c r="BL42" s="38">
        <f>BCA_Deliveries_Qtr!AA4</f>
        <v>5</v>
      </c>
      <c r="BM42" s="38">
        <f>BCA_Deliveries_Qtr!AB4</f>
        <v>4</v>
      </c>
      <c r="BN42" s="38">
        <f>BCA_Deliveries_Qtr!AC4</f>
        <v>3</v>
      </c>
      <c r="BO42" s="38">
        <f>BCA_Deliveries_Qtr!AD4</f>
        <v>31</v>
      </c>
      <c r="BP42" s="38">
        <f>BCA_Deliveries_Qtr!AF4</f>
        <v>63</v>
      </c>
      <c r="BQ42" s="38">
        <f>BCA_Deliveries_Qtr!AG4</f>
        <v>50</v>
      </c>
      <c r="BR42" s="38">
        <f>BCA_Deliveries_Qtr!AH4</f>
        <v>66</v>
      </c>
      <c r="BS42" s="38">
        <f>BCA_Deliveries_Qtr!AI4</f>
        <v>84</v>
      </c>
      <c r="BT42" s="38">
        <f>BCA_Deliveries_Qtr!AK4</f>
        <v>86</v>
      </c>
      <c r="BU42" s="38">
        <f>BCA_Deliveries_Qtr!AL4</f>
        <v>103</v>
      </c>
      <c r="BV42" s="38">
        <f>BCA_Deliveries_Qtr!AM4</f>
        <v>88</v>
      </c>
      <c r="BW42" s="38">
        <f>BCA_Deliveries_Qtr!AN4</f>
        <v>110</v>
      </c>
      <c r="BX42" s="38">
        <f>BCA_Deliveries_Qtr!AP4</f>
        <v>113</v>
      </c>
      <c r="BY42" s="38">
        <f>BCA_Deliveries_Qtr!AQ4</f>
        <v>103</v>
      </c>
      <c r="BZ42" s="38">
        <f>BCA_Deliveries_Qtr!AR4</f>
        <v>70</v>
      </c>
      <c r="CA42" s="38">
        <f>BCA_Deliveries_Qtr!AS4</f>
        <v>110</v>
      </c>
      <c r="CB42" s="38">
        <f>BCA_Deliveries_Qtr!AU4</f>
        <v>67</v>
      </c>
      <c r="CC42" s="38">
        <f>BCA_Deliveries_Qtr!AV4</f>
        <v>70</v>
      </c>
      <c r="CD42" s="38">
        <f>BCA_Deliveries_Qtr!AW4</f>
        <v>92</v>
      </c>
      <c r="CE42" s="38">
        <f>BCA_Deliveries_Qtr!AX4</f>
        <v>36</v>
      </c>
      <c r="CF42" s="38">
        <f>BCA_Deliveries_Qtr!AZ4</f>
        <v>105</v>
      </c>
      <c r="CG42" s="38">
        <f>BCA_Deliveries_Qtr!BA4</f>
        <v>104</v>
      </c>
      <c r="CH42" s="38">
        <f>BCA_Deliveries_Qtr!BB4</f>
        <v>121</v>
      </c>
      <c r="CI42" s="38">
        <f>BCA_Deliveries_Qtr!BC4</f>
        <v>117</v>
      </c>
      <c r="CJ42" s="38">
        <f>BCA_Deliveries_Qtr!BE4</f>
        <v>124.5</v>
      </c>
      <c r="CK42" s="38">
        <f>BCA_Deliveries_Qtr!BF4</f>
        <v>124.5</v>
      </c>
      <c r="CL42" s="38">
        <f>BCA_Deliveries_Qtr!BG4</f>
        <v>124.5</v>
      </c>
      <c r="CM42" s="38">
        <f>BCA_Deliveries_Qtr!BH4</f>
        <v>124.5</v>
      </c>
      <c r="CN42" s="5"/>
      <c r="CP42" s="26" t="s">
        <v>550</v>
      </c>
      <c r="CR42" s="493">
        <f>+CQ22</f>
        <v>-985</v>
      </c>
      <c r="CS42" s="493">
        <f>+CR22</f>
        <v>-3850</v>
      </c>
      <c r="CT42" s="493"/>
      <c r="CU42" s="493">
        <f>+CS22</f>
        <v>1213</v>
      </c>
      <c r="CV42" s="493"/>
      <c r="CW42" s="493">
        <f>+CT22</f>
        <v>-872.18343550175348</v>
      </c>
      <c r="CX42" s="493"/>
    </row>
    <row r="43" spans="1:102" s="5" customFormat="1">
      <c r="A43" s="12" t="s">
        <v>468</v>
      </c>
      <c r="B43" s="308">
        <f t="shared" ref="B43:Q43" si="152">B41-B42</f>
        <v>2</v>
      </c>
      <c r="C43" s="308">
        <f t="shared" si="152"/>
        <v>6</v>
      </c>
      <c r="D43" s="308">
        <f t="shared" si="152"/>
        <v>5</v>
      </c>
      <c r="E43" s="308">
        <f t="shared" si="152"/>
        <v>16</v>
      </c>
      <c r="F43" s="308">
        <f t="shared" si="152"/>
        <v>7</v>
      </c>
      <c r="G43" s="308">
        <f t="shared" si="152"/>
        <v>9</v>
      </c>
      <c r="H43" s="308">
        <f t="shared" si="152"/>
        <v>14</v>
      </c>
      <c r="I43" s="108">
        <f t="shared" si="152"/>
        <v>5</v>
      </c>
      <c r="J43" s="108">
        <f t="shared" si="152"/>
        <v>14</v>
      </c>
      <c r="K43" s="108">
        <f t="shared" si="152"/>
        <v>397</v>
      </c>
      <c r="L43" s="108">
        <f t="shared" si="152"/>
        <v>-33</v>
      </c>
      <c r="M43" s="108">
        <f t="shared" si="152"/>
        <v>-133</v>
      </c>
      <c r="N43" s="108">
        <f t="shared" si="152"/>
        <v>-136</v>
      </c>
      <c r="O43" s="108">
        <f t="shared" si="152"/>
        <v>-48</v>
      </c>
      <c r="P43" s="108">
        <f t="shared" si="152"/>
        <v>-80</v>
      </c>
      <c r="Q43" s="108">
        <f t="shared" si="152"/>
        <v>-52</v>
      </c>
      <c r="R43" s="108">
        <f>R41-R42</f>
        <v>0</v>
      </c>
      <c r="S43" s="108">
        <f>S41-S42</f>
        <v>0</v>
      </c>
      <c r="T43" s="108">
        <f>T41-T42</f>
        <v>0</v>
      </c>
      <c r="U43" s="108">
        <f>U41-U42</f>
        <v>0</v>
      </c>
      <c r="V43" s="108">
        <f>V41-V42</f>
        <v>0</v>
      </c>
      <c r="X43" s="108">
        <f t="shared" ref="X43:BS43" si="153">X41-X42</f>
        <v>8.5</v>
      </c>
      <c r="Y43" s="108">
        <f t="shared" si="153"/>
        <v>-0.5</v>
      </c>
      <c r="Z43" s="108">
        <f t="shared" si="153"/>
        <v>-5.5</v>
      </c>
      <c r="AA43" s="108">
        <f t="shared" si="153"/>
        <v>-0.5</v>
      </c>
      <c r="AB43" s="108">
        <f t="shared" si="153"/>
        <v>7.5</v>
      </c>
      <c r="AC43" s="108">
        <f t="shared" si="153"/>
        <v>0.5</v>
      </c>
      <c r="AD43" s="108">
        <f t="shared" si="153"/>
        <v>-5.5</v>
      </c>
      <c r="AE43" s="108">
        <f t="shared" si="153"/>
        <v>3.5</v>
      </c>
      <c r="AF43" s="108">
        <f t="shared" si="153"/>
        <v>6</v>
      </c>
      <c r="AG43" s="108">
        <f t="shared" si="153"/>
        <v>-4</v>
      </c>
      <c r="AH43" s="108">
        <f t="shared" si="153"/>
        <v>3</v>
      </c>
      <c r="AI43" s="108">
        <f t="shared" si="153"/>
        <v>0</v>
      </c>
      <c r="AJ43" s="108">
        <f t="shared" si="153"/>
        <v>12</v>
      </c>
      <c r="AK43" s="108">
        <f t="shared" si="153"/>
        <v>-2</v>
      </c>
      <c r="AL43" s="108">
        <f t="shared" si="153"/>
        <v>2</v>
      </c>
      <c r="AM43" s="108">
        <f t="shared" si="153"/>
        <v>4</v>
      </c>
      <c r="AN43" s="108">
        <f t="shared" si="153"/>
        <v>-1</v>
      </c>
      <c r="AO43" s="108">
        <f t="shared" si="153"/>
        <v>2</v>
      </c>
      <c r="AP43" s="108">
        <f t="shared" si="153"/>
        <v>6</v>
      </c>
      <c r="AQ43" s="108">
        <f t="shared" si="153"/>
        <v>0</v>
      </c>
      <c r="AR43" s="108">
        <f t="shared" si="153"/>
        <v>5</v>
      </c>
      <c r="AS43" s="108">
        <f t="shared" si="153"/>
        <v>-2</v>
      </c>
      <c r="AT43" s="108">
        <f t="shared" si="153"/>
        <v>0</v>
      </c>
      <c r="AU43" s="108">
        <f t="shared" si="153"/>
        <v>6</v>
      </c>
      <c r="AV43" s="108">
        <f t="shared" si="153"/>
        <v>5</v>
      </c>
      <c r="AW43" s="108">
        <f t="shared" si="153"/>
        <v>-1</v>
      </c>
      <c r="AX43" s="108">
        <f t="shared" si="153"/>
        <v>6</v>
      </c>
      <c r="AY43" s="108">
        <f t="shared" si="153"/>
        <v>4</v>
      </c>
      <c r="AZ43" s="108">
        <f t="shared" si="153"/>
        <v>13</v>
      </c>
      <c r="BA43" s="108">
        <f t="shared" si="153"/>
        <v>3</v>
      </c>
      <c r="BB43" s="108">
        <f t="shared" si="153"/>
        <v>-4</v>
      </c>
      <c r="BC43" s="108">
        <f t="shared" si="153"/>
        <v>-7</v>
      </c>
      <c r="BD43" s="108">
        <f t="shared" si="153"/>
        <v>9</v>
      </c>
      <c r="BE43" s="108">
        <f t="shared" si="153"/>
        <v>4</v>
      </c>
      <c r="BF43" s="108">
        <f t="shared" si="153"/>
        <v>18</v>
      </c>
      <c r="BG43" s="108">
        <f t="shared" si="153"/>
        <v>-17</v>
      </c>
      <c r="BH43" s="108">
        <f t="shared" si="153"/>
        <v>57</v>
      </c>
      <c r="BI43" s="108">
        <f t="shared" si="153"/>
        <v>102</v>
      </c>
      <c r="BJ43" s="108">
        <f t="shared" si="153"/>
        <v>121</v>
      </c>
      <c r="BK43" s="108">
        <f t="shared" si="153"/>
        <v>117</v>
      </c>
      <c r="BL43" s="108">
        <f t="shared" si="153"/>
        <v>-5</v>
      </c>
      <c r="BM43" s="108">
        <f t="shared" si="153"/>
        <v>-4</v>
      </c>
      <c r="BN43" s="108">
        <f t="shared" si="153"/>
        <v>2</v>
      </c>
      <c r="BO43" s="108">
        <f t="shared" si="153"/>
        <v>-26</v>
      </c>
      <c r="BP43" s="108">
        <f t="shared" si="153"/>
        <v>-48</v>
      </c>
      <c r="BQ43" s="108">
        <f t="shared" si="153"/>
        <v>-34</v>
      </c>
      <c r="BR43" s="108">
        <f t="shared" si="153"/>
        <v>-15</v>
      </c>
      <c r="BS43" s="108">
        <f t="shared" si="153"/>
        <v>-36</v>
      </c>
      <c r="BT43" s="108">
        <f>BT41-BT42</f>
        <v>-29</v>
      </c>
      <c r="BU43" s="108">
        <f>BU41-BU42</f>
        <v>-37</v>
      </c>
      <c r="BV43" s="108">
        <f>BV41-BV42</f>
        <v>-35</v>
      </c>
      <c r="BW43" s="108">
        <f>BW41-BW42</f>
        <v>-35</v>
      </c>
      <c r="BX43" s="108">
        <f t="shared" ref="BX43:CE43" si="154">BX41-BX42</f>
        <v>-21</v>
      </c>
      <c r="BY43" s="108">
        <f t="shared" si="154"/>
        <v>-13</v>
      </c>
      <c r="BZ43" s="108">
        <f t="shared" si="154"/>
        <v>-4</v>
      </c>
      <c r="CA43" s="108">
        <f t="shared" si="154"/>
        <v>-10</v>
      </c>
      <c r="CB43" s="108">
        <f t="shared" si="154"/>
        <v>-27</v>
      </c>
      <c r="CC43" s="108">
        <f t="shared" si="154"/>
        <v>-17</v>
      </c>
      <c r="CD43" s="108">
        <f t="shared" si="154"/>
        <v>-30</v>
      </c>
      <c r="CE43" s="108">
        <f t="shared" si="154"/>
        <v>-6</v>
      </c>
      <c r="CF43" s="108">
        <f t="shared" ref="CF43:CM43" si="155">CF41-CF42</f>
        <v>-25</v>
      </c>
      <c r="CG43" s="108">
        <f t="shared" si="155"/>
        <v>-10</v>
      </c>
      <c r="CH43" s="108">
        <f t="shared" si="155"/>
        <v>-17</v>
      </c>
      <c r="CI43" s="108">
        <f t="shared" si="155"/>
        <v>0</v>
      </c>
      <c r="CJ43" s="108">
        <f t="shared" si="155"/>
        <v>0</v>
      </c>
      <c r="CK43" s="108">
        <f t="shared" si="155"/>
        <v>0</v>
      </c>
      <c r="CL43" s="108">
        <f t="shared" si="155"/>
        <v>0</v>
      </c>
      <c r="CM43" s="108">
        <f t="shared" si="155"/>
        <v>0</v>
      </c>
      <c r="CP43" s="26" t="s">
        <v>551</v>
      </c>
      <c r="CQ43" s="493">
        <f>+CQ23</f>
        <v>3329</v>
      </c>
      <c r="CR43" s="493"/>
      <c r="CS43" s="493">
        <f>+CR23</f>
        <v>3618</v>
      </c>
      <c r="CT43" s="493"/>
      <c r="CU43" s="493">
        <f>+CS23</f>
        <v>13474</v>
      </c>
      <c r="CV43" s="493"/>
      <c r="CW43" s="493">
        <f>+CT23</f>
        <v>3818.4474999999998</v>
      </c>
      <c r="CX43" s="493"/>
    </row>
    <row r="44" spans="1:102" s="5" customFormat="1">
      <c r="A44" s="12"/>
      <c r="B44" s="308"/>
      <c r="C44" s="308"/>
      <c r="D44" s="308"/>
      <c r="E44" s="308"/>
      <c r="F44" s="308"/>
      <c r="G44" s="308"/>
      <c r="H44" s="308"/>
      <c r="I44" s="40"/>
      <c r="J44" s="40"/>
      <c r="K44" s="40"/>
      <c r="L44" s="40"/>
      <c r="M44" s="40"/>
      <c r="N44" s="308"/>
      <c r="O44" s="308"/>
      <c r="P44" s="308"/>
      <c r="Q44" s="308"/>
      <c r="R44" s="308"/>
      <c r="S44" s="308"/>
      <c r="T44" s="308"/>
      <c r="U44" s="308"/>
      <c r="V44" s="308"/>
      <c r="X44" s="308"/>
      <c r="Y44" s="308"/>
      <c r="Z44" s="308"/>
      <c r="AA44" s="308"/>
      <c r="AB44" s="308"/>
      <c r="AC44" s="308"/>
      <c r="AD44" s="308"/>
      <c r="AE44" s="308"/>
      <c r="AF44" s="308"/>
      <c r="AG44" s="308"/>
      <c r="AH44" s="308"/>
      <c r="AI44" s="308"/>
      <c r="AJ44" s="308"/>
      <c r="AK44" s="308"/>
      <c r="AL44" s="308"/>
      <c r="AM44" s="308"/>
      <c r="AN44" s="308"/>
      <c r="AO44" s="308"/>
      <c r="AP44" s="308"/>
      <c r="AQ44" s="308"/>
      <c r="AR44" s="308"/>
      <c r="AS44" s="308"/>
      <c r="AT44" s="308"/>
      <c r="AU44" s="318"/>
      <c r="AV44" s="308"/>
      <c r="AW44" s="308"/>
      <c r="AX44" s="308"/>
      <c r="AY44" s="318"/>
      <c r="AZ44" s="40"/>
      <c r="BA44" s="108"/>
      <c r="BB44" s="40"/>
      <c r="BC44" s="108"/>
      <c r="BD44" s="40"/>
      <c r="BE44" s="40"/>
      <c r="BF44" s="40"/>
      <c r="BG44" s="108"/>
      <c r="BH44" s="40"/>
      <c r="BI44" s="40"/>
      <c r="BJ44" s="40"/>
      <c r="BK44" s="108"/>
      <c r="BL44" s="40"/>
      <c r="BM44" s="308"/>
      <c r="BN44" s="308"/>
      <c r="BO44" s="318"/>
      <c r="BP44" s="314"/>
      <c r="BQ44" s="308"/>
      <c r="BR44" s="308"/>
      <c r="BS44" s="318"/>
      <c r="BT44" s="318"/>
      <c r="BU44" s="318"/>
      <c r="BV44" s="318"/>
      <c r="BW44" s="318"/>
      <c r="BX44" s="318"/>
      <c r="BY44" s="318"/>
      <c r="BZ44" s="318"/>
      <c r="CA44" s="318"/>
      <c r="CB44" s="318"/>
      <c r="CC44" s="318"/>
      <c r="CD44" s="318"/>
      <c r="CE44" s="318"/>
      <c r="CF44" s="318"/>
      <c r="CG44" s="318"/>
      <c r="CH44" s="318"/>
      <c r="CI44" s="318"/>
      <c r="CJ44" s="308"/>
      <c r="CK44" s="308"/>
      <c r="CL44" s="308"/>
      <c r="CM44" s="308"/>
      <c r="CP44" s="26" t="s">
        <v>611</v>
      </c>
      <c r="CR44" s="493">
        <f>+CQ24</f>
        <v>-2459</v>
      </c>
      <c r="CT44" s="493">
        <f>+CR24</f>
        <v>-2725</v>
      </c>
      <c r="CV44" s="493">
        <f>+CS24</f>
        <v>-2771</v>
      </c>
      <c r="CX44" s="493">
        <f>+CT24</f>
        <v>-2709.1482500000002</v>
      </c>
    </row>
    <row r="45" spans="1:102" s="5" customFormat="1">
      <c r="A45" s="1" t="s">
        <v>509</v>
      </c>
      <c r="B45" s="38">
        <f>BCA_Model_Annual!L16</f>
        <v>41.492021276595743</v>
      </c>
      <c r="C45" s="38">
        <f>BCA_Model_Annual!M16</f>
        <v>43.524193548387096</v>
      </c>
      <c r="D45" s="38">
        <f>BCA_Model_Annual!N16</f>
        <v>45.2289156626506</v>
      </c>
      <c r="E45" s="38">
        <f>BCA_Model_Annual!O16</f>
        <v>45.918181818181822</v>
      </c>
      <c r="F45" s="38">
        <f>BCA_Model_Annual!P16</f>
        <v>46.317525773195875</v>
      </c>
      <c r="G45" s="38">
        <f>BCA_Model_Annual!Q16</f>
        <v>45.474323232323236</v>
      </c>
      <c r="H45" s="38">
        <f>BCA_Model_Annual!R16</f>
        <v>45.978163265306129</v>
      </c>
      <c r="I45" s="38">
        <f>BCA_Model_Annual!S16</f>
        <v>46.520604914933841</v>
      </c>
      <c r="J45" s="38">
        <f>BCA_Model_Annual!T16</f>
        <v>50.711724137931036</v>
      </c>
      <c r="K45" s="38">
        <f>BCA_Model_Annual!U16</f>
        <v>51.377952755905511</v>
      </c>
      <c r="L45" s="38">
        <f>BCA_Model_Annual!V16</f>
        <v>53.325217391304342</v>
      </c>
      <c r="M45" s="38">
        <f>BCA_Model_Annual!W16</f>
        <v>40</v>
      </c>
      <c r="N45" s="38">
        <f>BCA_Model_Annual!X16</f>
        <v>40</v>
      </c>
      <c r="O45" s="38">
        <f>BCA_Model_Annual!Y16</f>
        <v>46</v>
      </c>
      <c r="P45" s="38">
        <f>BCA_Model_Annual!Z16</f>
        <v>48.300000000000004</v>
      </c>
      <c r="Q45" s="38">
        <f>BCA_Model_Annual!AA16</f>
        <v>49</v>
      </c>
      <c r="R45" s="38">
        <f>BCA_Model_Annual!AB16</f>
        <v>55.12676056338028</v>
      </c>
      <c r="S45" s="38">
        <f>BCA_Model_Annual!AC16</f>
        <v>55.12676056338028</v>
      </c>
      <c r="T45" s="38">
        <f>BCA_Model_Annual!AD16</f>
        <v>55.12676056338028</v>
      </c>
      <c r="U45" s="38">
        <f>BCA_Model_Annual!AE16</f>
        <v>56.780563380281691</v>
      </c>
      <c r="V45" s="38">
        <f>BCA_Model_Annual!AF16</f>
        <v>58.483980281690144</v>
      </c>
      <c r="X45" s="38">
        <f>BCA_Model_Annual!$L$16</f>
        <v>41.492021276595743</v>
      </c>
      <c r="Y45" s="23">
        <f t="shared" ref="Y45:AA46" si="156">X45</f>
        <v>41.492021276595743</v>
      </c>
      <c r="Z45" s="23">
        <f t="shared" si="156"/>
        <v>41.492021276595743</v>
      </c>
      <c r="AA45" s="23">
        <f t="shared" si="156"/>
        <v>41.492021276595743</v>
      </c>
      <c r="AB45" s="38">
        <f>BCA_Model_Annual!$M$16</f>
        <v>43.524193548387096</v>
      </c>
      <c r="AC45" s="23">
        <f t="shared" ref="AC45:AE46" si="157">AB45</f>
        <v>43.524193548387096</v>
      </c>
      <c r="AD45" s="23">
        <f t="shared" si="157"/>
        <v>43.524193548387096</v>
      </c>
      <c r="AE45" s="23">
        <f t="shared" si="157"/>
        <v>43.524193548387096</v>
      </c>
      <c r="AF45" s="38">
        <f>BCA_Model_Annual!$N$16</f>
        <v>45.2289156626506</v>
      </c>
      <c r="AG45" s="23">
        <f t="shared" ref="AG45:AI46" si="158">AF45</f>
        <v>45.2289156626506</v>
      </c>
      <c r="AH45" s="23">
        <f t="shared" si="158"/>
        <v>45.2289156626506</v>
      </c>
      <c r="AI45" s="23">
        <f t="shared" si="158"/>
        <v>45.2289156626506</v>
      </c>
      <c r="AJ45" s="38">
        <f>BCA_Model_Annual!$O$16</f>
        <v>45.918181818181822</v>
      </c>
      <c r="AK45" s="23">
        <f t="shared" ref="AK45:AM46" si="159">AJ45</f>
        <v>45.918181818181822</v>
      </c>
      <c r="AL45" s="23">
        <f t="shared" si="159"/>
        <v>45.918181818181822</v>
      </c>
      <c r="AM45" s="23">
        <f t="shared" si="159"/>
        <v>45.918181818181822</v>
      </c>
      <c r="AN45" s="38">
        <f>BCA_Model_Annual!$P$16</f>
        <v>46.317525773195875</v>
      </c>
      <c r="AO45" s="23">
        <f t="shared" ref="AO45:AQ46" si="160">AN45</f>
        <v>46.317525773195875</v>
      </c>
      <c r="AP45" s="23">
        <f t="shared" si="160"/>
        <v>46.317525773195875</v>
      </c>
      <c r="AQ45" s="23">
        <f t="shared" si="160"/>
        <v>46.317525773195875</v>
      </c>
      <c r="AR45" s="38">
        <f>BCA_Model_Annual!$Q$16</f>
        <v>45.474323232323236</v>
      </c>
      <c r="AS45" s="23">
        <f t="shared" ref="AS45:AU46" si="161">AR45</f>
        <v>45.474323232323236</v>
      </c>
      <c r="AT45" s="23">
        <f t="shared" si="161"/>
        <v>45.474323232323236</v>
      </c>
      <c r="AU45" s="23">
        <f t="shared" si="161"/>
        <v>45.474323232323236</v>
      </c>
      <c r="AV45" s="38">
        <f>BCA_Model_Annual!$R$16</f>
        <v>45.978163265306129</v>
      </c>
      <c r="AW45" s="23">
        <f t="shared" ref="AW45:AY46" si="162">AV45</f>
        <v>45.978163265306129</v>
      </c>
      <c r="AX45" s="23">
        <f t="shared" si="162"/>
        <v>45.978163265306129</v>
      </c>
      <c r="AY45" s="23">
        <f t="shared" si="162"/>
        <v>45.978163265306129</v>
      </c>
      <c r="AZ45" s="38">
        <f>BCA_Model_Annual!$S$16</f>
        <v>46.520604914933841</v>
      </c>
      <c r="BA45" s="23">
        <f t="shared" ref="BA45:BC46" si="163">AZ45</f>
        <v>46.520604914933841</v>
      </c>
      <c r="BB45" s="23">
        <f t="shared" si="163"/>
        <v>46.520604914933841</v>
      </c>
      <c r="BC45" s="23">
        <f t="shared" si="163"/>
        <v>46.520604914933841</v>
      </c>
      <c r="BD45" s="38">
        <f>BCA_Model_Annual!$T$16</f>
        <v>50.711724137931036</v>
      </c>
      <c r="BE45" s="23">
        <f t="shared" ref="BE45:BG46" si="164">BD45</f>
        <v>50.711724137931036</v>
      </c>
      <c r="BF45" s="23">
        <f t="shared" si="164"/>
        <v>50.711724137931036</v>
      </c>
      <c r="BG45" s="23">
        <f t="shared" si="164"/>
        <v>50.711724137931036</v>
      </c>
      <c r="BH45" s="38">
        <f>BCA_Model_Annual!$U$16</f>
        <v>51.377952755905511</v>
      </c>
      <c r="BI45" s="23">
        <f t="shared" ref="BI45:BK46" si="165">BH45</f>
        <v>51.377952755905511</v>
      </c>
      <c r="BJ45" s="23">
        <f t="shared" si="165"/>
        <v>51.377952755905511</v>
      </c>
      <c r="BK45" s="23">
        <f t="shared" si="165"/>
        <v>51.377952755905511</v>
      </c>
      <c r="BL45" s="38">
        <f>BCA_Model_Annual!$V$16</f>
        <v>53.325217391304342</v>
      </c>
      <c r="BM45" s="23">
        <f t="shared" ref="BM45:BO46" si="166">BL45</f>
        <v>53.325217391304342</v>
      </c>
      <c r="BN45" s="23">
        <f t="shared" si="166"/>
        <v>53.325217391304342</v>
      </c>
      <c r="BO45" s="23">
        <f t="shared" si="166"/>
        <v>53.325217391304342</v>
      </c>
      <c r="BP45" s="38">
        <f>BCA_Model_Annual!$W$16</f>
        <v>40</v>
      </c>
      <c r="BQ45" s="23">
        <f t="shared" ref="BQ45:BS46" si="167">BP45</f>
        <v>40</v>
      </c>
      <c r="BR45" s="23">
        <f t="shared" si="167"/>
        <v>40</v>
      </c>
      <c r="BS45" s="23">
        <f t="shared" si="167"/>
        <v>40</v>
      </c>
      <c r="BT45" s="23">
        <f t="shared" ref="BT45:CA46" si="168">BS45</f>
        <v>40</v>
      </c>
      <c r="BU45" s="23">
        <f t="shared" si="168"/>
        <v>40</v>
      </c>
      <c r="BV45" s="23">
        <f t="shared" si="168"/>
        <v>40</v>
      </c>
      <c r="BW45" s="23">
        <f t="shared" si="168"/>
        <v>40</v>
      </c>
      <c r="BX45" s="23">
        <f>O45</f>
        <v>46</v>
      </c>
      <c r="BY45" s="23">
        <f t="shared" si="168"/>
        <v>46</v>
      </c>
      <c r="BZ45" s="23">
        <f t="shared" si="168"/>
        <v>46</v>
      </c>
      <c r="CA45" s="23">
        <f t="shared" si="168"/>
        <v>46</v>
      </c>
      <c r="CB45" s="23">
        <f t="shared" ref="CB45:CB46" si="169">CA45</f>
        <v>46</v>
      </c>
      <c r="CC45" s="23">
        <f t="shared" ref="CC45:CC46" si="170">CB45</f>
        <v>46</v>
      </c>
      <c r="CD45" s="23">
        <f t="shared" ref="CD45:CD46" si="171">CC45</f>
        <v>46</v>
      </c>
      <c r="CE45" s="23">
        <f t="shared" ref="CE45:CE46" si="172">CD45</f>
        <v>46</v>
      </c>
      <c r="CF45" s="559">
        <f>Q45</f>
        <v>49</v>
      </c>
      <c r="CG45" s="559">
        <f>CF45</f>
        <v>49</v>
      </c>
      <c r="CH45" s="559">
        <f t="shared" ref="CH45:CI45" si="173">CG45</f>
        <v>49</v>
      </c>
      <c r="CI45" s="559">
        <f t="shared" si="173"/>
        <v>49</v>
      </c>
      <c r="CJ45" s="566">
        <f>$R45</f>
        <v>55.12676056338028</v>
      </c>
      <c r="CK45" s="566">
        <f t="shared" ref="CK45:CM46" si="174">$R45</f>
        <v>55.12676056338028</v>
      </c>
      <c r="CL45" s="566">
        <f t="shared" si="174"/>
        <v>55.12676056338028</v>
      </c>
      <c r="CM45" s="566">
        <f t="shared" si="174"/>
        <v>55.12676056338028</v>
      </c>
      <c r="CP45" s="26" t="s">
        <v>608</v>
      </c>
      <c r="CR45" s="493">
        <f>+CQ25</f>
        <v>-237</v>
      </c>
      <c r="CT45" s="493">
        <f>+CR25</f>
        <v>381</v>
      </c>
      <c r="CV45" s="493">
        <f>+CS25</f>
        <v>-397</v>
      </c>
      <c r="CX45" s="493">
        <f>+CT25</f>
        <v>-52.784550525461512</v>
      </c>
    </row>
    <row r="46" spans="1:102" s="5" customFormat="1">
      <c r="A46" s="1" t="s">
        <v>12</v>
      </c>
      <c r="B46" s="315">
        <f>BCA_Model_Annual!L35+B163</f>
        <v>0.17685596989394459</v>
      </c>
      <c r="C46" s="315">
        <f>BCA_Model_Annual!M35+C163</f>
        <v>0.17436895322615842</v>
      </c>
      <c r="D46" s="315">
        <f>BCA_Model_Annual!N35+D163</f>
        <v>0.20216700531224754</v>
      </c>
      <c r="E46" s="315">
        <f>BCA_Model_Annual!O35+E163</f>
        <v>0.24128764877688375</v>
      </c>
      <c r="F46" s="315">
        <f>BCA_Model_Annual!P35+F163</f>
        <v>0.25099997796434631</v>
      </c>
      <c r="G46" s="315">
        <f>BCA_Model_Annual!Q35+G163</f>
        <v>0.23907110306511017</v>
      </c>
      <c r="H46" s="315">
        <f>BCA_Model_Annual!R35+H163</f>
        <v>0.24019646614712756</v>
      </c>
      <c r="I46" s="315">
        <f>BCA_Model_Annual!S35+I163</f>
        <v>0.24177543747672997</v>
      </c>
      <c r="J46" s="315">
        <f>BCA_Model_Annual!T35+J163</f>
        <v>0.24090440732939769</v>
      </c>
      <c r="K46" s="315">
        <f>BCA_Model_Annual!U35+K163</f>
        <v>0.20966339685732571</v>
      </c>
      <c r="L46" s="402">
        <f>BCA_Model_Annual!V35+L163</f>
        <v>0.13861893462636268</v>
      </c>
      <c r="M46" s="402">
        <f>BCA_Model_Annual!W35+M163</f>
        <v>8.4421860450181421E-2</v>
      </c>
      <c r="N46" s="402">
        <f>BCA_Model_Annual!X35+N163</f>
        <v>5.4711145808311316E-2</v>
      </c>
      <c r="O46" s="402">
        <f>BCA_Model_Annual!Y35+O163</f>
        <v>3.3922153379438005E-2</v>
      </c>
      <c r="P46" s="402">
        <f>BCA_Model_Annual!Z35+P163</f>
        <v>-0.11239803358539924</v>
      </c>
      <c r="Q46" s="402">
        <f>BCA_Model_Annual!AA35+Q163</f>
        <v>-3.3169746152040505E-2</v>
      </c>
      <c r="R46" s="402">
        <f>BCA_Model_Annual!AB35+R163</f>
        <v>-2.4203375070428326E-2</v>
      </c>
      <c r="S46" s="402">
        <f>BCA_Model_Annual!AC35+S163</f>
        <v>0.16328768637428515</v>
      </c>
      <c r="T46" s="402">
        <f>BCA_Model_Annual!AD35+T163</f>
        <v>0.19560691935863506</v>
      </c>
      <c r="U46" s="402">
        <f>BCA_Model_Annual!AE35+U163</f>
        <v>0.17</v>
      </c>
      <c r="V46" s="402">
        <f>BCA_Model_Annual!AF35+V163</f>
        <v>0.17</v>
      </c>
      <c r="X46" s="182">
        <f>BCA_Model_Annual!$L$35+X163</f>
        <v>0.17685596989394459</v>
      </c>
      <c r="Y46" s="319">
        <f t="shared" si="156"/>
        <v>0.17685596989394459</v>
      </c>
      <c r="Z46" s="319">
        <f t="shared" si="156"/>
        <v>0.17685596989394459</v>
      </c>
      <c r="AA46" s="319">
        <f t="shared" si="156"/>
        <v>0.17685596989394459</v>
      </c>
      <c r="AB46" s="182">
        <f>BCA_Model_Annual!$M$35+AB163</f>
        <v>0.17436895322615842</v>
      </c>
      <c r="AC46" s="319">
        <f t="shared" si="157"/>
        <v>0.17436895322615842</v>
      </c>
      <c r="AD46" s="319">
        <f t="shared" si="157"/>
        <v>0.17436895322615842</v>
      </c>
      <c r="AE46" s="319">
        <f t="shared" si="157"/>
        <v>0.17436895322615842</v>
      </c>
      <c r="AF46" s="182">
        <f>BCA_Model_Annual!$N$35+AF163</f>
        <v>0.20216700531224754</v>
      </c>
      <c r="AG46" s="319">
        <f t="shared" si="158"/>
        <v>0.20216700531224754</v>
      </c>
      <c r="AH46" s="319">
        <f t="shared" si="158"/>
        <v>0.20216700531224754</v>
      </c>
      <c r="AI46" s="319">
        <f t="shared" si="158"/>
        <v>0.20216700531224754</v>
      </c>
      <c r="AJ46" s="182">
        <f>BCA_Model_Annual!$O$35+AJ163</f>
        <v>0.24128764877688375</v>
      </c>
      <c r="AK46" s="319">
        <f t="shared" si="159"/>
        <v>0.24128764877688375</v>
      </c>
      <c r="AL46" s="319">
        <f t="shared" si="159"/>
        <v>0.24128764877688375</v>
      </c>
      <c r="AM46" s="319">
        <f t="shared" si="159"/>
        <v>0.24128764877688375</v>
      </c>
      <c r="AN46" s="182">
        <f>BCA_Model_Annual!$P$35+AN163</f>
        <v>0.25099997796434631</v>
      </c>
      <c r="AO46" s="319">
        <f t="shared" si="160"/>
        <v>0.25099997796434631</v>
      </c>
      <c r="AP46" s="319">
        <f t="shared" si="160"/>
        <v>0.25099997796434631</v>
      </c>
      <c r="AQ46" s="319">
        <f t="shared" si="160"/>
        <v>0.25099997796434631</v>
      </c>
      <c r="AR46" s="182">
        <f>BCA_Model_Annual!$Q$35+AR163</f>
        <v>0.23907110306511017</v>
      </c>
      <c r="AS46" s="319">
        <f t="shared" si="161"/>
        <v>0.23907110306511017</v>
      </c>
      <c r="AT46" s="319">
        <f t="shared" si="161"/>
        <v>0.23907110306511017</v>
      </c>
      <c r="AU46" s="319">
        <f t="shared" si="161"/>
        <v>0.23907110306511017</v>
      </c>
      <c r="AV46" s="182">
        <f>BCA_Model_Annual!$R$35+AV163</f>
        <v>0.24019646614712756</v>
      </c>
      <c r="AW46" s="319">
        <f t="shared" si="162"/>
        <v>0.24019646614712756</v>
      </c>
      <c r="AX46" s="319">
        <f t="shared" si="162"/>
        <v>0.24019646614712756</v>
      </c>
      <c r="AY46" s="319">
        <f t="shared" si="162"/>
        <v>0.24019646614712756</v>
      </c>
      <c r="AZ46" s="182">
        <f>BCA_Model_Annual!$S$35+AZ163</f>
        <v>0.24177543747672997</v>
      </c>
      <c r="BA46" s="319">
        <f t="shared" si="163"/>
        <v>0.24177543747672997</v>
      </c>
      <c r="BB46" s="319">
        <f t="shared" si="163"/>
        <v>0.24177543747672997</v>
      </c>
      <c r="BC46" s="319">
        <f t="shared" si="163"/>
        <v>0.24177543747672997</v>
      </c>
      <c r="BD46" s="182">
        <f>BCA_Model_Annual!$T$35+BD163</f>
        <v>0.24090440732939769</v>
      </c>
      <c r="BE46" s="319">
        <f t="shared" si="164"/>
        <v>0.24090440732939769</v>
      </c>
      <c r="BF46" s="319">
        <f t="shared" si="164"/>
        <v>0.24090440732939769</v>
      </c>
      <c r="BG46" s="319">
        <f t="shared" si="164"/>
        <v>0.24090440732939769</v>
      </c>
      <c r="BH46" s="182">
        <f>BCA_Model_Annual!$U$35+BH163</f>
        <v>0.20966339685732571</v>
      </c>
      <c r="BI46" s="319">
        <f t="shared" si="165"/>
        <v>0.20966339685732571</v>
      </c>
      <c r="BJ46" s="319">
        <f t="shared" si="165"/>
        <v>0.20966339685732571</v>
      </c>
      <c r="BK46" s="319">
        <f t="shared" si="165"/>
        <v>0.20966339685732571</v>
      </c>
      <c r="BL46" s="182">
        <f>BCA_Model_Annual!$V$35+BL163</f>
        <v>0.13861893462636268</v>
      </c>
      <c r="BM46" s="319">
        <f t="shared" si="166"/>
        <v>0.13861893462636268</v>
      </c>
      <c r="BN46" s="319">
        <f t="shared" si="166"/>
        <v>0.13861893462636268</v>
      </c>
      <c r="BO46" s="319">
        <f t="shared" si="166"/>
        <v>0.13861893462636268</v>
      </c>
      <c r="BP46" s="182">
        <f>BCA_Model_Annual!$W$35+BP163</f>
        <v>8.4421860450181421E-2</v>
      </c>
      <c r="BQ46" s="319">
        <f t="shared" si="167"/>
        <v>8.4421860450181421E-2</v>
      </c>
      <c r="BR46" s="319">
        <f t="shared" si="167"/>
        <v>8.4421860450181421E-2</v>
      </c>
      <c r="BS46" s="319">
        <f t="shared" si="167"/>
        <v>8.4421860450181421E-2</v>
      </c>
      <c r="BT46" s="319">
        <f t="shared" si="168"/>
        <v>8.4421860450181421E-2</v>
      </c>
      <c r="BU46" s="319">
        <f t="shared" si="168"/>
        <v>8.4421860450181421E-2</v>
      </c>
      <c r="BV46" s="319">
        <f t="shared" si="168"/>
        <v>8.4421860450181421E-2</v>
      </c>
      <c r="BW46" s="319">
        <f t="shared" si="168"/>
        <v>8.4421860450181421E-2</v>
      </c>
      <c r="BX46" s="319">
        <f>O46</f>
        <v>3.3922153379438005E-2</v>
      </c>
      <c r="BY46" s="319">
        <f t="shared" si="168"/>
        <v>3.3922153379438005E-2</v>
      </c>
      <c r="BZ46" s="319">
        <f t="shared" si="168"/>
        <v>3.3922153379438005E-2</v>
      </c>
      <c r="CA46" s="319">
        <f t="shared" si="168"/>
        <v>3.3922153379438005E-2</v>
      </c>
      <c r="CB46" s="319">
        <f t="shared" si="169"/>
        <v>3.3922153379438005E-2</v>
      </c>
      <c r="CC46" s="319">
        <f t="shared" si="170"/>
        <v>3.3922153379438005E-2</v>
      </c>
      <c r="CD46" s="319">
        <f t="shared" si="171"/>
        <v>3.3922153379438005E-2</v>
      </c>
      <c r="CE46" s="319">
        <f t="shared" si="172"/>
        <v>3.3922153379438005E-2</v>
      </c>
      <c r="CF46" s="315">
        <f>Q46</f>
        <v>-3.3169746152040505E-2</v>
      </c>
      <c r="CG46" s="315">
        <f>CF46</f>
        <v>-3.3169746152040505E-2</v>
      </c>
      <c r="CH46" s="315">
        <f t="shared" ref="CH46:CI46" si="175">CG46</f>
        <v>-3.3169746152040505E-2</v>
      </c>
      <c r="CI46" s="315">
        <f t="shared" si="175"/>
        <v>-3.3169746152040505E-2</v>
      </c>
      <c r="CJ46" s="567">
        <f>$R46</f>
        <v>-2.4203375070428326E-2</v>
      </c>
      <c r="CK46" s="567">
        <f t="shared" si="174"/>
        <v>-2.4203375070428326E-2</v>
      </c>
      <c r="CL46" s="567">
        <f t="shared" si="174"/>
        <v>-2.4203375070428326E-2</v>
      </c>
      <c r="CM46" s="567">
        <f t="shared" si="174"/>
        <v>-2.4203375070428326E-2</v>
      </c>
      <c r="CP46" s="26" t="s">
        <v>614</v>
      </c>
      <c r="CQ46" s="493">
        <f>+CQ26</f>
        <v>524</v>
      </c>
      <c r="CR46" s="493"/>
      <c r="CS46" s="493">
        <f>+CR26</f>
        <v>279</v>
      </c>
      <c r="CT46" s="493"/>
      <c r="CU46" s="493">
        <f>+CS26</f>
        <v>-861</v>
      </c>
      <c r="CV46" s="493"/>
      <c r="CW46" s="493">
        <f>+CT26</f>
        <v>-383.7292287770785</v>
      </c>
      <c r="CX46" s="493"/>
    </row>
    <row r="47" spans="1:102" s="5" customFormat="1">
      <c r="A47" s="12" t="s">
        <v>510</v>
      </c>
      <c r="B47" s="108">
        <f>IF(B46&gt;0,(B45/(1+B46)),B45)</f>
        <v>35.256668902597241</v>
      </c>
      <c r="C47" s="108">
        <f t="shared" ref="C47:V47" si="176">IF(C46&gt;0,(C45/(1+C46)),B47)</f>
        <v>37.061771284756766</v>
      </c>
      <c r="D47" s="108">
        <f t="shared" si="176"/>
        <v>37.622822338983568</v>
      </c>
      <c r="E47" s="108">
        <f t="shared" si="176"/>
        <v>36.992377925799708</v>
      </c>
      <c r="F47" s="108">
        <f t="shared" si="176"/>
        <v>37.02440174984234</v>
      </c>
      <c r="G47" s="108">
        <f t="shared" si="176"/>
        <v>36.700333919363196</v>
      </c>
      <c r="H47" s="108">
        <f t="shared" si="176"/>
        <v>37.073290015206048</v>
      </c>
      <c r="I47" s="108">
        <f t="shared" si="176"/>
        <v>37.462977210648525</v>
      </c>
      <c r="J47" s="108">
        <f t="shared" si="176"/>
        <v>40.866745124283874</v>
      </c>
      <c r="K47" s="108">
        <f t="shared" si="176"/>
        <v>42.472933288205724</v>
      </c>
      <c r="L47" s="108">
        <f t="shared" si="176"/>
        <v>46.83324312431445</v>
      </c>
      <c r="M47" s="108">
        <f t="shared" si="176"/>
        <v>36.886014067804389</v>
      </c>
      <c r="N47" s="108">
        <f t="shared" si="176"/>
        <v>37.925075655993687</v>
      </c>
      <c r="O47" s="108">
        <f t="shared" si="176"/>
        <v>44.490777037368019</v>
      </c>
      <c r="P47" s="108">
        <f t="shared" si="176"/>
        <v>44.490777037368019</v>
      </c>
      <c r="Q47" s="108">
        <f t="shared" si="176"/>
        <v>44.490777037368019</v>
      </c>
      <c r="R47" s="108">
        <f t="shared" si="176"/>
        <v>44.490777037368019</v>
      </c>
      <c r="S47" s="108">
        <f t="shared" si="176"/>
        <v>47.388759641390521</v>
      </c>
      <c r="T47" s="108">
        <f t="shared" si="176"/>
        <v>46.107763070618709</v>
      </c>
      <c r="U47" s="108">
        <f t="shared" si="176"/>
        <v>48.530396051522814</v>
      </c>
      <c r="V47" s="108">
        <f t="shared" si="176"/>
        <v>49.986307933068503</v>
      </c>
      <c r="X47" s="314">
        <f>IF(X46&gt;0,(X45/(1+X46)),Y47)</f>
        <v>35.256668902597241</v>
      </c>
      <c r="Y47" s="314">
        <f t="shared" ref="Y47:BN47" si="177">IF(Y46&gt;0,(Y45/(1+Y46)),X47)</f>
        <v>35.256668902597241</v>
      </c>
      <c r="Z47" s="314">
        <f t="shared" si="177"/>
        <v>35.256668902597241</v>
      </c>
      <c r="AA47" s="314">
        <f t="shared" si="177"/>
        <v>35.256668902597241</v>
      </c>
      <c r="AB47" s="314">
        <f t="shared" si="177"/>
        <v>37.061771284756766</v>
      </c>
      <c r="AC47" s="314">
        <f t="shared" si="177"/>
        <v>37.061771284756766</v>
      </c>
      <c r="AD47" s="314">
        <f t="shared" si="177"/>
        <v>37.061771284756766</v>
      </c>
      <c r="AE47" s="314">
        <f t="shared" si="177"/>
        <v>37.061771284756766</v>
      </c>
      <c r="AF47" s="314">
        <f t="shared" si="177"/>
        <v>37.622822338983568</v>
      </c>
      <c r="AG47" s="314">
        <f t="shared" si="177"/>
        <v>37.622822338983568</v>
      </c>
      <c r="AH47" s="314">
        <f t="shared" si="177"/>
        <v>37.622822338983568</v>
      </c>
      <c r="AI47" s="314">
        <f t="shared" si="177"/>
        <v>37.622822338983568</v>
      </c>
      <c r="AJ47" s="314">
        <f t="shared" si="177"/>
        <v>36.992377925799708</v>
      </c>
      <c r="AK47" s="314">
        <f t="shared" si="177"/>
        <v>36.992377925799708</v>
      </c>
      <c r="AL47" s="314">
        <f t="shared" si="177"/>
        <v>36.992377925799708</v>
      </c>
      <c r="AM47" s="314">
        <f t="shared" si="177"/>
        <v>36.992377925799708</v>
      </c>
      <c r="AN47" s="314">
        <f t="shared" si="177"/>
        <v>37.02440174984234</v>
      </c>
      <c r="AO47" s="314">
        <f t="shared" si="177"/>
        <v>37.02440174984234</v>
      </c>
      <c r="AP47" s="314">
        <f t="shared" si="177"/>
        <v>37.02440174984234</v>
      </c>
      <c r="AQ47" s="314">
        <f t="shared" si="177"/>
        <v>37.02440174984234</v>
      </c>
      <c r="AR47" s="314">
        <f t="shared" si="177"/>
        <v>36.700333919363196</v>
      </c>
      <c r="AS47" s="314">
        <f t="shared" si="177"/>
        <v>36.700333919363196</v>
      </c>
      <c r="AT47" s="314">
        <f t="shared" si="177"/>
        <v>36.700333919363196</v>
      </c>
      <c r="AU47" s="314">
        <f t="shared" si="177"/>
        <v>36.700333919363196</v>
      </c>
      <c r="AV47" s="314">
        <f t="shared" si="177"/>
        <v>37.073290015206048</v>
      </c>
      <c r="AW47" s="314">
        <f t="shared" si="177"/>
        <v>37.073290015206048</v>
      </c>
      <c r="AX47" s="314">
        <f t="shared" si="177"/>
        <v>37.073290015206048</v>
      </c>
      <c r="AY47" s="314">
        <f t="shared" si="177"/>
        <v>37.073290015206048</v>
      </c>
      <c r="AZ47" s="314">
        <f t="shared" si="177"/>
        <v>37.462977210648525</v>
      </c>
      <c r="BA47" s="314">
        <f t="shared" si="177"/>
        <v>37.462977210648525</v>
      </c>
      <c r="BB47" s="314">
        <f t="shared" si="177"/>
        <v>37.462977210648525</v>
      </c>
      <c r="BC47" s="314">
        <f t="shared" si="177"/>
        <v>37.462977210648525</v>
      </c>
      <c r="BD47" s="314">
        <f t="shared" si="177"/>
        <v>40.866745124283874</v>
      </c>
      <c r="BE47" s="314">
        <f t="shared" si="177"/>
        <v>40.866745124283874</v>
      </c>
      <c r="BF47" s="314">
        <f t="shared" si="177"/>
        <v>40.866745124283874</v>
      </c>
      <c r="BG47" s="314">
        <f t="shared" si="177"/>
        <v>40.866745124283874</v>
      </c>
      <c r="BH47" s="314">
        <f t="shared" si="177"/>
        <v>42.472933288205724</v>
      </c>
      <c r="BI47" s="314">
        <f t="shared" si="177"/>
        <v>42.472933288205724</v>
      </c>
      <c r="BJ47" s="314">
        <f t="shared" si="177"/>
        <v>42.472933288205724</v>
      </c>
      <c r="BK47" s="314">
        <f t="shared" si="177"/>
        <v>42.472933288205724</v>
      </c>
      <c r="BL47" s="314">
        <f t="shared" si="177"/>
        <v>46.83324312431445</v>
      </c>
      <c r="BM47" s="314">
        <f t="shared" si="177"/>
        <v>46.83324312431445</v>
      </c>
      <c r="BN47" s="314">
        <f t="shared" si="177"/>
        <v>46.83324312431445</v>
      </c>
      <c r="BO47" s="314">
        <f t="shared" ref="BO47:CA47" si="178">IF(BO46&gt;0,(BO45/(1+BO46)),BN47)</f>
        <v>46.83324312431445</v>
      </c>
      <c r="BP47" s="314">
        <f t="shared" si="178"/>
        <v>36.886014067804389</v>
      </c>
      <c r="BQ47" s="314">
        <f t="shared" si="178"/>
        <v>36.886014067804389</v>
      </c>
      <c r="BR47" s="314">
        <f t="shared" si="178"/>
        <v>36.886014067804389</v>
      </c>
      <c r="BS47" s="314">
        <f t="shared" si="178"/>
        <v>36.886014067804389</v>
      </c>
      <c r="BT47" s="314">
        <f t="shared" si="178"/>
        <v>36.886014067804389</v>
      </c>
      <c r="BU47" s="314">
        <f t="shared" si="178"/>
        <v>36.886014067804389</v>
      </c>
      <c r="BV47" s="314">
        <f t="shared" si="178"/>
        <v>36.886014067804389</v>
      </c>
      <c r="BW47" s="314">
        <f t="shared" si="178"/>
        <v>36.886014067804389</v>
      </c>
      <c r="BX47" s="314">
        <f t="shared" si="178"/>
        <v>44.490777037368019</v>
      </c>
      <c r="BY47" s="314">
        <f t="shared" si="178"/>
        <v>44.490777037368019</v>
      </c>
      <c r="BZ47" s="314">
        <f t="shared" si="178"/>
        <v>44.490777037368019</v>
      </c>
      <c r="CA47" s="314">
        <f t="shared" si="178"/>
        <v>44.490777037368019</v>
      </c>
      <c r="CB47" s="314">
        <f t="shared" ref="CB47" si="179">IF(CB46&gt;0,(CB45/(1+CB46)),CA47)</f>
        <v>44.490777037368019</v>
      </c>
      <c r="CC47" s="314">
        <f t="shared" ref="CC47" si="180">IF(CC46&gt;0,(CC45/(1+CC46)),CB47)</f>
        <v>44.490777037368019</v>
      </c>
      <c r="CD47" s="314">
        <f t="shared" ref="CD47" si="181">IF(CD46&gt;0,(CD45/(1+CD46)),CC47)</f>
        <v>44.490777037368019</v>
      </c>
      <c r="CE47" s="314">
        <f t="shared" ref="CE47" si="182">IF(CE46&gt;0,(CE45/(1+CE46)),CD47)</f>
        <v>44.490777037368019</v>
      </c>
      <c r="CF47" s="314">
        <f>IF(CF46&gt;0,(CF45/(1+CF46)),CE47)</f>
        <v>44.490777037368019</v>
      </c>
      <c r="CG47" s="314">
        <f t="shared" ref="CG47" si="183">IF(CG46&gt;0,(CG45/(1+CG46)),CF47)</f>
        <v>44.490777037368019</v>
      </c>
      <c r="CH47" s="314">
        <f t="shared" ref="CH47" si="184">IF(CH46&gt;0,(CH45/(1+CH46)),CG47)</f>
        <v>44.490777037368019</v>
      </c>
      <c r="CI47" s="314">
        <f t="shared" ref="CI47" si="185">IF(CI46&gt;0,(CI45/(1+CI46)),CH47)</f>
        <v>44.490777037368019</v>
      </c>
      <c r="CJ47" s="108">
        <f t="shared" ref="CJ47" si="186">IF(CJ46&gt;0,(CJ45/(1+CJ46)),CI47)</f>
        <v>44.490777037368019</v>
      </c>
      <c r="CK47" s="108">
        <f t="shared" ref="CK47" si="187">IF(CK46&gt;0,(CK45/(1+CK46)),CJ47)</f>
        <v>44.490777037368019</v>
      </c>
      <c r="CL47" s="108">
        <f t="shared" ref="CL47" si="188">IF(CL46&gt;0,(CL45/(1+CL46)),CK47)</f>
        <v>44.490777037368019</v>
      </c>
      <c r="CM47" s="108">
        <f t="shared" ref="CM47" si="189">IF(CM46&gt;0,(CM45/(1+CM46)),CL47)</f>
        <v>44.490777037368019</v>
      </c>
      <c r="CP47" s="26" t="s">
        <v>612</v>
      </c>
      <c r="CQ47" s="493">
        <f t="shared" ref="CQ47:CQ49" si="190">+CQ28</f>
        <v>1861</v>
      </c>
      <c r="CR47" s="493"/>
      <c r="CS47" s="493">
        <f>+CR28</f>
        <v>1836</v>
      </c>
      <c r="CT47" s="493"/>
      <c r="CU47" s="493">
        <f t="shared" ref="CU47:CU49" si="191">+CS28</f>
        <v>1953</v>
      </c>
      <c r="CV47" s="493"/>
      <c r="CW47" s="493">
        <f t="shared" ref="CW47:CW49" si="192">+CT28</f>
        <v>2073.7350000000001</v>
      </c>
      <c r="CX47" s="493"/>
    </row>
    <row r="48" spans="1:102" s="5" customFormat="1">
      <c r="A48" s="12"/>
      <c r="B48" s="308"/>
      <c r="C48" s="308"/>
      <c r="D48" s="308"/>
      <c r="E48" s="308"/>
      <c r="F48" s="308"/>
      <c r="G48" s="308"/>
      <c r="H48" s="308"/>
      <c r="I48" s="40"/>
      <c r="J48" s="40"/>
      <c r="K48" s="40"/>
      <c r="L48" s="40"/>
      <c r="M48" s="40"/>
      <c r="N48" s="308"/>
      <c r="O48" s="308"/>
      <c r="P48" s="308"/>
      <c r="Q48" s="308"/>
      <c r="R48" s="308"/>
      <c r="S48" s="308"/>
      <c r="T48" s="308"/>
      <c r="U48" s="308"/>
      <c r="V48" s="308"/>
      <c r="X48" s="308"/>
      <c r="Y48" s="308"/>
      <c r="Z48" s="308"/>
      <c r="AA48" s="308"/>
      <c r="AB48" s="308"/>
      <c r="AC48" s="308"/>
      <c r="AD48" s="308"/>
      <c r="AE48" s="308"/>
      <c r="AF48" s="308"/>
      <c r="AG48" s="308"/>
      <c r="AH48" s="308"/>
      <c r="AI48" s="308"/>
      <c r="AJ48" s="308"/>
      <c r="AK48" s="308"/>
      <c r="AL48" s="308"/>
      <c r="AM48" s="308"/>
      <c r="AN48" s="308"/>
      <c r="AO48" s="308"/>
      <c r="AP48" s="308"/>
      <c r="AQ48" s="308"/>
      <c r="AR48" s="308"/>
      <c r="AS48" s="308"/>
      <c r="AT48" s="308"/>
      <c r="AU48" s="318"/>
      <c r="AV48" s="308"/>
      <c r="AW48" s="308"/>
      <c r="AX48" s="308"/>
      <c r="AY48" s="318"/>
      <c r="AZ48" s="40"/>
      <c r="BA48" s="108"/>
      <c r="BB48" s="40"/>
      <c r="BC48" s="108"/>
      <c r="BD48" s="40"/>
      <c r="BE48" s="40"/>
      <c r="BF48" s="40"/>
      <c r="BG48" s="108"/>
      <c r="BH48" s="40"/>
      <c r="BI48" s="40"/>
      <c r="BJ48" s="40"/>
      <c r="BK48" s="108"/>
      <c r="BL48" s="40"/>
      <c r="BM48" s="308"/>
      <c r="BN48" s="308"/>
      <c r="BO48" s="318"/>
      <c r="BP48" s="314"/>
      <c r="BQ48" s="308"/>
      <c r="BR48" s="308"/>
      <c r="BS48" s="318"/>
      <c r="BT48" s="318"/>
      <c r="BU48" s="318"/>
      <c r="BV48" s="318"/>
      <c r="BW48" s="318"/>
      <c r="BX48" s="318"/>
      <c r="BY48" s="318"/>
      <c r="BZ48" s="318"/>
      <c r="CA48" s="318"/>
      <c r="CB48" s="318"/>
      <c r="CC48" s="318"/>
      <c r="CD48" s="318"/>
      <c r="CE48" s="318"/>
      <c r="CF48" s="318"/>
      <c r="CG48" s="318"/>
      <c r="CH48" s="318"/>
      <c r="CI48" s="318"/>
      <c r="CJ48" s="308"/>
      <c r="CK48" s="308"/>
      <c r="CL48" s="308"/>
      <c r="CM48" s="308"/>
      <c r="CP48" s="26" t="s">
        <v>609</v>
      </c>
      <c r="CQ48" s="493">
        <f t="shared" si="190"/>
        <v>2763</v>
      </c>
      <c r="CR48" s="493"/>
      <c r="CS48" s="493">
        <f>+CR29</f>
        <v>-9647</v>
      </c>
      <c r="CT48" s="493"/>
      <c r="CU48" s="493">
        <f t="shared" si="191"/>
        <v>-1666</v>
      </c>
      <c r="CV48" s="493"/>
      <c r="CX48" s="493">
        <f ca="1">+CT29</f>
        <v>803.88120471108095</v>
      </c>
    </row>
    <row r="49" spans="1:102" s="5" customFormat="1">
      <c r="A49" s="12" t="s">
        <v>1</v>
      </c>
      <c r="B49" s="43">
        <v>0</v>
      </c>
      <c r="C49" s="43">
        <v>0</v>
      </c>
      <c r="D49" s="43">
        <v>0</v>
      </c>
      <c r="E49" s="43">
        <v>0</v>
      </c>
      <c r="F49" s="43">
        <v>0</v>
      </c>
      <c r="G49" s="43">
        <v>0</v>
      </c>
      <c r="H49" s="43">
        <v>0</v>
      </c>
      <c r="I49" s="43">
        <v>0</v>
      </c>
      <c r="J49" s="43">
        <v>0</v>
      </c>
      <c r="K49" s="43">
        <v>0</v>
      </c>
      <c r="L49" s="43">
        <v>2188</v>
      </c>
      <c r="M49" s="43">
        <v>2535</v>
      </c>
      <c r="N49" s="72">
        <f>SUM(BT49:BW49)</f>
        <v>1632</v>
      </c>
      <c r="O49" s="72">
        <f>SUM(BX49:CA49)</f>
        <v>2125</v>
      </c>
      <c r="P49" s="72">
        <f>SUM(CB49:CE49)</f>
        <v>1850</v>
      </c>
      <c r="Q49" s="72">
        <f>SUM(CF49:CI49)</f>
        <v>814</v>
      </c>
      <c r="R49" s="562">
        <f t="shared" ref="R49:R50" si="193">SUM(CJ49:CM49)</f>
        <v>0</v>
      </c>
      <c r="S49" s="43">
        <v>0</v>
      </c>
      <c r="T49" s="43">
        <v>0</v>
      </c>
      <c r="U49" s="43">
        <v>0</v>
      </c>
      <c r="V49" s="43">
        <v>0</v>
      </c>
      <c r="X49" s="82">
        <v>0</v>
      </c>
      <c r="Y49" s="82">
        <v>0</v>
      </c>
      <c r="Z49" s="82">
        <v>0</v>
      </c>
      <c r="AA49" s="82">
        <v>0</v>
      </c>
      <c r="AB49" s="82">
        <v>0</v>
      </c>
      <c r="AC49" s="82">
        <v>0</v>
      </c>
      <c r="AD49" s="82">
        <v>0</v>
      </c>
      <c r="AE49" s="82">
        <v>0</v>
      </c>
      <c r="AF49" s="82">
        <v>0</v>
      </c>
      <c r="AG49" s="82">
        <v>0</v>
      </c>
      <c r="AH49" s="82">
        <v>0</v>
      </c>
      <c r="AI49" s="82">
        <v>0</v>
      </c>
      <c r="AJ49" s="82">
        <v>0</v>
      </c>
      <c r="AK49" s="82">
        <v>0</v>
      </c>
      <c r="AL49" s="82">
        <v>0</v>
      </c>
      <c r="AM49" s="82">
        <v>0</v>
      </c>
      <c r="AN49" s="82">
        <v>0</v>
      </c>
      <c r="AO49" s="82">
        <v>0</v>
      </c>
      <c r="AP49" s="82">
        <v>0</v>
      </c>
      <c r="AQ49" s="82">
        <v>0</v>
      </c>
      <c r="AR49" s="82">
        <v>0</v>
      </c>
      <c r="AS49" s="82">
        <v>0</v>
      </c>
      <c r="AT49" s="82">
        <v>0</v>
      </c>
      <c r="AU49" s="82">
        <v>0</v>
      </c>
      <c r="AV49" s="82">
        <v>0</v>
      </c>
      <c r="AW49" s="82">
        <v>0</v>
      </c>
      <c r="AX49" s="82">
        <v>0</v>
      </c>
      <c r="AY49" s="82">
        <v>0</v>
      </c>
      <c r="AZ49" s="82">
        <v>0</v>
      </c>
      <c r="BA49" s="82">
        <v>0</v>
      </c>
      <c r="BB49" s="82">
        <v>0</v>
      </c>
      <c r="BC49" s="82">
        <v>0</v>
      </c>
      <c r="BD49" s="82">
        <v>0</v>
      </c>
      <c r="BE49" s="82">
        <v>0</v>
      </c>
      <c r="BF49" s="82">
        <v>0</v>
      </c>
      <c r="BG49" s="82">
        <v>0</v>
      </c>
      <c r="BH49" s="82">
        <v>0</v>
      </c>
      <c r="BI49" s="82">
        <v>0</v>
      </c>
      <c r="BJ49" s="82">
        <v>0</v>
      </c>
      <c r="BK49" s="82">
        <v>0</v>
      </c>
      <c r="BL49" s="82">
        <v>0</v>
      </c>
      <c r="BM49" s="82">
        <v>0</v>
      </c>
      <c r="BN49" s="82">
        <v>500</v>
      </c>
      <c r="BO49" s="82">
        <v>500</v>
      </c>
      <c r="BP49" s="82">
        <v>1172</v>
      </c>
      <c r="BQ49" s="82">
        <f>1538-BP49</f>
        <v>366</v>
      </c>
      <c r="BR49" s="82">
        <v>1250</v>
      </c>
      <c r="BS49" s="82">
        <v>1000</v>
      </c>
      <c r="BT49" s="82">
        <f>2940-2419</f>
        <v>521</v>
      </c>
      <c r="BU49" s="82">
        <f>2419-2108</f>
        <v>311</v>
      </c>
      <c r="BV49" s="82">
        <v>400</v>
      </c>
      <c r="BW49" s="82">
        <v>400</v>
      </c>
      <c r="BX49" s="82">
        <v>400</v>
      </c>
      <c r="BY49" s="82">
        <f>400+175</f>
        <v>575</v>
      </c>
      <c r="BZ49" s="82">
        <f t="shared" ref="BZ49:CA49" si="194">400+175</f>
        <v>575</v>
      </c>
      <c r="CA49" s="82">
        <f t="shared" si="194"/>
        <v>575</v>
      </c>
      <c r="CB49" s="82">
        <v>250</v>
      </c>
      <c r="CC49" s="82">
        <v>250</v>
      </c>
      <c r="CD49" s="82">
        <v>850</v>
      </c>
      <c r="CE49" s="82">
        <v>500</v>
      </c>
      <c r="CF49" s="82">
        <f>814/4</f>
        <v>203.5</v>
      </c>
      <c r="CG49" s="82">
        <f t="shared" ref="CG49:CI49" si="195">814/4</f>
        <v>203.5</v>
      </c>
      <c r="CH49" s="82">
        <f t="shared" si="195"/>
        <v>203.5</v>
      </c>
      <c r="CI49" s="82">
        <f t="shared" si="195"/>
        <v>203.5</v>
      </c>
      <c r="CJ49" s="43">
        <v>0</v>
      </c>
      <c r="CK49" s="43">
        <v>0</v>
      </c>
      <c r="CL49" s="43">
        <v>0</v>
      </c>
      <c r="CM49" s="43">
        <v>0</v>
      </c>
      <c r="CP49" s="26" t="s">
        <v>613</v>
      </c>
      <c r="CQ49" s="493">
        <f t="shared" si="190"/>
        <v>2252</v>
      </c>
      <c r="CR49" s="493"/>
      <c r="CS49" s="493">
        <f>+CR30</f>
        <v>6681</v>
      </c>
      <c r="CT49" s="493"/>
      <c r="CU49" s="493">
        <f t="shared" si="191"/>
        <v>-2124</v>
      </c>
      <c r="CV49" s="493"/>
      <c r="CW49" s="493">
        <f t="shared" si="192"/>
        <v>2925</v>
      </c>
      <c r="CX49" s="493"/>
    </row>
    <row r="50" spans="1:102" s="5" customFormat="1">
      <c r="A50" s="1" t="s">
        <v>645</v>
      </c>
      <c r="B50" s="308"/>
      <c r="C50" s="308"/>
      <c r="D50" s="308"/>
      <c r="E50" s="308"/>
      <c r="F50" s="308"/>
      <c r="G50" s="308"/>
      <c r="H50" s="308"/>
      <c r="I50" s="40"/>
      <c r="J50" s="40"/>
      <c r="K50" s="40"/>
      <c r="L50" s="40"/>
      <c r="M50" s="43"/>
      <c r="N50" s="308"/>
      <c r="O50" s="308"/>
      <c r="P50" s="72">
        <f>SUM(CB50:CE50)</f>
        <v>6800.74567708205</v>
      </c>
      <c r="Q50" s="72">
        <f>SUM(CF50:CI50)</f>
        <v>1225</v>
      </c>
      <c r="R50" s="562">
        <f t="shared" si="193"/>
        <v>-2800</v>
      </c>
      <c r="S50" s="422">
        <v>0</v>
      </c>
      <c r="T50" s="422">
        <v>0</v>
      </c>
      <c r="U50" s="422">
        <v>0</v>
      </c>
      <c r="V50" s="422">
        <v>0</v>
      </c>
      <c r="X50" s="308"/>
      <c r="Y50" s="308"/>
      <c r="Z50" s="308"/>
      <c r="AA50" s="308"/>
      <c r="AB50" s="308"/>
      <c r="AC50" s="308"/>
      <c r="AD50" s="308"/>
      <c r="AE50" s="308"/>
      <c r="AF50" s="308"/>
      <c r="AG50" s="308"/>
      <c r="AH50" s="308"/>
      <c r="AI50" s="308"/>
      <c r="AJ50" s="308"/>
      <c r="AK50" s="308"/>
      <c r="AL50" s="308"/>
      <c r="AM50" s="308"/>
      <c r="AN50" s="308"/>
      <c r="AO50" s="308"/>
      <c r="AP50" s="308"/>
      <c r="AQ50" s="308"/>
      <c r="AR50" s="308"/>
      <c r="AS50" s="308"/>
      <c r="AT50" s="308"/>
      <c r="AU50" s="308"/>
      <c r="AV50" s="308"/>
      <c r="AW50" s="308"/>
      <c r="AX50" s="308"/>
      <c r="AY50" s="308"/>
      <c r="AZ50" s="308"/>
      <c r="BA50" s="308"/>
      <c r="BB50" s="308"/>
      <c r="BC50" s="308"/>
      <c r="BD50" s="308"/>
      <c r="BE50" s="308"/>
      <c r="BF50" s="308"/>
      <c r="BG50" s="308"/>
      <c r="BH50" s="308"/>
      <c r="BI50" s="308"/>
      <c r="BJ50" s="308"/>
      <c r="BK50" s="308"/>
      <c r="BL50" s="308"/>
      <c r="BM50" s="308"/>
      <c r="BN50" s="308"/>
      <c r="BO50" s="308"/>
      <c r="BP50" s="308"/>
      <c r="BQ50" s="308"/>
      <c r="BR50" s="308"/>
      <c r="BS50" s="308"/>
      <c r="BT50" s="308"/>
      <c r="BU50" s="308"/>
      <c r="BV50" s="308"/>
      <c r="BW50" s="308"/>
      <c r="BX50" s="308"/>
      <c r="BY50" s="308"/>
      <c r="BZ50" s="308"/>
      <c r="CA50" s="308"/>
      <c r="CB50" s="537">
        <f>((35*3-CB41)*CB47)</f>
        <v>2891.9005074289212</v>
      </c>
      <c r="CC50" s="537">
        <f>((31*3-CC41)*CC47)</f>
        <v>1779.6310814947208</v>
      </c>
      <c r="CD50" s="537">
        <f t="shared" ref="CD50" si="196">((31*3-CD41)*CD47)</f>
        <v>1379.2140881584087</v>
      </c>
      <c r="CE50" s="537">
        <v>750</v>
      </c>
      <c r="CF50" s="537">
        <v>375</v>
      </c>
      <c r="CG50" s="537">
        <v>350</v>
      </c>
      <c r="CH50" s="537">
        <v>250</v>
      </c>
      <c r="CI50" s="537">
        <v>250</v>
      </c>
      <c r="CJ50" s="422">
        <v>-300</v>
      </c>
      <c r="CK50" s="422">
        <v>-500</v>
      </c>
      <c r="CL50" s="422">
        <v>-1000</v>
      </c>
      <c r="CM50" s="422">
        <v>-1000</v>
      </c>
      <c r="CP50" s="97" t="s">
        <v>140</v>
      </c>
      <c r="CQ50" s="493"/>
      <c r="CR50" s="493">
        <f>+CQ35</f>
        <v>-1527</v>
      </c>
      <c r="CS50" s="493"/>
      <c r="CT50" s="493">
        <f>+CR35</f>
        <v>-2230</v>
      </c>
      <c r="CU50" s="493"/>
      <c r="CV50" s="493">
        <f>CS35</f>
        <v>-2942</v>
      </c>
      <c r="CW50" s="493"/>
      <c r="CX50" s="493">
        <f>CT35</f>
        <v>-4058.3996098321868</v>
      </c>
    </row>
    <row r="51" spans="1:102" s="5" customFormat="1">
      <c r="A51" s="362" t="s">
        <v>544</v>
      </c>
      <c r="B51" s="363">
        <f t="shared" ref="B51:L51" si="197">B43*B47+B49</f>
        <v>70.513337805194482</v>
      </c>
      <c r="C51" s="363">
        <f t="shared" si="197"/>
        <v>222.37062770854061</v>
      </c>
      <c r="D51" s="363">
        <f t="shared" si="197"/>
        <v>188.11411169491782</v>
      </c>
      <c r="E51" s="363">
        <f t="shared" si="197"/>
        <v>591.87804681279533</v>
      </c>
      <c r="F51" s="363">
        <f t="shared" si="197"/>
        <v>259.17081224889637</v>
      </c>
      <c r="G51" s="363">
        <f t="shared" si="197"/>
        <v>330.30300527426874</v>
      </c>
      <c r="H51" s="363">
        <f t="shared" si="197"/>
        <v>519.02606021288466</v>
      </c>
      <c r="I51" s="363">
        <f t="shared" si="197"/>
        <v>187.31488605324262</v>
      </c>
      <c r="J51" s="363">
        <f t="shared" si="197"/>
        <v>572.13443173997427</v>
      </c>
      <c r="K51" s="363">
        <f t="shared" si="197"/>
        <v>16861.754515417673</v>
      </c>
      <c r="L51" s="363">
        <f t="shared" si="197"/>
        <v>642.50297689762306</v>
      </c>
      <c r="M51" s="363">
        <f>M43*M47+M49</f>
        <v>-2370.8398710179836</v>
      </c>
      <c r="N51" s="363">
        <f>N43*N47+N49</f>
        <v>-3525.8102892151419</v>
      </c>
      <c r="O51" s="363">
        <f>O43*O47+O49</f>
        <v>-10.557297793664929</v>
      </c>
      <c r="P51" s="363">
        <f>P43*P47+P49+P50</f>
        <v>5091.4835140926079</v>
      </c>
      <c r="Q51" s="363">
        <f t="shared" ref="Q51:S51" si="198">Q43*Q47+Q49+Q50</f>
        <v>-274.52040594313712</v>
      </c>
      <c r="R51" s="363">
        <f t="shared" si="198"/>
        <v>-2800</v>
      </c>
      <c r="S51" s="363">
        <f t="shared" si="198"/>
        <v>0</v>
      </c>
      <c r="T51" s="363">
        <f t="shared" ref="T51:U51" si="199">T43*T47+T49+T50</f>
        <v>0</v>
      </c>
      <c r="U51" s="363">
        <f t="shared" si="199"/>
        <v>0</v>
      </c>
      <c r="V51" s="363">
        <f t="shared" ref="V51" si="200">V43*V47+V49+V50</f>
        <v>0</v>
      </c>
      <c r="X51" s="363">
        <f>X43*X47+X49</f>
        <v>299.68168567207653</v>
      </c>
      <c r="Y51" s="363">
        <f t="shared" ref="Y51:BS51" si="201">Y43*Y47+Y49</f>
        <v>-17.62833445129862</v>
      </c>
      <c r="Z51" s="363">
        <f t="shared" si="201"/>
        <v>-193.91167896428482</v>
      </c>
      <c r="AA51" s="363">
        <f t="shared" si="201"/>
        <v>-17.62833445129862</v>
      </c>
      <c r="AB51" s="363">
        <f t="shared" si="201"/>
        <v>277.96328463567573</v>
      </c>
      <c r="AC51" s="363">
        <f t="shared" si="201"/>
        <v>18.530885642378383</v>
      </c>
      <c r="AD51" s="363">
        <f t="shared" si="201"/>
        <v>-203.83974206616222</v>
      </c>
      <c r="AE51" s="363">
        <f t="shared" si="201"/>
        <v>129.71619949664867</v>
      </c>
      <c r="AF51" s="363">
        <f t="shared" si="201"/>
        <v>225.73693403390141</v>
      </c>
      <c r="AG51" s="363">
        <f t="shared" si="201"/>
        <v>-150.49128935593427</v>
      </c>
      <c r="AH51" s="363">
        <f t="shared" si="201"/>
        <v>112.8684670169507</v>
      </c>
      <c r="AI51" s="363">
        <f t="shared" si="201"/>
        <v>0</v>
      </c>
      <c r="AJ51" s="363">
        <f t="shared" si="201"/>
        <v>443.90853510959653</v>
      </c>
      <c r="AK51" s="363">
        <f t="shared" si="201"/>
        <v>-73.984755851599417</v>
      </c>
      <c r="AL51" s="363">
        <f t="shared" si="201"/>
        <v>73.984755851599417</v>
      </c>
      <c r="AM51" s="363">
        <f t="shared" si="201"/>
        <v>147.96951170319883</v>
      </c>
      <c r="AN51" s="363">
        <f t="shared" si="201"/>
        <v>-37.02440174984234</v>
      </c>
      <c r="AO51" s="363">
        <f t="shared" si="201"/>
        <v>74.048803499684681</v>
      </c>
      <c r="AP51" s="363">
        <f t="shared" si="201"/>
        <v>222.14641049905404</v>
      </c>
      <c r="AQ51" s="363">
        <f t="shared" si="201"/>
        <v>0</v>
      </c>
      <c r="AR51" s="363">
        <f t="shared" si="201"/>
        <v>183.50166959681599</v>
      </c>
      <c r="AS51" s="363">
        <f t="shared" si="201"/>
        <v>-73.400667838726392</v>
      </c>
      <c r="AT51" s="363">
        <f t="shared" si="201"/>
        <v>0</v>
      </c>
      <c r="AU51" s="363">
        <f t="shared" si="201"/>
        <v>220.20200351617916</v>
      </c>
      <c r="AV51" s="363">
        <f t="shared" si="201"/>
        <v>185.36645007603025</v>
      </c>
      <c r="AW51" s="363">
        <f t="shared" si="201"/>
        <v>-37.073290015206048</v>
      </c>
      <c r="AX51" s="363">
        <f t="shared" si="201"/>
        <v>222.43974009123627</v>
      </c>
      <c r="AY51" s="363">
        <f t="shared" si="201"/>
        <v>148.29316006082419</v>
      </c>
      <c r="AZ51" s="363">
        <f t="shared" si="201"/>
        <v>487.01870373843082</v>
      </c>
      <c r="BA51" s="363">
        <f t="shared" si="201"/>
        <v>112.38893163194558</v>
      </c>
      <c r="BB51" s="363">
        <f t="shared" si="201"/>
        <v>-149.8519088425941</v>
      </c>
      <c r="BC51" s="363">
        <f t="shared" si="201"/>
        <v>-262.24084047453965</v>
      </c>
      <c r="BD51" s="363">
        <f t="shared" si="201"/>
        <v>367.80070611855484</v>
      </c>
      <c r="BE51" s="363">
        <f t="shared" si="201"/>
        <v>163.46698049713549</v>
      </c>
      <c r="BF51" s="363">
        <f t="shared" si="201"/>
        <v>735.60141223710968</v>
      </c>
      <c r="BG51" s="363">
        <f t="shared" si="201"/>
        <v>-694.73466711282583</v>
      </c>
      <c r="BH51" s="363">
        <f t="shared" si="201"/>
        <v>2420.9571974277264</v>
      </c>
      <c r="BI51" s="363">
        <f t="shared" si="201"/>
        <v>4332.2391953969836</v>
      </c>
      <c r="BJ51" s="363">
        <f t="shared" si="201"/>
        <v>5139.2249278728923</v>
      </c>
      <c r="BK51" s="363">
        <f t="shared" si="201"/>
        <v>4969.3331947200695</v>
      </c>
      <c r="BL51" s="363">
        <f t="shared" si="201"/>
        <v>-234.16621562157223</v>
      </c>
      <c r="BM51" s="363">
        <f>BM43*BM47+BM49</f>
        <v>-187.3329724972578</v>
      </c>
      <c r="BN51" s="363">
        <f t="shared" si="201"/>
        <v>593.66648624862887</v>
      </c>
      <c r="BO51" s="363">
        <f t="shared" si="201"/>
        <v>-717.66432123217578</v>
      </c>
      <c r="BP51" s="363">
        <f>BP43*BP47+BP49</f>
        <v>-598.52867525461079</v>
      </c>
      <c r="BQ51" s="363">
        <f t="shared" si="201"/>
        <v>-888.12447830534916</v>
      </c>
      <c r="BR51" s="363">
        <f t="shared" si="201"/>
        <v>696.70978898293413</v>
      </c>
      <c r="BS51" s="363">
        <f t="shared" si="201"/>
        <v>-327.89650644095809</v>
      </c>
      <c r="BT51" s="363">
        <f>BT43*BT47+BT49</f>
        <v>-548.69440796632739</v>
      </c>
      <c r="BU51" s="363">
        <f>BU43*BU47+BU49</f>
        <v>-1053.7825205087624</v>
      </c>
      <c r="BV51" s="363">
        <f>BV43*BV47+BV49</f>
        <v>-891.01049237315351</v>
      </c>
      <c r="BW51" s="363">
        <f>BW43*BW47+BW49</f>
        <v>-891.01049237315351</v>
      </c>
      <c r="BX51" s="363">
        <f t="shared" ref="BX51:CA51" si="202">BX43*BX47+BX49</f>
        <v>-534.30631778472844</v>
      </c>
      <c r="BY51" s="363">
        <f>BY43*BY47+BY49</f>
        <v>-3.3801014857842802</v>
      </c>
      <c r="BZ51" s="363">
        <f t="shared" si="202"/>
        <v>397.03689185052792</v>
      </c>
      <c r="CA51" s="363">
        <f t="shared" si="202"/>
        <v>130.09222962631981</v>
      </c>
      <c r="CB51" s="363">
        <f>CB43*CB47+CB49+CB50</f>
        <v>1940.6495274199847</v>
      </c>
      <c r="CC51" s="363">
        <f t="shared" ref="CC51:CE51" si="203">CC43*CC47+CC49+CC50</f>
        <v>1273.2878718594643</v>
      </c>
      <c r="CD51" s="363">
        <f t="shared" si="203"/>
        <v>894.49077703736816</v>
      </c>
      <c r="CE51" s="363">
        <f t="shared" si="203"/>
        <v>983.05533777579194</v>
      </c>
      <c r="CF51" s="363">
        <f t="shared" ref="CF51:CM51" si="204">CF43*CF47+CF49+CF50</f>
        <v>-533.7694259342004</v>
      </c>
      <c r="CG51" s="363">
        <f t="shared" si="204"/>
        <v>108.59222962631981</v>
      </c>
      <c r="CH51" s="363">
        <f t="shared" si="204"/>
        <v>-302.84320963525636</v>
      </c>
      <c r="CI51" s="363">
        <f t="shared" si="204"/>
        <v>453.5</v>
      </c>
      <c r="CJ51" s="363">
        <f t="shared" si="204"/>
        <v>-300</v>
      </c>
      <c r="CK51" s="363">
        <f t="shared" si="204"/>
        <v>-500</v>
      </c>
      <c r="CL51" s="363">
        <f t="shared" si="204"/>
        <v>-1000</v>
      </c>
      <c r="CM51" s="363">
        <f t="shared" si="204"/>
        <v>-1000</v>
      </c>
      <c r="CP51" s="102" t="s">
        <v>11</v>
      </c>
    </row>
    <row r="52" spans="1:102" hidden="1" outlineLevel="1">
      <c r="A52" s="14"/>
      <c r="B52" s="78"/>
      <c r="C52" s="78"/>
      <c r="D52" s="78"/>
      <c r="E52" s="78"/>
      <c r="F52" s="78"/>
      <c r="G52" s="78"/>
      <c r="H52" s="78"/>
      <c r="I52" s="78"/>
      <c r="J52" s="78"/>
      <c r="K52" s="78"/>
      <c r="L52" s="78"/>
      <c r="M52" s="78"/>
      <c r="N52" s="78"/>
      <c r="O52" s="78"/>
      <c r="P52" s="78"/>
      <c r="Q52" s="78"/>
      <c r="R52" s="78"/>
      <c r="S52" s="78"/>
      <c r="T52" s="78"/>
      <c r="U52" s="78"/>
      <c r="V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96"/>
      <c r="AV52" s="78"/>
      <c r="AW52" s="78"/>
      <c r="AX52" s="78"/>
      <c r="AY52" s="96"/>
      <c r="AZ52" s="78"/>
      <c r="BA52" s="78"/>
      <c r="BB52" s="78"/>
      <c r="BC52" s="96"/>
      <c r="BD52" s="78"/>
      <c r="BE52" s="78"/>
      <c r="BF52" s="78"/>
      <c r="BG52" s="96"/>
      <c r="BH52" s="78"/>
      <c r="BI52" s="78"/>
      <c r="BJ52" s="78"/>
      <c r="BK52" s="96"/>
      <c r="BL52" s="78"/>
      <c r="BM52" s="78"/>
      <c r="BN52" s="78"/>
      <c r="BO52" s="96"/>
      <c r="BP52" s="78"/>
      <c r="BQ52" s="78"/>
      <c r="BR52" s="78"/>
      <c r="BS52" s="96"/>
      <c r="BU52" s="5"/>
      <c r="BV52" s="5"/>
      <c r="BW52" s="5"/>
      <c r="BY52" s="5"/>
      <c r="BZ52" s="5"/>
      <c r="CA52" s="5"/>
      <c r="CC52" s="5"/>
      <c r="CD52" s="5"/>
      <c r="CE52" s="5"/>
      <c r="CF52" s="5"/>
      <c r="CG52" s="5"/>
      <c r="CH52" s="5"/>
      <c r="CI52" s="5"/>
      <c r="CJ52" s="5"/>
      <c r="CK52" s="5"/>
      <c r="CL52" s="5"/>
      <c r="CM52" s="5"/>
      <c r="CN52" s="5"/>
      <c r="CP52" s="496" t="s">
        <v>615</v>
      </c>
    </row>
    <row r="53" spans="1:102" s="278" customFormat="1" hidden="1" outlineLevel="1">
      <c r="A53" s="339" t="s">
        <v>482</v>
      </c>
      <c r="B53" s="354"/>
      <c r="C53" s="354">
        <f>AE53</f>
        <v>0</v>
      </c>
      <c r="D53" s="354">
        <f>AI53</f>
        <v>0</v>
      </c>
      <c r="E53" s="354">
        <f>AM53</f>
        <v>0</v>
      </c>
      <c r="F53" s="354">
        <f>AQ53</f>
        <v>0</v>
      </c>
      <c r="G53" s="354">
        <f>AU53</f>
        <v>0</v>
      </c>
      <c r="H53" s="354">
        <f>AY53</f>
        <v>0</v>
      </c>
      <c r="I53" s="354">
        <f>BC53</f>
        <v>0</v>
      </c>
      <c r="J53" s="354">
        <f>BG53</f>
        <v>463</v>
      </c>
      <c r="K53" s="354">
        <f>BK53</f>
        <v>1313</v>
      </c>
      <c r="L53" s="354">
        <f t="shared" ref="L53:V53" si="205">K53-(L50*L69)</f>
        <v>1313</v>
      </c>
      <c r="M53" s="354">
        <f t="shared" si="205"/>
        <v>1313</v>
      </c>
      <c r="N53" s="354">
        <f t="shared" si="205"/>
        <v>1313</v>
      </c>
      <c r="O53" s="354">
        <f t="shared" si="205"/>
        <v>1313</v>
      </c>
      <c r="P53" s="354">
        <f t="shared" si="205"/>
        <v>1313</v>
      </c>
      <c r="Q53" s="354">
        <f t="shared" si="205"/>
        <v>1313</v>
      </c>
      <c r="R53" s="354">
        <f t="shared" si="205"/>
        <v>1313</v>
      </c>
      <c r="S53" s="354">
        <f t="shared" si="205"/>
        <v>1313</v>
      </c>
      <c r="T53" s="354">
        <f t="shared" si="205"/>
        <v>1313</v>
      </c>
      <c r="U53" s="354">
        <f t="shared" si="205"/>
        <v>1313</v>
      </c>
      <c r="V53" s="354">
        <f t="shared" si="205"/>
        <v>1313</v>
      </c>
      <c r="X53" s="346">
        <v>0</v>
      </c>
      <c r="Y53" s="346">
        <v>0</v>
      </c>
      <c r="Z53" s="346">
        <v>0</v>
      </c>
      <c r="AA53" s="346">
        <v>0</v>
      </c>
      <c r="AB53" s="346">
        <v>0</v>
      </c>
      <c r="AC53" s="346">
        <v>0</v>
      </c>
      <c r="AD53" s="346">
        <v>0</v>
      </c>
      <c r="AE53" s="346">
        <v>0</v>
      </c>
      <c r="AF53" s="346">
        <v>0</v>
      </c>
      <c r="AG53" s="346">
        <v>0</v>
      </c>
      <c r="AH53" s="346">
        <v>0</v>
      </c>
      <c r="AI53" s="346">
        <v>0</v>
      </c>
      <c r="AJ53" s="346">
        <v>0</v>
      </c>
      <c r="AK53" s="346">
        <v>0</v>
      </c>
      <c r="AL53" s="346">
        <v>0</v>
      </c>
      <c r="AM53" s="346">
        <v>0</v>
      </c>
      <c r="AN53" s="346">
        <v>0</v>
      </c>
      <c r="AO53" s="346">
        <v>0</v>
      </c>
      <c r="AP53" s="346">
        <v>0</v>
      </c>
      <c r="AQ53" s="346">
        <v>0</v>
      </c>
      <c r="AR53" s="346">
        <v>0</v>
      </c>
      <c r="AS53" s="346">
        <v>0</v>
      </c>
      <c r="AT53" s="346">
        <v>0</v>
      </c>
      <c r="AU53" s="346">
        <v>0</v>
      </c>
      <c r="AV53" s="346">
        <v>0</v>
      </c>
      <c r="AW53" s="346">
        <v>0</v>
      </c>
      <c r="AX53" s="346">
        <v>0</v>
      </c>
      <c r="AY53" s="346">
        <v>0</v>
      </c>
      <c r="AZ53" s="346">
        <v>0</v>
      </c>
      <c r="BA53" s="346">
        <v>0</v>
      </c>
      <c r="BB53" s="346">
        <v>0</v>
      </c>
      <c r="BC53" s="346">
        <v>0</v>
      </c>
      <c r="BD53" s="346">
        <v>0</v>
      </c>
      <c r="BE53" s="346">
        <v>0</v>
      </c>
      <c r="BF53" s="346">
        <v>0</v>
      </c>
      <c r="BG53" s="346">
        <v>463</v>
      </c>
      <c r="BH53" s="358">
        <f>AVERAGE(BG53,BI53)</f>
        <v>985</v>
      </c>
      <c r="BI53" s="346">
        <v>1507</v>
      </c>
      <c r="BJ53" s="346">
        <v>1481</v>
      </c>
      <c r="BK53" s="346">
        <v>1313</v>
      </c>
      <c r="BL53" s="346">
        <v>809</v>
      </c>
      <c r="BM53" s="346">
        <v>1209</v>
      </c>
      <c r="BN53" s="354">
        <f t="shared" ref="BN53:BT53" si="206">BM53-(BN42*BN69)</f>
        <v>1209</v>
      </c>
      <c r="BO53" s="354">
        <f t="shared" si="206"/>
        <v>1209</v>
      </c>
      <c r="BP53" s="354">
        <f t="shared" si="206"/>
        <v>1209</v>
      </c>
      <c r="BQ53" s="354">
        <f t="shared" si="206"/>
        <v>1209</v>
      </c>
      <c r="BR53" s="354">
        <f t="shared" si="206"/>
        <v>1209</v>
      </c>
      <c r="BS53" s="354">
        <f t="shared" si="206"/>
        <v>1209</v>
      </c>
      <c r="BT53" s="354">
        <f t="shared" si="206"/>
        <v>1209</v>
      </c>
      <c r="BU53" s="18"/>
      <c r="BV53" s="18"/>
      <c r="BW53" s="18"/>
      <c r="BY53" s="18"/>
      <c r="BZ53" s="18"/>
      <c r="CA53" s="18"/>
      <c r="CC53" s="18"/>
      <c r="CD53" s="18"/>
      <c r="CE53" s="18"/>
      <c r="CF53" s="18"/>
      <c r="CG53" s="18"/>
      <c r="CH53" s="18"/>
      <c r="CI53" s="18"/>
      <c r="CJ53" s="18"/>
      <c r="CK53" s="18"/>
      <c r="CL53" s="18"/>
      <c r="CM53" s="18"/>
      <c r="CN53" s="18"/>
      <c r="CP53" s="498"/>
    </row>
    <row r="54" spans="1:102" s="278" customFormat="1" hidden="1" outlineLevel="1">
      <c r="A54" s="339" t="s">
        <v>516</v>
      </c>
      <c r="B54" s="354"/>
      <c r="C54" s="354">
        <f>AE54</f>
        <v>0</v>
      </c>
      <c r="D54" s="354">
        <f>AI54</f>
        <v>0</v>
      </c>
      <c r="E54" s="354">
        <f>AM54</f>
        <v>0</v>
      </c>
      <c r="F54" s="354">
        <f>AQ54</f>
        <v>0</v>
      </c>
      <c r="G54" s="354">
        <f>AU54</f>
        <v>0</v>
      </c>
      <c r="H54" s="354">
        <f>AY54</f>
        <v>0</v>
      </c>
      <c r="I54" s="354">
        <f>BC54</f>
        <v>0</v>
      </c>
      <c r="J54" s="354">
        <f>BG54</f>
        <v>471</v>
      </c>
      <c r="K54" s="354">
        <f>BK54</f>
        <v>521</v>
      </c>
      <c r="L54" s="354">
        <f t="shared" ref="L54:V54" si="207">K54-(L50*L70)</f>
        <v>521</v>
      </c>
      <c r="M54" s="354">
        <f t="shared" si="207"/>
        <v>521</v>
      </c>
      <c r="N54" s="354">
        <f t="shared" si="207"/>
        <v>521</v>
      </c>
      <c r="O54" s="354">
        <f t="shared" si="207"/>
        <v>521</v>
      </c>
      <c r="P54" s="354">
        <f t="shared" si="207"/>
        <v>521</v>
      </c>
      <c r="Q54" s="354">
        <f t="shared" si="207"/>
        <v>521</v>
      </c>
      <c r="R54" s="354">
        <f t="shared" si="207"/>
        <v>521</v>
      </c>
      <c r="S54" s="354">
        <f t="shared" si="207"/>
        <v>521</v>
      </c>
      <c r="T54" s="354">
        <f t="shared" si="207"/>
        <v>521</v>
      </c>
      <c r="U54" s="354">
        <f t="shared" si="207"/>
        <v>521</v>
      </c>
      <c r="V54" s="354">
        <f t="shared" si="207"/>
        <v>521</v>
      </c>
      <c r="X54" s="346">
        <v>0</v>
      </c>
      <c r="Y54" s="346">
        <v>0</v>
      </c>
      <c r="Z54" s="346">
        <v>0</v>
      </c>
      <c r="AA54" s="346">
        <v>0</v>
      </c>
      <c r="AB54" s="346">
        <v>0</v>
      </c>
      <c r="AC54" s="346">
        <v>0</v>
      </c>
      <c r="AD54" s="346">
        <v>0</v>
      </c>
      <c r="AE54" s="346">
        <v>0</v>
      </c>
      <c r="AF54" s="346">
        <v>0</v>
      </c>
      <c r="AG54" s="346">
        <v>0</v>
      </c>
      <c r="AH54" s="346">
        <v>0</v>
      </c>
      <c r="AI54" s="346">
        <v>0</v>
      </c>
      <c r="AJ54" s="346">
        <v>0</v>
      </c>
      <c r="AK54" s="346">
        <v>0</v>
      </c>
      <c r="AL54" s="346">
        <v>0</v>
      </c>
      <c r="AM54" s="346">
        <v>0</v>
      </c>
      <c r="AN54" s="346">
        <v>0</v>
      </c>
      <c r="AO54" s="346">
        <v>0</v>
      </c>
      <c r="AP54" s="346">
        <v>0</v>
      </c>
      <c r="AQ54" s="346">
        <v>0</v>
      </c>
      <c r="AR54" s="346">
        <v>0</v>
      </c>
      <c r="AS54" s="346">
        <v>0</v>
      </c>
      <c r="AT54" s="346">
        <v>0</v>
      </c>
      <c r="AU54" s="346">
        <v>0</v>
      </c>
      <c r="AV54" s="346">
        <v>0</v>
      </c>
      <c r="AW54" s="346">
        <v>0</v>
      </c>
      <c r="AX54" s="346">
        <v>0</v>
      </c>
      <c r="AY54" s="346">
        <v>0</v>
      </c>
      <c r="AZ54" s="346">
        <v>0</v>
      </c>
      <c r="BA54" s="346">
        <v>0</v>
      </c>
      <c r="BB54" s="346">
        <v>0</v>
      </c>
      <c r="BC54" s="346">
        <v>0</v>
      </c>
      <c r="BD54" s="346">
        <v>0</v>
      </c>
      <c r="BE54" s="346">
        <v>0</v>
      </c>
      <c r="BF54" s="346">
        <v>0</v>
      </c>
      <c r="BG54" s="346">
        <v>471</v>
      </c>
      <c r="BH54" s="358">
        <f>AVERAGE(BG54,BI54)</f>
        <v>494</v>
      </c>
      <c r="BI54" s="346">
        <v>517</v>
      </c>
      <c r="BJ54" s="346">
        <v>522</v>
      </c>
      <c r="BK54" s="346">
        <v>521</v>
      </c>
      <c r="BL54" s="346">
        <v>556</v>
      </c>
      <c r="BM54" s="346">
        <v>506</v>
      </c>
      <c r="BN54" s="354">
        <f t="shared" ref="BN54:BT54" si="208">BM54-(BN42*BN70)</f>
        <v>506</v>
      </c>
      <c r="BO54" s="354">
        <f t="shared" si="208"/>
        <v>506</v>
      </c>
      <c r="BP54" s="354">
        <f t="shared" si="208"/>
        <v>506</v>
      </c>
      <c r="BQ54" s="354">
        <f t="shared" si="208"/>
        <v>506</v>
      </c>
      <c r="BR54" s="354">
        <f t="shared" si="208"/>
        <v>506</v>
      </c>
      <c r="BS54" s="354">
        <f t="shared" si="208"/>
        <v>506</v>
      </c>
      <c r="BT54" s="354">
        <f t="shared" si="208"/>
        <v>506</v>
      </c>
      <c r="BU54" s="18"/>
      <c r="BV54" s="18"/>
      <c r="BW54" s="18"/>
      <c r="BY54" s="18"/>
      <c r="BZ54" s="18"/>
      <c r="CA54" s="18"/>
      <c r="CC54" s="18"/>
      <c r="CD54" s="18"/>
      <c r="CE54" s="18"/>
      <c r="CF54" s="18"/>
      <c r="CG54" s="18"/>
      <c r="CH54" s="18"/>
      <c r="CI54" s="18"/>
      <c r="CJ54" s="18"/>
      <c r="CK54" s="18"/>
      <c r="CL54" s="18"/>
      <c r="CM54" s="18"/>
      <c r="CN54" s="18"/>
      <c r="CP54" s="498"/>
    </row>
    <row r="55" spans="1:102" s="278" customFormat="1" hidden="1" outlineLevel="1">
      <c r="A55" s="342" t="s">
        <v>486</v>
      </c>
      <c r="B55" s="343"/>
      <c r="C55" s="343">
        <f t="shared" ref="C55:Q55" si="209">C53+C54</f>
        <v>0</v>
      </c>
      <c r="D55" s="343">
        <f t="shared" si="209"/>
        <v>0</v>
      </c>
      <c r="E55" s="343">
        <f t="shared" si="209"/>
        <v>0</v>
      </c>
      <c r="F55" s="343">
        <f t="shared" si="209"/>
        <v>0</v>
      </c>
      <c r="G55" s="343">
        <f t="shared" si="209"/>
        <v>0</v>
      </c>
      <c r="H55" s="343">
        <f t="shared" si="209"/>
        <v>0</v>
      </c>
      <c r="I55" s="343">
        <f t="shared" si="209"/>
        <v>0</v>
      </c>
      <c r="J55" s="343">
        <f t="shared" si="209"/>
        <v>934</v>
      </c>
      <c r="K55" s="343">
        <f t="shared" si="209"/>
        <v>1834</v>
      </c>
      <c r="L55" s="343">
        <f t="shared" si="209"/>
        <v>1834</v>
      </c>
      <c r="M55" s="343">
        <f t="shared" si="209"/>
        <v>1834</v>
      </c>
      <c r="N55" s="343">
        <f t="shared" si="209"/>
        <v>1834</v>
      </c>
      <c r="O55" s="343">
        <f t="shared" si="209"/>
        <v>1834</v>
      </c>
      <c r="P55" s="343">
        <f t="shared" si="209"/>
        <v>1834</v>
      </c>
      <c r="Q55" s="343">
        <f t="shared" si="209"/>
        <v>1834</v>
      </c>
      <c r="R55" s="343">
        <f>R53+R54</f>
        <v>1834</v>
      </c>
      <c r="S55" s="343">
        <f>S53+S54</f>
        <v>1834</v>
      </c>
      <c r="T55" s="343">
        <f>T53+T54</f>
        <v>1834</v>
      </c>
      <c r="U55" s="343">
        <f>U53+U54</f>
        <v>1834</v>
      </c>
      <c r="V55" s="343">
        <f>V53+V54</f>
        <v>1834</v>
      </c>
      <c r="X55" s="343">
        <f t="shared" ref="X55:AC55" si="210">X53+X54</f>
        <v>0</v>
      </c>
      <c r="Y55" s="343">
        <f t="shared" si="210"/>
        <v>0</v>
      </c>
      <c r="Z55" s="343">
        <f t="shared" si="210"/>
        <v>0</v>
      </c>
      <c r="AA55" s="343">
        <f t="shared" si="210"/>
        <v>0</v>
      </c>
      <c r="AB55" s="343">
        <f t="shared" si="210"/>
        <v>0</v>
      </c>
      <c r="AC55" s="343">
        <f t="shared" si="210"/>
        <v>0</v>
      </c>
      <c r="AD55" s="343">
        <f t="shared" ref="AD55:BS55" si="211">AD53+AD54</f>
        <v>0</v>
      </c>
      <c r="AE55" s="343">
        <f t="shared" si="211"/>
        <v>0</v>
      </c>
      <c r="AF55" s="343">
        <f t="shared" si="211"/>
        <v>0</v>
      </c>
      <c r="AG55" s="343">
        <f t="shared" si="211"/>
        <v>0</v>
      </c>
      <c r="AH55" s="343">
        <f t="shared" si="211"/>
        <v>0</v>
      </c>
      <c r="AI55" s="343">
        <f t="shared" si="211"/>
        <v>0</v>
      </c>
      <c r="AJ55" s="343">
        <f t="shared" si="211"/>
        <v>0</v>
      </c>
      <c r="AK55" s="343">
        <f t="shared" si="211"/>
        <v>0</v>
      </c>
      <c r="AL55" s="343">
        <f t="shared" si="211"/>
        <v>0</v>
      </c>
      <c r="AM55" s="343">
        <f t="shared" si="211"/>
        <v>0</v>
      </c>
      <c r="AN55" s="343">
        <f t="shared" si="211"/>
        <v>0</v>
      </c>
      <c r="AO55" s="343">
        <f t="shared" si="211"/>
        <v>0</v>
      </c>
      <c r="AP55" s="343">
        <f t="shared" si="211"/>
        <v>0</v>
      </c>
      <c r="AQ55" s="343">
        <f t="shared" si="211"/>
        <v>0</v>
      </c>
      <c r="AR55" s="343">
        <f t="shared" si="211"/>
        <v>0</v>
      </c>
      <c r="AS55" s="343">
        <f t="shared" si="211"/>
        <v>0</v>
      </c>
      <c r="AT55" s="343">
        <f t="shared" si="211"/>
        <v>0</v>
      </c>
      <c r="AU55" s="343">
        <f t="shared" si="211"/>
        <v>0</v>
      </c>
      <c r="AV55" s="343">
        <f t="shared" si="211"/>
        <v>0</v>
      </c>
      <c r="AW55" s="343">
        <f t="shared" si="211"/>
        <v>0</v>
      </c>
      <c r="AX55" s="343">
        <f t="shared" si="211"/>
        <v>0</v>
      </c>
      <c r="AY55" s="343">
        <f t="shared" si="211"/>
        <v>0</v>
      </c>
      <c r="AZ55" s="343">
        <f t="shared" si="211"/>
        <v>0</v>
      </c>
      <c r="BA55" s="343">
        <f t="shared" si="211"/>
        <v>0</v>
      </c>
      <c r="BB55" s="343">
        <f t="shared" si="211"/>
        <v>0</v>
      </c>
      <c r="BC55" s="343">
        <f t="shared" si="211"/>
        <v>0</v>
      </c>
      <c r="BD55" s="343">
        <f t="shared" si="211"/>
        <v>0</v>
      </c>
      <c r="BE55" s="343">
        <f t="shared" si="211"/>
        <v>0</v>
      </c>
      <c r="BF55" s="343">
        <f t="shared" si="211"/>
        <v>0</v>
      </c>
      <c r="BG55" s="343">
        <f t="shared" si="211"/>
        <v>934</v>
      </c>
      <c r="BH55" s="343">
        <f t="shared" si="211"/>
        <v>1479</v>
      </c>
      <c r="BI55" s="343">
        <f t="shared" si="211"/>
        <v>2024</v>
      </c>
      <c r="BJ55" s="343">
        <f t="shared" si="211"/>
        <v>2003</v>
      </c>
      <c r="BK55" s="343">
        <f t="shared" si="211"/>
        <v>1834</v>
      </c>
      <c r="BL55" s="345">
        <f t="shared" si="211"/>
        <v>1365</v>
      </c>
      <c r="BM55" s="345">
        <f>BM53+BM54</f>
        <v>1715</v>
      </c>
      <c r="BN55" s="343">
        <f t="shared" si="211"/>
        <v>1715</v>
      </c>
      <c r="BO55" s="343">
        <f t="shared" si="211"/>
        <v>1715</v>
      </c>
      <c r="BP55" s="343">
        <f t="shared" si="211"/>
        <v>1715</v>
      </c>
      <c r="BQ55" s="343">
        <f t="shared" si="211"/>
        <v>1715</v>
      </c>
      <c r="BR55" s="343">
        <f t="shared" si="211"/>
        <v>1715</v>
      </c>
      <c r="BS55" s="343">
        <f t="shared" si="211"/>
        <v>1715</v>
      </c>
      <c r="BT55" s="343">
        <f>BT53+BT54</f>
        <v>1715</v>
      </c>
      <c r="BU55" s="18"/>
      <c r="BV55" s="18"/>
      <c r="BW55" s="18"/>
      <c r="BY55" s="18"/>
      <c r="BZ55" s="18"/>
      <c r="CA55" s="18"/>
      <c r="CC55" s="18"/>
      <c r="CD55" s="18"/>
      <c r="CE55" s="18"/>
      <c r="CF55" s="18"/>
      <c r="CG55" s="18"/>
      <c r="CH55" s="18"/>
      <c r="CI55" s="18"/>
      <c r="CJ55" s="18"/>
      <c r="CK55" s="18"/>
      <c r="CL55" s="18"/>
      <c r="CM55" s="18"/>
      <c r="CN55" s="18"/>
      <c r="CP55" s="498"/>
    </row>
    <row r="56" spans="1:102" s="278" customFormat="1" hidden="1" outlineLevel="1">
      <c r="A56" s="355"/>
      <c r="B56" s="356"/>
      <c r="C56" s="356"/>
      <c r="D56" s="356"/>
      <c r="E56" s="356"/>
      <c r="F56" s="356"/>
      <c r="G56" s="356"/>
      <c r="H56" s="356"/>
      <c r="I56" s="343"/>
      <c r="J56" s="343"/>
      <c r="K56" s="343"/>
      <c r="L56" s="343"/>
      <c r="M56" s="343"/>
      <c r="N56" s="356"/>
      <c r="O56" s="356"/>
      <c r="P56" s="356"/>
      <c r="Q56" s="356"/>
      <c r="R56" s="356"/>
      <c r="S56" s="356"/>
      <c r="T56" s="356"/>
      <c r="U56" s="356"/>
      <c r="V56" s="356"/>
      <c r="X56" s="356"/>
      <c r="Y56" s="356"/>
      <c r="Z56" s="356"/>
      <c r="AA56" s="356"/>
      <c r="AB56" s="356"/>
      <c r="AC56" s="356"/>
      <c r="AD56" s="356"/>
      <c r="AE56" s="356"/>
      <c r="AF56" s="356"/>
      <c r="AG56" s="356"/>
      <c r="AH56" s="356"/>
      <c r="AI56" s="356"/>
      <c r="AJ56" s="356"/>
      <c r="AK56" s="356"/>
      <c r="AL56" s="356"/>
      <c r="AM56" s="356"/>
      <c r="AN56" s="356"/>
      <c r="AO56" s="356"/>
      <c r="AP56" s="356"/>
      <c r="AQ56" s="356"/>
      <c r="AR56" s="356"/>
      <c r="AS56" s="356"/>
      <c r="AT56" s="356"/>
      <c r="AU56" s="359"/>
      <c r="AV56" s="356"/>
      <c r="AW56" s="356"/>
      <c r="AX56" s="356"/>
      <c r="AY56" s="356"/>
      <c r="AZ56" s="356"/>
      <c r="BA56" s="343"/>
      <c r="BB56" s="343"/>
      <c r="BC56" s="343"/>
      <c r="BD56" s="343"/>
      <c r="BE56" s="343"/>
      <c r="BF56" s="343"/>
      <c r="BG56" s="343"/>
      <c r="BH56" s="343"/>
      <c r="BI56" s="343"/>
      <c r="BJ56" s="343"/>
      <c r="BK56" s="343"/>
      <c r="BL56" s="345"/>
      <c r="BM56" s="345"/>
      <c r="BN56" s="343"/>
      <c r="BO56" s="343"/>
      <c r="BP56" s="345"/>
      <c r="BQ56" s="343"/>
      <c r="BR56" s="343"/>
      <c r="BS56" s="343"/>
      <c r="BT56" s="343"/>
      <c r="BU56" s="18"/>
      <c r="BV56" s="18"/>
      <c r="BW56" s="18"/>
      <c r="BY56" s="18"/>
      <c r="BZ56" s="18"/>
      <c r="CA56" s="18"/>
      <c r="CC56" s="18"/>
      <c r="CD56" s="18"/>
      <c r="CE56" s="18"/>
      <c r="CF56" s="18"/>
      <c r="CG56" s="18"/>
      <c r="CH56" s="18"/>
      <c r="CI56" s="18"/>
      <c r="CJ56" s="18"/>
      <c r="CK56" s="18"/>
      <c r="CL56" s="18"/>
      <c r="CM56" s="18"/>
      <c r="CN56" s="18"/>
      <c r="CP56" s="498"/>
    </row>
    <row r="57" spans="1:102" s="278" customFormat="1" hidden="1" outlineLevel="1">
      <c r="A57" s="339" t="s">
        <v>480</v>
      </c>
      <c r="B57" s="354"/>
      <c r="C57" s="354">
        <f t="shared" ref="C57:V57" si="212">(B53-C53)</f>
        <v>0</v>
      </c>
      <c r="D57" s="354">
        <f t="shared" si="212"/>
        <v>0</v>
      </c>
      <c r="E57" s="354">
        <f t="shared" si="212"/>
        <v>0</v>
      </c>
      <c r="F57" s="354">
        <f t="shared" si="212"/>
        <v>0</v>
      </c>
      <c r="G57" s="354">
        <f t="shared" si="212"/>
        <v>0</v>
      </c>
      <c r="H57" s="354">
        <f t="shared" si="212"/>
        <v>0</v>
      </c>
      <c r="I57" s="354">
        <f t="shared" si="212"/>
        <v>0</v>
      </c>
      <c r="J57" s="354">
        <f t="shared" si="212"/>
        <v>-463</v>
      </c>
      <c r="K57" s="354">
        <f t="shared" si="212"/>
        <v>-850</v>
      </c>
      <c r="L57" s="354">
        <f t="shared" si="212"/>
        <v>0</v>
      </c>
      <c r="M57" s="354">
        <f t="shared" si="212"/>
        <v>0</v>
      </c>
      <c r="N57" s="354">
        <f t="shared" si="212"/>
        <v>0</v>
      </c>
      <c r="O57" s="354">
        <f t="shared" si="212"/>
        <v>0</v>
      </c>
      <c r="P57" s="354">
        <f t="shared" si="212"/>
        <v>0</v>
      </c>
      <c r="Q57" s="354">
        <f t="shared" si="212"/>
        <v>0</v>
      </c>
      <c r="R57" s="354">
        <f t="shared" si="212"/>
        <v>0</v>
      </c>
      <c r="S57" s="354">
        <f t="shared" si="212"/>
        <v>0</v>
      </c>
      <c r="T57" s="354">
        <f t="shared" si="212"/>
        <v>0</v>
      </c>
      <c r="U57" s="354">
        <f t="shared" si="212"/>
        <v>0</v>
      </c>
      <c r="V57" s="354">
        <f t="shared" si="212"/>
        <v>0</v>
      </c>
      <c r="X57" s="354"/>
      <c r="Y57" s="354">
        <f t="shared" ref="Y57:BT57" si="213">(X53-Y53)</f>
        <v>0</v>
      </c>
      <c r="Z57" s="354">
        <f t="shared" si="213"/>
        <v>0</v>
      </c>
      <c r="AA57" s="354">
        <f t="shared" si="213"/>
        <v>0</v>
      </c>
      <c r="AB57" s="354">
        <f t="shared" si="213"/>
        <v>0</v>
      </c>
      <c r="AC57" s="354">
        <f t="shared" si="213"/>
        <v>0</v>
      </c>
      <c r="AD57" s="354">
        <f t="shared" si="213"/>
        <v>0</v>
      </c>
      <c r="AE57" s="354">
        <f t="shared" si="213"/>
        <v>0</v>
      </c>
      <c r="AF57" s="354">
        <f t="shared" si="213"/>
        <v>0</v>
      </c>
      <c r="AG57" s="354">
        <f t="shared" si="213"/>
        <v>0</v>
      </c>
      <c r="AH57" s="354">
        <f t="shared" si="213"/>
        <v>0</v>
      </c>
      <c r="AI57" s="354">
        <f t="shared" si="213"/>
        <v>0</v>
      </c>
      <c r="AJ57" s="354">
        <f t="shared" si="213"/>
        <v>0</v>
      </c>
      <c r="AK57" s="354">
        <f t="shared" si="213"/>
        <v>0</v>
      </c>
      <c r="AL57" s="354">
        <f t="shared" si="213"/>
        <v>0</v>
      </c>
      <c r="AM57" s="354">
        <f t="shared" si="213"/>
        <v>0</v>
      </c>
      <c r="AN57" s="354">
        <f t="shared" si="213"/>
        <v>0</v>
      </c>
      <c r="AO57" s="354">
        <f t="shared" si="213"/>
        <v>0</v>
      </c>
      <c r="AP57" s="354">
        <f t="shared" si="213"/>
        <v>0</v>
      </c>
      <c r="AQ57" s="354">
        <f t="shared" si="213"/>
        <v>0</v>
      </c>
      <c r="AR57" s="354">
        <f t="shared" si="213"/>
        <v>0</v>
      </c>
      <c r="AS57" s="354">
        <f t="shared" si="213"/>
        <v>0</v>
      </c>
      <c r="AT57" s="354">
        <f t="shared" si="213"/>
        <v>0</v>
      </c>
      <c r="AU57" s="354">
        <f t="shared" si="213"/>
        <v>0</v>
      </c>
      <c r="AV57" s="354">
        <f t="shared" si="213"/>
        <v>0</v>
      </c>
      <c r="AW57" s="354">
        <f t="shared" si="213"/>
        <v>0</v>
      </c>
      <c r="AX57" s="354">
        <f t="shared" si="213"/>
        <v>0</v>
      </c>
      <c r="AY57" s="354">
        <f t="shared" si="213"/>
        <v>0</v>
      </c>
      <c r="AZ57" s="354">
        <f t="shared" si="213"/>
        <v>0</v>
      </c>
      <c r="BA57" s="354">
        <f t="shared" si="213"/>
        <v>0</v>
      </c>
      <c r="BB57" s="354">
        <f t="shared" si="213"/>
        <v>0</v>
      </c>
      <c r="BC57" s="354">
        <f t="shared" si="213"/>
        <v>0</v>
      </c>
      <c r="BD57" s="354">
        <f t="shared" si="213"/>
        <v>0</v>
      </c>
      <c r="BE57" s="354">
        <f t="shared" si="213"/>
        <v>0</v>
      </c>
      <c r="BF57" s="354">
        <f t="shared" si="213"/>
        <v>0</v>
      </c>
      <c r="BG57" s="354">
        <f t="shared" si="213"/>
        <v>-463</v>
      </c>
      <c r="BH57" s="354">
        <f t="shared" si="213"/>
        <v>-522</v>
      </c>
      <c r="BI57" s="354">
        <f t="shared" si="213"/>
        <v>-522</v>
      </c>
      <c r="BJ57" s="354">
        <f t="shared" si="213"/>
        <v>26</v>
      </c>
      <c r="BK57" s="354">
        <f t="shared" si="213"/>
        <v>168</v>
      </c>
      <c r="BL57" s="357">
        <f t="shared" si="213"/>
        <v>504</v>
      </c>
      <c r="BM57" s="357">
        <f t="shared" si="213"/>
        <v>-400</v>
      </c>
      <c r="BN57" s="354">
        <f t="shared" si="213"/>
        <v>0</v>
      </c>
      <c r="BO57" s="354">
        <f t="shared" si="213"/>
        <v>0</v>
      </c>
      <c r="BP57" s="357">
        <f t="shared" si="213"/>
        <v>0</v>
      </c>
      <c r="BQ57" s="354">
        <f t="shared" si="213"/>
        <v>0</v>
      </c>
      <c r="BR57" s="354">
        <f t="shared" si="213"/>
        <v>0</v>
      </c>
      <c r="BS57" s="354">
        <f t="shared" si="213"/>
        <v>0</v>
      </c>
      <c r="BT57" s="354">
        <f t="shared" si="213"/>
        <v>0</v>
      </c>
      <c r="BU57" s="18"/>
      <c r="BV57" s="18"/>
      <c r="BW57" s="18"/>
      <c r="BY57" s="18"/>
      <c r="BZ57" s="18"/>
      <c r="CA57" s="18"/>
      <c r="CC57" s="18"/>
      <c r="CD57" s="18"/>
      <c r="CE57" s="18"/>
      <c r="CF57" s="18"/>
      <c r="CG57" s="18"/>
      <c r="CH57" s="18"/>
      <c r="CI57" s="18"/>
      <c r="CJ57" s="18"/>
      <c r="CK57" s="18"/>
      <c r="CL57" s="18"/>
      <c r="CM57" s="18"/>
      <c r="CN57" s="18"/>
      <c r="CP57" s="498"/>
    </row>
    <row r="58" spans="1:102" s="278" customFormat="1" hidden="1" outlineLevel="1">
      <c r="A58" s="339" t="s">
        <v>517</v>
      </c>
      <c r="B58" s="354"/>
      <c r="C58" s="354">
        <f t="shared" ref="C58:V58" si="214">(B54-C54)</f>
        <v>0</v>
      </c>
      <c r="D58" s="354">
        <f t="shared" si="214"/>
        <v>0</v>
      </c>
      <c r="E58" s="354">
        <f t="shared" si="214"/>
        <v>0</v>
      </c>
      <c r="F58" s="354">
        <f t="shared" si="214"/>
        <v>0</v>
      </c>
      <c r="G58" s="354">
        <f t="shared" si="214"/>
        <v>0</v>
      </c>
      <c r="H58" s="354">
        <f t="shared" si="214"/>
        <v>0</v>
      </c>
      <c r="I58" s="354">
        <f t="shared" si="214"/>
        <v>0</v>
      </c>
      <c r="J58" s="354">
        <f t="shared" si="214"/>
        <v>-471</v>
      </c>
      <c r="K58" s="354">
        <f t="shared" si="214"/>
        <v>-50</v>
      </c>
      <c r="L58" s="354">
        <f t="shared" si="214"/>
        <v>0</v>
      </c>
      <c r="M58" s="354">
        <f t="shared" si="214"/>
        <v>0</v>
      </c>
      <c r="N58" s="354">
        <f t="shared" si="214"/>
        <v>0</v>
      </c>
      <c r="O58" s="354">
        <f t="shared" si="214"/>
        <v>0</v>
      </c>
      <c r="P58" s="354">
        <f t="shared" si="214"/>
        <v>0</v>
      </c>
      <c r="Q58" s="354">
        <f t="shared" si="214"/>
        <v>0</v>
      </c>
      <c r="R58" s="354">
        <f t="shared" si="214"/>
        <v>0</v>
      </c>
      <c r="S58" s="354">
        <f t="shared" si="214"/>
        <v>0</v>
      </c>
      <c r="T58" s="354">
        <f t="shared" si="214"/>
        <v>0</v>
      </c>
      <c r="U58" s="354">
        <f t="shared" si="214"/>
        <v>0</v>
      </c>
      <c r="V58" s="354">
        <f t="shared" si="214"/>
        <v>0</v>
      </c>
      <c r="X58" s="354"/>
      <c r="Y58" s="354">
        <f t="shared" ref="Y58:BT58" si="215">(X54-Y54)</f>
        <v>0</v>
      </c>
      <c r="Z58" s="354">
        <f t="shared" si="215"/>
        <v>0</v>
      </c>
      <c r="AA58" s="354">
        <f t="shared" si="215"/>
        <v>0</v>
      </c>
      <c r="AB58" s="354">
        <f t="shared" si="215"/>
        <v>0</v>
      </c>
      <c r="AC58" s="354">
        <f t="shared" si="215"/>
        <v>0</v>
      </c>
      <c r="AD58" s="354">
        <f t="shared" si="215"/>
        <v>0</v>
      </c>
      <c r="AE58" s="354">
        <f t="shared" si="215"/>
        <v>0</v>
      </c>
      <c r="AF58" s="354">
        <f t="shared" si="215"/>
        <v>0</v>
      </c>
      <c r="AG58" s="354">
        <f t="shared" si="215"/>
        <v>0</v>
      </c>
      <c r="AH58" s="354">
        <f t="shared" si="215"/>
        <v>0</v>
      </c>
      <c r="AI58" s="354">
        <f t="shared" si="215"/>
        <v>0</v>
      </c>
      <c r="AJ58" s="354">
        <f t="shared" si="215"/>
        <v>0</v>
      </c>
      <c r="AK58" s="354">
        <f t="shared" si="215"/>
        <v>0</v>
      </c>
      <c r="AL58" s="354">
        <f t="shared" si="215"/>
        <v>0</v>
      </c>
      <c r="AM58" s="354">
        <f t="shared" si="215"/>
        <v>0</v>
      </c>
      <c r="AN58" s="354">
        <f t="shared" si="215"/>
        <v>0</v>
      </c>
      <c r="AO58" s="354">
        <f t="shared" si="215"/>
        <v>0</v>
      </c>
      <c r="AP58" s="354">
        <f t="shared" si="215"/>
        <v>0</v>
      </c>
      <c r="AQ58" s="354">
        <f t="shared" si="215"/>
        <v>0</v>
      </c>
      <c r="AR58" s="354">
        <f t="shared" si="215"/>
        <v>0</v>
      </c>
      <c r="AS58" s="354">
        <f t="shared" si="215"/>
        <v>0</v>
      </c>
      <c r="AT58" s="354">
        <f t="shared" si="215"/>
        <v>0</v>
      </c>
      <c r="AU58" s="354">
        <f t="shared" si="215"/>
        <v>0</v>
      </c>
      <c r="AV58" s="354">
        <f t="shared" si="215"/>
        <v>0</v>
      </c>
      <c r="AW58" s="354">
        <f t="shared" si="215"/>
        <v>0</v>
      </c>
      <c r="AX58" s="354">
        <f t="shared" si="215"/>
        <v>0</v>
      </c>
      <c r="AY58" s="354">
        <f t="shared" si="215"/>
        <v>0</v>
      </c>
      <c r="AZ58" s="354">
        <f t="shared" si="215"/>
        <v>0</v>
      </c>
      <c r="BA58" s="354">
        <f t="shared" si="215"/>
        <v>0</v>
      </c>
      <c r="BB58" s="354">
        <f t="shared" si="215"/>
        <v>0</v>
      </c>
      <c r="BC58" s="354">
        <f t="shared" si="215"/>
        <v>0</v>
      </c>
      <c r="BD58" s="354">
        <f t="shared" si="215"/>
        <v>0</v>
      </c>
      <c r="BE58" s="354">
        <f t="shared" si="215"/>
        <v>0</v>
      </c>
      <c r="BF58" s="354">
        <f t="shared" si="215"/>
        <v>0</v>
      </c>
      <c r="BG58" s="354">
        <f t="shared" si="215"/>
        <v>-471</v>
      </c>
      <c r="BH58" s="354">
        <f t="shared" si="215"/>
        <v>-23</v>
      </c>
      <c r="BI58" s="354">
        <f t="shared" si="215"/>
        <v>-23</v>
      </c>
      <c r="BJ58" s="354">
        <f t="shared" si="215"/>
        <v>-5</v>
      </c>
      <c r="BK58" s="354">
        <f t="shared" si="215"/>
        <v>1</v>
      </c>
      <c r="BL58" s="357">
        <f t="shared" si="215"/>
        <v>-35</v>
      </c>
      <c r="BM58" s="357">
        <f t="shared" si="215"/>
        <v>50</v>
      </c>
      <c r="BN58" s="354">
        <f t="shared" si="215"/>
        <v>0</v>
      </c>
      <c r="BO58" s="354">
        <f t="shared" si="215"/>
        <v>0</v>
      </c>
      <c r="BP58" s="357">
        <f t="shared" si="215"/>
        <v>0</v>
      </c>
      <c r="BQ58" s="354">
        <f t="shared" si="215"/>
        <v>0</v>
      </c>
      <c r="BR58" s="354">
        <f t="shared" si="215"/>
        <v>0</v>
      </c>
      <c r="BS58" s="354">
        <f t="shared" si="215"/>
        <v>0</v>
      </c>
      <c r="BT58" s="354">
        <f t="shared" si="215"/>
        <v>0</v>
      </c>
      <c r="BU58" s="18"/>
      <c r="BV58" s="18"/>
      <c r="BW58" s="18"/>
      <c r="BY58" s="18"/>
      <c r="BZ58" s="18"/>
      <c r="CA58" s="18"/>
      <c r="CC58" s="18"/>
      <c r="CD58" s="18"/>
      <c r="CE58" s="18"/>
      <c r="CF58" s="18"/>
      <c r="CG58" s="18"/>
      <c r="CH58" s="18"/>
      <c r="CI58" s="18"/>
      <c r="CJ58" s="18"/>
      <c r="CK58" s="18"/>
      <c r="CL58" s="18"/>
      <c r="CM58" s="18"/>
      <c r="CN58" s="18"/>
      <c r="CP58" s="498"/>
    </row>
    <row r="59" spans="1:102" s="18" customFormat="1" hidden="1" outlineLevel="1">
      <c r="A59" s="342" t="s">
        <v>487</v>
      </c>
      <c r="B59" s="343"/>
      <c r="C59" s="345">
        <f t="shared" ref="C59:V59" si="216">(B55-C55)</f>
        <v>0</v>
      </c>
      <c r="D59" s="345">
        <f t="shared" si="216"/>
        <v>0</v>
      </c>
      <c r="E59" s="345">
        <f t="shared" si="216"/>
        <v>0</v>
      </c>
      <c r="F59" s="345">
        <f t="shared" si="216"/>
        <v>0</v>
      </c>
      <c r="G59" s="345">
        <f t="shared" si="216"/>
        <v>0</v>
      </c>
      <c r="H59" s="345">
        <f t="shared" si="216"/>
        <v>0</v>
      </c>
      <c r="I59" s="345">
        <f t="shared" si="216"/>
        <v>0</v>
      </c>
      <c r="J59" s="345">
        <f t="shared" si="216"/>
        <v>-934</v>
      </c>
      <c r="K59" s="345">
        <f t="shared" si="216"/>
        <v>-900</v>
      </c>
      <c r="L59" s="343">
        <f t="shared" si="216"/>
        <v>0</v>
      </c>
      <c r="M59" s="343">
        <f t="shared" si="216"/>
        <v>0</v>
      </c>
      <c r="N59" s="343">
        <f t="shared" si="216"/>
        <v>0</v>
      </c>
      <c r="O59" s="343">
        <f t="shared" si="216"/>
        <v>0</v>
      </c>
      <c r="P59" s="343">
        <f t="shared" si="216"/>
        <v>0</v>
      </c>
      <c r="Q59" s="343">
        <f t="shared" si="216"/>
        <v>0</v>
      </c>
      <c r="R59" s="343">
        <f t="shared" si="216"/>
        <v>0</v>
      </c>
      <c r="S59" s="343">
        <f t="shared" si="216"/>
        <v>0</v>
      </c>
      <c r="T59" s="343">
        <f t="shared" si="216"/>
        <v>0</v>
      </c>
      <c r="U59" s="343">
        <f t="shared" si="216"/>
        <v>0</v>
      </c>
      <c r="V59" s="343">
        <f t="shared" si="216"/>
        <v>0</v>
      </c>
      <c r="X59" s="345"/>
      <c r="Y59" s="345">
        <f t="shared" ref="Y59:BT59" si="217">(X55-Y55)</f>
        <v>0</v>
      </c>
      <c r="Z59" s="345">
        <f t="shared" si="217"/>
        <v>0</v>
      </c>
      <c r="AA59" s="345">
        <f t="shared" si="217"/>
        <v>0</v>
      </c>
      <c r="AB59" s="345">
        <f t="shared" si="217"/>
        <v>0</v>
      </c>
      <c r="AC59" s="345">
        <f t="shared" si="217"/>
        <v>0</v>
      </c>
      <c r="AD59" s="345">
        <f t="shared" si="217"/>
        <v>0</v>
      </c>
      <c r="AE59" s="345">
        <f t="shared" si="217"/>
        <v>0</v>
      </c>
      <c r="AF59" s="345">
        <f t="shared" si="217"/>
        <v>0</v>
      </c>
      <c r="AG59" s="345">
        <f t="shared" si="217"/>
        <v>0</v>
      </c>
      <c r="AH59" s="345">
        <f t="shared" si="217"/>
        <v>0</v>
      </c>
      <c r="AI59" s="345">
        <f t="shared" si="217"/>
        <v>0</v>
      </c>
      <c r="AJ59" s="345">
        <f t="shared" si="217"/>
        <v>0</v>
      </c>
      <c r="AK59" s="345">
        <f t="shared" si="217"/>
        <v>0</v>
      </c>
      <c r="AL59" s="345">
        <f t="shared" si="217"/>
        <v>0</v>
      </c>
      <c r="AM59" s="345">
        <f t="shared" si="217"/>
        <v>0</v>
      </c>
      <c r="AN59" s="345">
        <f t="shared" si="217"/>
        <v>0</v>
      </c>
      <c r="AO59" s="345">
        <f t="shared" si="217"/>
        <v>0</v>
      </c>
      <c r="AP59" s="345">
        <f t="shared" si="217"/>
        <v>0</v>
      </c>
      <c r="AQ59" s="345">
        <f t="shared" si="217"/>
        <v>0</v>
      </c>
      <c r="AR59" s="345">
        <f t="shared" si="217"/>
        <v>0</v>
      </c>
      <c r="AS59" s="345">
        <f t="shared" si="217"/>
        <v>0</v>
      </c>
      <c r="AT59" s="345">
        <f t="shared" si="217"/>
        <v>0</v>
      </c>
      <c r="AU59" s="345">
        <f t="shared" si="217"/>
        <v>0</v>
      </c>
      <c r="AV59" s="345">
        <f t="shared" si="217"/>
        <v>0</v>
      </c>
      <c r="AW59" s="345">
        <f t="shared" si="217"/>
        <v>0</v>
      </c>
      <c r="AX59" s="345">
        <f t="shared" si="217"/>
        <v>0</v>
      </c>
      <c r="AY59" s="345">
        <f t="shared" si="217"/>
        <v>0</v>
      </c>
      <c r="AZ59" s="345">
        <f t="shared" si="217"/>
        <v>0</v>
      </c>
      <c r="BA59" s="345">
        <f t="shared" si="217"/>
        <v>0</v>
      </c>
      <c r="BB59" s="345">
        <f t="shared" si="217"/>
        <v>0</v>
      </c>
      <c r="BC59" s="360">
        <f t="shared" si="217"/>
        <v>0</v>
      </c>
      <c r="BD59" s="345">
        <f t="shared" si="217"/>
        <v>0</v>
      </c>
      <c r="BE59" s="345">
        <f t="shared" si="217"/>
        <v>0</v>
      </c>
      <c r="BF59" s="345">
        <f t="shared" si="217"/>
        <v>0</v>
      </c>
      <c r="BG59" s="360">
        <f t="shared" si="217"/>
        <v>-934</v>
      </c>
      <c r="BH59" s="345">
        <f t="shared" si="217"/>
        <v>-545</v>
      </c>
      <c r="BI59" s="345">
        <f t="shared" si="217"/>
        <v>-545</v>
      </c>
      <c r="BJ59" s="345">
        <f t="shared" si="217"/>
        <v>21</v>
      </c>
      <c r="BK59" s="345">
        <f t="shared" si="217"/>
        <v>169</v>
      </c>
      <c r="BL59" s="345">
        <f t="shared" si="217"/>
        <v>469</v>
      </c>
      <c r="BM59" s="345">
        <f t="shared" si="217"/>
        <v>-350</v>
      </c>
      <c r="BN59" s="345">
        <f t="shared" si="217"/>
        <v>0</v>
      </c>
      <c r="BO59" s="345">
        <f t="shared" si="217"/>
        <v>0</v>
      </c>
      <c r="BP59" s="345">
        <f t="shared" si="217"/>
        <v>0</v>
      </c>
      <c r="BQ59" s="345">
        <f t="shared" si="217"/>
        <v>0</v>
      </c>
      <c r="BR59" s="345">
        <f t="shared" si="217"/>
        <v>0</v>
      </c>
      <c r="BS59" s="345">
        <f t="shared" si="217"/>
        <v>0</v>
      </c>
      <c r="BT59" s="345">
        <f t="shared" si="217"/>
        <v>0</v>
      </c>
      <c r="CP59" s="83"/>
    </row>
    <row r="60" spans="1:102" s="18" customFormat="1" hidden="1" outlineLevel="1">
      <c r="A60" s="342"/>
      <c r="B60" s="344"/>
      <c r="C60" s="345"/>
      <c r="D60" s="345"/>
      <c r="E60" s="345"/>
      <c r="F60" s="345"/>
      <c r="G60" s="345"/>
      <c r="H60" s="345"/>
      <c r="I60" s="345"/>
      <c r="J60" s="345"/>
      <c r="K60" s="345"/>
      <c r="L60" s="345"/>
      <c r="M60" s="345"/>
      <c r="N60" s="344"/>
      <c r="O60" s="344"/>
      <c r="P60" s="344"/>
      <c r="Q60" s="344"/>
      <c r="R60" s="344"/>
      <c r="S60" s="344"/>
      <c r="T60" s="344"/>
      <c r="U60" s="344"/>
      <c r="V60" s="344"/>
      <c r="X60" s="345"/>
      <c r="Y60" s="345"/>
      <c r="Z60" s="345"/>
      <c r="AA60" s="345"/>
      <c r="AB60" s="345"/>
      <c r="AC60" s="345"/>
      <c r="AD60" s="345"/>
      <c r="AE60" s="345"/>
      <c r="AF60" s="345"/>
      <c r="AG60" s="345"/>
      <c r="AH60" s="345"/>
      <c r="AI60" s="345"/>
      <c r="AJ60" s="345"/>
      <c r="AK60" s="345"/>
      <c r="AL60" s="345"/>
      <c r="AM60" s="345"/>
      <c r="AN60" s="345"/>
      <c r="AO60" s="345"/>
      <c r="AP60" s="345"/>
      <c r="AQ60" s="345"/>
      <c r="AR60" s="345"/>
      <c r="AS60" s="345"/>
      <c r="AT60" s="345"/>
      <c r="AU60" s="345"/>
      <c r="AV60" s="345"/>
      <c r="AW60" s="345"/>
      <c r="AX60" s="345"/>
      <c r="AY60" s="345"/>
      <c r="AZ60" s="345"/>
      <c r="BA60" s="345"/>
      <c r="BB60" s="345"/>
      <c r="BC60" s="360"/>
      <c r="BD60" s="345"/>
      <c r="BE60" s="345"/>
      <c r="BF60" s="345"/>
      <c r="BG60" s="360"/>
      <c r="BH60" s="345"/>
      <c r="BI60" s="345"/>
      <c r="BJ60" s="345"/>
      <c r="BK60" s="360"/>
      <c r="BL60" s="345"/>
      <c r="BM60" s="345"/>
      <c r="BN60" s="345"/>
      <c r="BO60" s="360"/>
      <c r="BP60" s="345"/>
      <c r="BQ60" s="345"/>
      <c r="BR60" s="345"/>
      <c r="BS60" s="360"/>
      <c r="BT60" s="360"/>
      <c r="CP60" s="83"/>
    </row>
    <row r="61" spans="1:102" s="278" customFormat="1" hidden="1" outlineLevel="1">
      <c r="A61" s="339" t="s">
        <v>511</v>
      </c>
      <c r="B61" s="356"/>
      <c r="C61" s="357">
        <f t="shared" ref="C61:V61" si="218">C55-B55</f>
        <v>0</v>
      </c>
      <c r="D61" s="357">
        <f t="shared" si="218"/>
        <v>0</v>
      </c>
      <c r="E61" s="357">
        <f t="shared" si="218"/>
        <v>0</v>
      </c>
      <c r="F61" s="357">
        <f t="shared" si="218"/>
        <v>0</v>
      </c>
      <c r="G61" s="357">
        <f t="shared" si="218"/>
        <v>0</v>
      </c>
      <c r="H61" s="357">
        <f t="shared" si="218"/>
        <v>0</v>
      </c>
      <c r="I61" s="357">
        <f t="shared" si="218"/>
        <v>0</v>
      </c>
      <c r="J61" s="357">
        <f t="shared" si="218"/>
        <v>934</v>
      </c>
      <c r="K61" s="357">
        <f t="shared" si="218"/>
        <v>900</v>
      </c>
      <c r="L61" s="354">
        <f t="shared" si="218"/>
        <v>0</v>
      </c>
      <c r="M61" s="354">
        <f t="shared" si="218"/>
        <v>0</v>
      </c>
      <c r="N61" s="354">
        <f t="shared" si="218"/>
        <v>0</v>
      </c>
      <c r="O61" s="354">
        <f t="shared" si="218"/>
        <v>0</v>
      </c>
      <c r="P61" s="354">
        <f t="shared" si="218"/>
        <v>0</v>
      </c>
      <c r="Q61" s="354">
        <f t="shared" si="218"/>
        <v>0</v>
      </c>
      <c r="R61" s="354">
        <f t="shared" si="218"/>
        <v>0</v>
      </c>
      <c r="S61" s="354">
        <f t="shared" si="218"/>
        <v>0</v>
      </c>
      <c r="T61" s="354">
        <f t="shared" si="218"/>
        <v>0</v>
      </c>
      <c r="U61" s="354">
        <f t="shared" si="218"/>
        <v>0</v>
      </c>
      <c r="V61" s="354">
        <f t="shared" si="218"/>
        <v>0</v>
      </c>
      <c r="X61" s="357"/>
      <c r="Y61" s="357">
        <f t="shared" ref="Y61:AD61" si="219">Y55-X55</f>
        <v>0</v>
      </c>
      <c r="Z61" s="357">
        <f t="shared" si="219"/>
        <v>0</v>
      </c>
      <c r="AA61" s="357">
        <f t="shared" si="219"/>
        <v>0</v>
      </c>
      <c r="AB61" s="357">
        <f t="shared" si="219"/>
        <v>0</v>
      </c>
      <c r="AC61" s="357">
        <f t="shared" si="219"/>
        <v>0</v>
      </c>
      <c r="AD61" s="357">
        <f t="shared" si="219"/>
        <v>0</v>
      </c>
      <c r="AE61" s="357">
        <f t="shared" ref="AE61:BT61" si="220">AE55-AD55</f>
        <v>0</v>
      </c>
      <c r="AF61" s="357">
        <f t="shared" si="220"/>
        <v>0</v>
      </c>
      <c r="AG61" s="357">
        <f t="shared" si="220"/>
        <v>0</v>
      </c>
      <c r="AH61" s="357">
        <f t="shared" si="220"/>
        <v>0</v>
      </c>
      <c r="AI61" s="357">
        <f t="shared" si="220"/>
        <v>0</v>
      </c>
      <c r="AJ61" s="357">
        <f t="shared" si="220"/>
        <v>0</v>
      </c>
      <c r="AK61" s="357">
        <f t="shared" si="220"/>
        <v>0</v>
      </c>
      <c r="AL61" s="357">
        <f t="shared" si="220"/>
        <v>0</v>
      </c>
      <c r="AM61" s="357">
        <f t="shared" si="220"/>
        <v>0</v>
      </c>
      <c r="AN61" s="357">
        <f t="shared" si="220"/>
        <v>0</v>
      </c>
      <c r="AO61" s="357">
        <f t="shared" si="220"/>
        <v>0</v>
      </c>
      <c r="AP61" s="357">
        <f t="shared" si="220"/>
        <v>0</v>
      </c>
      <c r="AQ61" s="357">
        <f t="shared" si="220"/>
        <v>0</v>
      </c>
      <c r="AR61" s="357">
        <f t="shared" si="220"/>
        <v>0</v>
      </c>
      <c r="AS61" s="357">
        <f t="shared" si="220"/>
        <v>0</v>
      </c>
      <c r="AT61" s="357">
        <f t="shared" si="220"/>
        <v>0</v>
      </c>
      <c r="AU61" s="357">
        <f t="shared" si="220"/>
        <v>0</v>
      </c>
      <c r="AV61" s="357">
        <f t="shared" si="220"/>
        <v>0</v>
      </c>
      <c r="AW61" s="357">
        <f t="shared" si="220"/>
        <v>0</v>
      </c>
      <c r="AX61" s="357">
        <f t="shared" si="220"/>
        <v>0</v>
      </c>
      <c r="AY61" s="357">
        <f t="shared" si="220"/>
        <v>0</v>
      </c>
      <c r="AZ61" s="357">
        <f t="shared" si="220"/>
        <v>0</v>
      </c>
      <c r="BA61" s="357">
        <f t="shared" si="220"/>
        <v>0</v>
      </c>
      <c r="BB61" s="357">
        <f t="shared" si="220"/>
        <v>0</v>
      </c>
      <c r="BC61" s="357">
        <f t="shared" si="220"/>
        <v>0</v>
      </c>
      <c r="BD61" s="357">
        <f t="shared" si="220"/>
        <v>0</v>
      </c>
      <c r="BE61" s="357">
        <f t="shared" si="220"/>
        <v>0</v>
      </c>
      <c r="BF61" s="357">
        <f t="shared" si="220"/>
        <v>0</v>
      </c>
      <c r="BG61" s="357">
        <f t="shared" si="220"/>
        <v>934</v>
      </c>
      <c r="BH61" s="357">
        <f t="shared" si="220"/>
        <v>545</v>
      </c>
      <c r="BI61" s="357">
        <f t="shared" si="220"/>
        <v>545</v>
      </c>
      <c r="BJ61" s="357">
        <f t="shared" si="220"/>
        <v>-21</v>
      </c>
      <c r="BK61" s="357">
        <f t="shared" si="220"/>
        <v>-169</v>
      </c>
      <c r="BL61" s="357">
        <f t="shared" si="220"/>
        <v>-469</v>
      </c>
      <c r="BM61" s="357">
        <f t="shared" si="220"/>
        <v>350</v>
      </c>
      <c r="BN61" s="357">
        <f t="shared" si="220"/>
        <v>0</v>
      </c>
      <c r="BO61" s="357">
        <f t="shared" si="220"/>
        <v>0</v>
      </c>
      <c r="BP61" s="357">
        <f t="shared" si="220"/>
        <v>0</v>
      </c>
      <c r="BQ61" s="357">
        <f t="shared" si="220"/>
        <v>0</v>
      </c>
      <c r="BR61" s="357">
        <f t="shared" si="220"/>
        <v>0</v>
      </c>
      <c r="BS61" s="357">
        <f t="shared" si="220"/>
        <v>0</v>
      </c>
      <c r="BT61" s="357">
        <f t="shared" si="220"/>
        <v>0</v>
      </c>
      <c r="BU61" s="18"/>
      <c r="BV61" s="18"/>
      <c r="BW61" s="18"/>
      <c r="BY61" s="18"/>
      <c r="BZ61" s="18"/>
      <c r="CA61" s="18"/>
      <c r="CC61" s="18"/>
      <c r="CD61" s="18"/>
      <c r="CE61" s="18"/>
      <c r="CF61" s="18"/>
      <c r="CG61" s="18"/>
      <c r="CH61" s="18"/>
      <c r="CI61" s="18"/>
      <c r="CJ61" s="18"/>
      <c r="CK61" s="18"/>
      <c r="CL61" s="18"/>
      <c r="CM61" s="18"/>
      <c r="CN61" s="18"/>
      <c r="CP61" s="498"/>
    </row>
    <row r="62" spans="1:102" s="278" customFormat="1" hidden="1" outlineLevel="1">
      <c r="A62" s="339" t="s">
        <v>1</v>
      </c>
      <c r="B62" s="356"/>
      <c r="C62" s="346">
        <v>0</v>
      </c>
      <c r="D62" s="346">
        <v>0</v>
      </c>
      <c r="E62" s="346">
        <v>0</v>
      </c>
      <c r="F62" s="346">
        <v>0</v>
      </c>
      <c r="G62" s="346">
        <v>0</v>
      </c>
      <c r="H62" s="346">
        <v>0</v>
      </c>
      <c r="I62" s="346">
        <v>0</v>
      </c>
      <c r="J62" s="346">
        <v>0</v>
      </c>
      <c r="K62" s="346">
        <v>0</v>
      </c>
      <c r="L62" s="346">
        <v>0</v>
      </c>
      <c r="M62" s="346">
        <v>0</v>
      </c>
      <c r="N62" s="346">
        <v>0</v>
      </c>
      <c r="O62" s="346">
        <v>0</v>
      </c>
      <c r="P62" s="346">
        <v>0</v>
      </c>
      <c r="Q62" s="346">
        <v>0</v>
      </c>
      <c r="R62" s="346">
        <v>0</v>
      </c>
      <c r="S62" s="346">
        <v>0</v>
      </c>
      <c r="T62" s="346">
        <v>0</v>
      </c>
      <c r="U62" s="346">
        <v>0</v>
      </c>
      <c r="V62" s="346">
        <v>0</v>
      </c>
      <c r="X62" s="346"/>
      <c r="Y62" s="346">
        <v>0</v>
      </c>
      <c r="Z62" s="346">
        <v>0</v>
      </c>
      <c r="AA62" s="346">
        <v>0</v>
      </c>
      <c r="AB62" s="346">
        <v>0</v>
      </c>
      <c r="AC62" s="346">
        <v>0</v>
      </c>
      <c r="AD62" s="346">
        <v>0</v>
      </c>
      <c r="AE62" s="346">
        <v>0</v>
      </c>
      <c r="AF62" s="346">
        <v>0</v>
      </c>
      <c r="AG62" s="346">
        <v>0</v>
      </c>
      <c r="AH62" s="346">
        <v>0</v>
      </c>
      <c r="AI62" s="346">
        <v>0</v>
      </c>
      <c r="AJ62" s="346">
        <v>0</v>
      </c>
      <c r="AK62" s="346">
        <v>0</v>
      </c>
      <c r="AL62" s="346">
        <v>0</v>
      </c>
      <c r="AM62" s="346">
        <v>0</v>
      </c>
      <c r="AN62" s="346">
        <v>0</v>
      </c>
      <c r="AO62" s="346">
        <v>0</v>
      </c>
      <c r="AP62" s="346">
        <v>0</v>
      </c>
      <c r="AQ62" s="346">
        <v>0</v>
      </c>
      <c r="AR62" s="346">
        <v>0</v>
      </c>
      <c r="AS62" s="346">
        <v>0</v>
      </c>
      <c r="AT62" s="346">
        <v>0</v>
      </c>
      <c r="AU62" s="346">
        <v>0</v>
      </c>
      <c r="AV62" s="346">
        <v>0</v>
      </c>
      <c r="AW62" s="346">
        <v>0</v>
      </c>
      <c r="AX62" s="346">
        <v>0</v>
      </c>
      <c r="AY62" s="346">
        <v>0</v>
      </c>
      <c r="AZ62" s="346">
        <v>0</v>
      </c>
      <c r="BA62" s="346">
        <v>0</v>
      </c>
      <c r="BB62" s="346">
        <v>0</v>
      </c>
      <c r="BC62" s="346">
        <v>0</v>
      </c>
      <c r="BD62" s="346">
        <v>0</v>
      </c>
      <c r="BE62" s="346">
        <v>0</v>
      </c>
      <c r="BF62" s="346">
        <v>0</v>
      </c>
      <c r="BG62" s="346">
        <v>0</v>
      </c>
      <c r="BH62" s="346">
        <v>0</v>
      </c>
      <c r="BI62" s="346">
        <v>0</v>
      </c>
      <c r="BJ62" s="346">
        <v>0</v>
      </c>
      <c r="BK62" s="346">
        <v>0</v>
      </c>
      <c r="BL62" s="346">
        <v>0</v>
      </c>
      <c r="BM62" s="346">
        <v>0</v>
      </c>
      <c r="BN62" s="346">
        <v>0</v>
      </c>
      <c r="BO62" s="346">
        <v>0</v>
      </c>
      <c r="BP62" s="346">
        <v>0</v>
      </c>
      <c r="BQ62" s="346">
        <v>0</v>
      </c>
      <c r="BR62" s="346">
        <v>0</v>
      </c>
      <c r="BS62" s="346">
        <v>0</v>
      </c>
      <c r="BT62" s="346">
        <v>0</v>
      </c>
      <c r="BU62" s="18"/>
      <c r="BV62" s="18"/>
      <c r="BW62" s="18"/>
      <c r="BY62" s="18"/>
      <c r="BZ62" s="18"/>
      <c r="CA62" s="18"/>
      <c r="CC62" s="18"/>
      <c r="CD62" s="18"/>
      <c r="CE62" s="18"/>
      <c r="CF62" s="18"/>
      <c r="CG62" s="18"/>
      <c r="CH62" s="18"/>
      <c r="CI62" s="18"/>
      <c r="CJ62" s="18"/>
      <c r="CK62" s="18"/>
      <c r="CL62" s="18"/>
      <c r="CM62" s="18"/>
      <c r="CN62" s="18"/>
      <c r="CP62" s="498"/>
    </row>
    <row r="63" spans="1:102" s="18" customFormat="1" hidden="1" outlineLevel="1">
      <c r="A63" s="342" t="s">
        <v>511</v>
      </c>
      <c r="B63" s="343"/>
      <c r="C63" s="343">
        <f t="shared" ref="C63:Q63" si="221">C61+C62</f>
        <v>0</v>
      </c>
      <c r="D63" s="343">
        <f t="shared" si="221"/>
        <v>0</v>
      </c>
      <c r="E63" s="343">
        <f t="shared" si="221"/>
        <v>0</v>
      </c>
      <c r="F63" s="343">
        <f t="shared" si="221"/>
        <v>0</v>
      </c>
      <c r="G63" s="343">
        <f t="shared" si="221"/>
        <v>0</v>
      </c>
      <c r="H63" s="343">
        <f t="shared" si="221"/>
        <v>0</v>
      </c>
      <c r="I63" s="343">
        <f t="shared" si="221"/>
        <v>0</v>
      </c>
      <c r="J63" s="343">
        <f t="shared" si="221"/>
        <v>934</v>
      </c>
      <c r="K63" s="343">
        <f t="shared" si="221"/>
        <v>900</v>
      </c>
      <c r="L63" s="343">
        <f t="shared" si="221"/>
        <v>0</v>
      </c>
      <c r="M63" s="343">
        <f t="shared" si="221"/>
        <v>0</v>
      </c>
      <c r="N63" s="343">
        <f t="shared" si="221"/>
        <v>0</v>
      </c>
      <c r="O63" s="343">
        <f t="shared" si="221"/>
        <v>0</v>
      </c>
      <c r="P63" s="343">
        <f t="shared" si="221"/>
        <v>0</v>
      </c>
      <c r="Q63" s="343">
        <f t="shared" si="221"/>
        <v>0</v>
      </c>
      <c r="R63" s="343">
        <f>R61+R62</f>
        <v>0</v>
      </c>
      <c r="S63" s="343">
        <f>S61+S62</f>
        <v>0</v>
      </c>
      <c r="T63" s="343">
        <f>T61+T62</f>
        <v>0</v>
      </c>
      <c r="U63" s="343">
        <f>U61+U62</f>
        <v>0</v>
      </c>
      <c r="V63" s="343">
        <f>V61+V62</f>
        <v>0</v>
      </c>
      <c r="X63" s="343"/>
      <c r="Y63" s="343">
        <f t="shared" ref="Y63:BR63" si="222">Y61+Y62</f>
        <v>0</v>
      </c>
      <c r="Z63" s="343">
        <f t="shared" si="222"/>
        <v>0</v>
      </c>
      <c r="AA63" s="343">
        <f t="shared" si="222"/>
        <v>0</v>
      </c>
      <c r="AB63" s="343">
        <f t="shared" si="222"/>
        <v>0</v>
      </c>
      <c r="AC63" s="343">
        <f t="shared" si="222"/>
        <v>0</v>
      </c>
      <c r="AD63" s="343">
        <f t="shared" si="222"/>
        <v>0</v>
      </c>
      <c r="AE63" s="343">
        <f t="shared" si="222"/>
        <v>0</v>
      </c>
      <c r="AF63" s="343">
        <f t="shared" si="222"/>
        <v>0</v>
      </c>
      <c r="AG63" s="343">
        <f t="shared" si="222"/>
        <v>0</v>
      </c>
      <c r="AH63" s="343">
        <f t="shared" si="222"/>
        <v>0</v>
      </c>
      <c r="AI63" s="343">
        <f t="shared" si="222"/>
        <v>0</v>
      </c>
      <c r="AJ63" s="343">
        <f t="shared" si="222"/>
        <v>0</v>
      </c>
      <c r="AK63" s="343">
        <f t="shared" si="222"/>
        <v>0</v>
      </c>
      <c r="AL63" s="343">
        <f t="shared" si="222"/>
        <v>0</v>
      </c>
      <c r="AM63" s="343">
        <f t="shared" si="222"/>
        <v>0</v>
      </c>
      <c r="AN63" s="343">
        <f t="shared" si="222"/>
        <v>0</v>
      </c>
      <c r="AO63" s="343">
        <f t="shared" si="222"/>
        <v>0</v>
      </c>
      <c r="AP63" s="343">
        <f t="shared" si="222"/>
        <v>0</v>
      </c>
      <c r="AQ63" s="343">
        <f t="shared" si="222"/>
        <v>0</v>
      </c>
      <c r="AR63" s="343">
        <f t="shared" si="222"/>
        <v>0</v>
      </c>
      <c r="AS63" s="343">
        <f t="shared" si="222"/>
        <v>0</v>
      </c>
      <c r="AT63" s="343">
        <f t="shared" si="222"/>
        <v>0</v>
      </c>
      <c r="AU63" s="343">
        <f t="shared" si="222"/>
        <v>0</v>
      </c>
      <c r="AV63" s="343">
        <f t="shared" si="222"/>
        <v>0</v>
      </c>
      <c r="AW63" s="343">
        <f t="shared" si="222"/>
        <v>0</v>
      </c>
      <c r="AX63" s="343">
        <f t="shared" si="222"/>
        <v>0</v>
      </c>
      <c r="AY63" s="343">
        <f t="shared" si="222"/>
        <v>0</v>
      </c>
      <c r="AZ63" s="343">
        <f t="shared" si="222"/>
        <v>0</v>
      </c>
      <c r="BA63" s="343">
        <f t="shared" si="222"/>
        <v>0</v>
      </c>
      <c r="BB63" s="343">
        <f t="shared" si="222"/>
        <v>0</v>
      </c>
      <c r="BC63" s="343">
        <f t="shared" si="222"/>
        <v>0</v>
      </c>
      <c r="BD63" s="343">
        <f t="shared" si="222"/>
        <v>0</v>
      </c>
      <c r="BE63" s="343">
        <f t="shared" si="222"/>
        <v>0</v>
      </c>
      <c r="BF63" s="343">
        <f t="shared" si="222"/>
        <v>0</v>
      </c>
      <c r="BG63" s="343">
        <f t="shared" si="222"/>
        <v>934</v>
      </c>
      <c r="BH63" s="343">
        <f t="shared" si="222"/>
        <v>545</v>
      </c>
      <c r="BI63" s="343">
        <f t="shared" si="222"/>
        <v>545</v>
      </c>
      <c r="BJ63" s="343">
        <f t="shared" si="222"/>
        <v>-21</v>
      </c>
      <c r="BK63" s="343">
        <f t="shared" si="222"/>
        <v>-169</v>
      </c>
      <c r="BL63" s="343">
        <f t="shared" si="222"/>
        <v>-469</v>
      </c>
      <c r="BM63" s="343">
        <f>BM61+BM62</f>
        <v>350</v>
      </c>
      <c r="BN63" s="343">
        <f t="shared" si="222"/>
        <v>0</v>
      </c>
      <c r="BO63" s="343">
        <f t="shared" si="222"/>
        <v>0</v>
      </c>
      <c r="BP63" s="343">
        <f t="shared" si="222"/>
        <v>0</v>
      </c>
      <c r="BQ63" s="343">
        <f t="shared" si="222"/>
        <v>0</v>
      </c>
      <c r="BR63" s="343">
        <f t="shared" si="222"/>
        <v>0</v>
      </c>
      <c r="BS63" s="343">
        <f>BS61+BS62</f>
        <v>0</v>
      </c>
      <c r="BT63" s="343">
        <f>BT61+BT62</f>
        <v>0</v>
      </c>
      <c r="CP63" s="83"/>
    </row>
    <row r="64" spans="1:102" s="18" customFormat="1" hidden="1" outlineLevel="1">
      <c r="A64" s="342"/>
      <c r="B64" s="344"/>
      <c r="C64" s="345"/>
      <c r="D64" s="345"/>
      <c r="E64" s="345"/>
      <c r="F64" s="345"/>
      <c r="G64" s="345"/>
      <c r="H64" s="345"/>
      <c r="I64" s="345"/>
      <c r="J64" s="345"/>
      <c r="K64" s="345"/>
      <c r="L64" s="345"/>
      <c r="M64" s="345"/>
      <c r="N64" s="344"/>
      <c r="O64" s="344"/>
      <c r="P64" s="344"/>
      <c r="Q64" s="344"/>
      <c r="R64" s="344"/>
      <c r="S64" s="344"/>
      <c r="T64" s="344"/>
      <c r="U64" s="344"/>
      <c r="V64" s="344"/>
      <c r="X64" s="345"/>
      <c r="Y64" s="345"/>
      <c r="Z64" s="345"/>
      <c r="AA64" s="345"/>
      <c r="AB64" s="345"/>
      <c r="AC64" s="345"/>
      <c r="AD64" s="345"/>
      <c r="AE64" s="345"/>
      <c r="AF64" s="345"/>
      <c r="AG64" s="345"/>
      <c r="AH64" s="345"/>
      <c r="AI64" s="345"/>
      <c r="AJ64" s="345"/>
      <c r="AK64" s="345"/>
      <c r="AL64" s="345"/>
      <c r="AM64" s="345"/>
      <c r="AN64" s="345"/>
      <c r="AO64" s="345"/>
      <c r="AP64" s="345"/>
      <c r="AQ64" s="345"/>
      <c r="AR64" s="345"/>
      <c r="AS64" s="345"/>
      <c r="AT64" s="345"/>
      <c r="AU64" s="345"/>
      <c r="AV64" s="345"/>
      <c r="AW64" s="345"/>
      <c r="AX64" s="345"/>
      <c r="AY64" s="345"/>
      <c r="AZ64" s="345"/>
      <c r="BA64" s="345"/>
      <c r="BB64" s="345"/>
      <c r="BC64" s="360"/>
      <c r="BD64" s="345"/>
      <c r="BE64" s="345"/>
      <c r="BF64" s="345"/>
      <c r="BG64" s="360"/>
      <c r="BH64" s="345"/>
      <c r="BI64" s="345"/>
      <c r="BJ64" s="345"/>
      <c r="BK64" s="360"/>
      <c r="BL64" s="345"/>
      <c r="BM64" s="345"/>
      <c r="BN64" s="345"/>
      <c r="BO64" s="360"/>
      <c r="BP64" s="345"/>
      <c r="BQ64" s="345"/>
      <c r="BR64" s="345"/>
      <c r="BS64" s="360"/>
      <c r="BT64" s="360"/>
      <c r="CP64" s="83"/>
    </row>
    <row r="65" spans="1:94" s="18" customFormat="1" hidden="1" outlineLevel="1">
      <c r="A65" s="339" t="s">
        <v>480</v>
      </c>
      <c r="B65" s="357"/>
      <c r="C65" s="357">
        <f t="shared" ref="C65:Q65" si="223">IFERROR(C57/C41,0)</f>
        <v>0</v>
      </c>
      <c r="D65" s="357">
        <f t="shared" si="223"/>
        <v>0</v>
      </c>
      <c r="E65" s="357">
        <f t="shared" si="223"/>
        <v>0</v>
      </c>
      <c r="F65" s="357">
        <f t="shared" si="223"/>
        <v>0</v>
      </c>
      <c r="G65" s="357">
        <f t="shared" si="223"/>
        <v>0</v>
      </c>
      <c r="H65" s="357">
        <f t="shared" si="223"/>
        <v>0</v>
      </c>
      <c r="I65" s="357">
        <f t="shared" si="223"/>
        <v>0</v>
      </c>
      <c r="J65" s="357">
        <f t="shared" si="223"/>
        <v>-0.77946127946127941</v>
      </c>
      <c r="K65" s="357">
        <f t="shared" si="223"/>
        <v>-1.6221374045801527</v>
      </c>
      <c r="L65" s="357">
        <f t="shared" si="223"/>
        <v>0</v>
      </c>
      <c r="M65" s="357">
        <f t="shared" si="223"/>
        <v>0</v>
      </c>
      <c r="N65" s="357">
        <f t="shared" si="223"/>
        <v>0</v>
      </c>
      <c r="O65" s="357">
        <f t="shared" si="223"/>
        <v>0</v>
      </c>
      <c r="P65" s="357">
        <f t="shared" si="223"/>
        <v>0</v>
      </c>
      <c r="Q65" s="357">
        <f t="shared" si="223"/>
        <v>0</v>
      </c>
      <c r="R65" s="357">
        <f>IFERROR(R57/R41,0)</f>
        <v>0</v>
      </c>
      <c r="S65" s="357">
        <f>IFERROR(S57/S41,0)</f>
        <v>0</v>
      </c>
      <c r="T65" s="357">
        <f>IFERROR(T57/T41,0)</f>
        <v>0</v>
      </c>
      <c r="U65" s="357">
        <f>IFERROR(U57/U41,0)</f>
        <v>0</v>
      </c>
      <c r="V65" s="357">
        <f>IFERROR(V57/V41,0)</f>
        <v>0</v>
      </c>
      <c r="X65" s="357"/>
      <c r="Y65" s="357">
        <f t="shared" ref="Y65:BL65" si="224">IFERROR(Y57/Y41,0)</f>
        <v>0</v>
      </c>
      <c r="Z65" s="357">
        <f t="shared" si="224"/>
        <v>0</v>
      </c>
      <c r="AA65" s="357">
        <f t="shared" si="224"/>
        <v>0</v>
      </c>
      <c r="AB65" s="357">
        <f t="shared" si="224"/>
        <v>0</v>
      </c>
      <c r="AC65" s="357">
        <f t="shared" si="224"/>
        <v>0</v>
      </c>
      <c r="AD65" s="357">
        <f t="shared" si="224"/>
        <v>0</v>
      </c>
      <c r="AE65" s="357">
        <f t="shared" si="224"/>
        <v>0</v>
      </c>
      <c r="AF65" s="357">
        <f t="shared" si="224"/>
        <v>0</v>
      </c>
      <c r="AG65" s="357">
        <f t="shared" si="224"/>
        <v>0</v>
      </c>
      <c r="AH65" s="357">
        <f t="shared" si="224"/>
        <v>0</v>
      </c>
      <c r="AI65" s="357">
        <f t="shared" si="224"/>
        <v>0</v>
      </c>
      <c r="AJ65" s="357">
        <f t="shared" si="224"/>
        <v>0</v>
      </c>
      <c r="AK65" s="357">
        <f t="shared" si="224"/>
        <v>0</v>
      </c>
      <c r="AL65" s="357">
        <f t="shared" si="224"/>
        <v>0</v>
      </c>
      <c r="AM65" s="357">
        <f t="shared" si="224"/>
        <v>0</v>
      </c>
      <c r="AN65" s="357">
        <f t="shared" si="224"/>
        <v>0</v>
      </c>
      <c r="AO65" s="357">
        <f t="shared" si="224"/>
        <v>0</v>
      </c>
      <c r="AP65" s="357">
        <f t="shared" si="224"/>
        <v>0</v>
      </c>
      <c r="AQ65" s="357">
        <f t="shared" si="224"/>
        <v>0</v>
      </c>
      <c r="AR65" s="357">
        <f t="shared" si="224"/>
        <v>0</v>
      </c>
      <c r="AS65" s="357">
        <f t="shared" si="224"/>
        <v>0</v>
      </c>
      <c r="AT65" s="357">
        <f t="shared" si="224"/>
        <v>0</v>
      </c>
      <c r="AU65" s="357">
        <f t="shared" si="224"/>
        <v>0</v>
      </c>
      <c r="AV65" s="357">
        <f t="shared" si="224"/>
        <v>0</v>
      </c>
      <c r="AW65" s="357">
        <f t="shared" si="224"/>
        <v>0</v>
      </c>
      <c r="AX65" s="357">
        <f t="shared" si="224"/>
        <v>0</v>
      </c>
      <c r="AY65" s="357">
        <f t="shared" si="224"/>
        <v>0</v>
      </c>
      <c r="AZ65" s="357">
        <f t="shared" si="224"/>
        <v>0</v>
      </c>
      <c r="BA65" s="357">
        <f t="shared" si="224"/>
        <v>0</v>
      </c>
      <c r="BB65" s="357">
        <f t="shared" si="224"/>
        <v>0</v>
      </c>
      <c r="BC65" s="357">
        <f t="shared" si="224"/>
        <v>0</v>
      </c>
      <c r="BD65" s="357">
        <f t="shared" si="224"/>
        <v>0</v>
      </c>
      <c r="BE65" s="357">
        <f t="shared" si="224"/>
        <v>0</v>
      </c>
      <c r="BF65" s="357">
        <f t="shared" si="224"/>
        <v>0</v>
      </c>
      <c r="BG65" s="357">
        <f t="shared" si="224"/>
        <v>-2.9679487179487181</v>
      </c>
      <c r="BH65" s="357">
        <f t="shared" si="224"/>
        <v>-3.5753424657534247</v>
      </c>
      <c r="BI65" s="357">
        <f t="shared" si="224"/>
        <v>-4.1428571428571432</v>
      </c>
      <c r="BJ65" s="357">
        <f t="shared" si="224"/>
        <v>0.20634920634920634</v>
      </c>
      <c r="BK65" s="357">
        <f t="shared" si="224"/>
        <v>1.3333333333333333</v>
      </c>
      <c r="BL65" s="357">
        <f t="shared" si="224"/>
        <v>0</v>
      </c>
      <c r="BM65" s="357">
        <f>IFERROR(BM57/BM41,0)</f>
        <v>0</v>
      </c>
      <c r="BN65" s="357">
        <f t="shared" ref="BN65:BS65" si="225">IFERROR(BN57/BN41,0)</f>
        <v>0</v>
      </c>
      <c r="BO65" s="357">
        <f t="shared" si="225"/>
        <v>0</v>
      </c>
      <c r="BP65" s="357">
        <f t="shared" si="225"/>
        <v>0</v>
      </c>
      <c r="BQ65" s="357">
        <f t="shared" si="225"/>
        <v>0</v>
      </c>
      <c r="BR65" s="357">
        <f t="shared" si="225"/>
        <v>0</v>
      </c>
      <c r="BS65" s="357">
        <f t="shared" si="225"/>
        <v>0</v>
      </c>
      <c r="BT65" s="357">
        <f>IFERROR(BT57/BT41,0)</f>
        <v>0</v>
      </c>
      <c r="CP65" s="83"/>
    </row>
    <row r="66" spans="1:94" s="18" customFormat="1" hidden="1" outlineLevel="1">
      <c r="A66" s="339" t="s">
        <v>517</v>
      </c>
      <c r="B66" s="357"/>
      <c r="C66" s="357">
        <f t="shared" ref="C66:Q66" si="226">IFERROR(C58/C41,0)</f>
        <v>0</v>
      </c>
      <c r="D66" s="357">
        <f t="shared" si="226"/>
        <v>0</v>
      </c>
      <c r="E66" s="357">
        <f t="shared" si="226"/>
        <v>0</v>
      </c>
      <c r="F66" s="357">
        <f t="shared" si="226"/>
        <v>0</v>
      </c>
      <c r="G66" s="357">
        <f t="shared" si="226"/>
        <v>0</v>
      </c>
      <c r="H66" s="357">
        <f t="shared" si="226"/>
        <v>0</v>
      </c>
      <c r="I66" s="357">
        <f t="shared" si="226"/>
        <v>0</v>
      </c>
      <c r="J66" s="357">
        <f t="shared" si="226"/>
        <v>-0.79292929292929293</v>
      </c>
      <c r="K66" s="357">
        <f t="shared" si="226"/>
        <v>-9.5419847328244281E-2</v>
      </c>
      <c r="L66" s="357">
        <f t="shared" si="226"/>
        <v>0</v>
      </c>
      <c r="M66" s="357">
        <f t="shared" si="226"/>
        <v>0</v>
      </c>
      <c r="N66" s="357">
        <f t="shared" si="226"/>
        <v>0</v>
      </c>
      <c r="O66" s="357">
        <f t="shared" si="226"/>
        <v>0</v>
      </c>
      <c r="P66" s="357">
        <f t="shared" si="226"/>
        <v>0</v>
      </c>
      <c r="Q66" s="357">
        <f t="shared" si="226"/>
        <v>0</v>
      </c>
      <c r="R66" s="357">
        <f>IFERROR(R58/R41,0)</f>
        <v>0</v>
      </c>
      <c r="S66" s="357">
        <f>IFERROR(S58/S41,0)</f>
        <v>0</v>
      </c>
      <c r="T66" s="357">
        <f>IFERROR(T58/T41,0)</f>
        <v>0</v>
      </c>
      <c r="U66" s="357">
        <f>IFERROR(U58/U41,0)</f>
        <v>0</v>
      </c>
      <c r="V66" s="357">
        <f>IFERROR(V58/V41,0)</f>
        <v>0</v>
      </c>
      <c r="X66" s="357"/>
      <c r="Y66" s="357">
        <f t="shared" ref="Y66:BK66" si="227">IFERROR(Y58/Y41,0)</f>
        <v>0</v>
      </c>
      <c r="Z66" s="357">
        <f t="shared" si="227"/>
        <v>0</v>
      </c>
      <c r="AA66" s="357">
        <f t="shared" si="227"/>
        <v>0</v>
      </c>
      <c r="AB66" s="357">
        <f t="shared" si="227"/>
        <v>0</v>
      </c>
      <c r="AC66" s="357">
        <f t="shared" si="227"/>
        <v>0</v>
      </c>
      <c r="AD66" s="357">
        <f t="shared" si="227"/>
        <v>0</v>
      </c>
      <c r="AE66" s="357">
        <f t="shared" si="227"/>
        <v>0</v>
      </c>
      <c r="AF66" s="357">
        <f t="shared" si="227"/>
        <v>0</v>
      </c>
      <c r="AG66" s="357">
        <f t="shared" si="227"/>
        <v>0</v>
      </c>
      <c r="AH66" s="357">
        <f t="shared" si="227"/>
        <v>0</v>
      </c>
      <c r="AI66" s="357">
        <f t="shared" si="227"/>
        <v>0</v>
      </c>
      <c r="AJ66" s="357">
        <f t="shared" si="227"/>
        <v>0</v>
      </c>
      <c r="AK66" s="357">
        <f t="shared" si="227"/>
        <v>0</v>
      </c>
      <c r="AL66" s="357">
        <f t="shared" si="227"/>
        <v>0</v>
      </c>
      <c r="AM66" s="357">
        <f t="shared" si="227"/>
        <v>0</v>
      </c>
      <c r="AN66" s="357">
        <f t="shared" si="227"/>
        <v>0</v>
      </c>
      <c r="AO66" s="357">
        <f t="shared" si="227"/>
        <v>0</v>
      </c>
      <c r="AP66" s="357">
        <f t="shared" si="227"/>
        <v>0</v>
      </c>
      <c r="AQ66" s="357">
        <f t="shared" si="227"/>
        <v>0</v>
      </c>
      <c r="AR66" s="357">
        <f t="shared" si="227"/>
        <v>0</v>
      </c>
      <c r="AS66" s="357">
        <f t="shared" si="227"/>
        <v>0</v>
      </c>
      <c r="AT66" s="357">
        <f t="shared" si="227"/>
        <v>0</v>
      </c>
      <c r="AU66" s="357">
        <f t="shared" si="227"/>
        <v>0</v>
      </c>
      <c r="AV66" s="357">
        <f t="shared" si="227"/>
        <v>0</v>
      </c>
      <c r="AW66" s="357">
        <f t="shared" si="227"/>
        <v>0</v>
      </c>
      <c r="AX66" s="357">
        <f t="shared" si="227"/>
        <v>0</v>
      </c>
      <c r="AY66" s="357">
        <f t="shared" si="227"/>
        <v>0</v>
      </c>
      <c r="AZ66" s="357">
        <f t="shared" si="227"/>
        <v>0</v>
      </c>
      <c r="BA66" s="357">
        <f t="shared" si="227"/>
        <v>0</v>
      </c>
      <c r="BB66" s="357">
        <f t="shared" si="227"/>
        <v>0</v>
      </c>
      <c r="BC66" s="357">
        <f t="shared" si="227"/>
        <v>0</v>
      </c>
      <c r="BD66" s="357">
        <f t="shared" si="227"/>
        <v>0</v>
      </c>
      <c r="BE66" s="357">
        <f t="shared" si="227"/>
        <v>0</v>
      </c>
      <c r="BF66" s="357">
        <f t="shared" si="227"/>
        <v>0</v>
      </c>
      <c r="BG66" s="357">
        <f t="shared" si="227"/>
        <v>-3.0192307692307692</v>
      </c>
      <c r="BH66" s="357">
        <f t="shared" si="227"/>
        <v>-0.15753424657534246</v>
      </c>
      <c r="BI66" s="357">
        <f t="shared" si="227"/>
        <v>-0.18253968253968253</v>
      </c>
      <c r="BJ66" s="357">
        <f t="shared" si="227"/>
        <v>-3.968253968253968E-2</v>
      </c>
      <c r="BK66" s="357">
        <f t="shared" si="227"/>
        <v>7.9365079365079361E-3</v>
      </c>
      <c r="BL66" s="357">
        <f>IFERROR(BL58/BL41,0)</f>
        <v>0</v>
      </c>
      <c r="BM66" s="357">
        <f>IFERROR(BM58/BM41,0)</f>
        <v>0</v>
      </c>
      <c r="BN66" s="357">
        <f t="shared" ref="BN66:BS66" si="228">IFERROR(BN58/BN41,0)</f>
        <v>0</v>
      </c>
      <c r="BO66" s="357">
        <f t="shared" si="228"/>
        <v>0</v>
      </c>
      <c r="BP66" s="357">
        <f t="shared" si="228"/>
        <v>0</v>
      </c>
      <c r="BQ66" s="357">
        <f t="shared" si="228"/>
        <v>0</v>
      </c>
      <c r="BR66" s="357">
        <f t="shared" si="228"/>
        <v>0</v>
      </c>
      <c r="BS66" s="357">
        <f t="shared" si="228"/>
        <v>0</v>
      </c>
      <c r="BT66" s="357">
        <f>IFERROR(BT58/BT41,0)</f>
        <v>0</v>
      </c>
      <c r="CP66" s="83"/>
    </row>
    <row r="67" spans="1:94" s="18" customFormat="1" hidden="1" outlineLevel="1">
      <c r="A67" s="342" t="s">
        <v>477</v>
      </c>
      <c r="B67" s="345"/>
      <c r="C67" s="345">
        <f t="shared" ref="C67:Q67" si="229">IFERROR(C59/C41,0)</f>
        <v>0</v>
      </c>
      <c r="D67" s="345">
        <f t="shared" si="229"/>
        <v>0</v>
      </c>
      <c r="E67" s="345">
        <f t="shared" si="229"/>
        <v>0</v>
      </c>
      <c r="F67" s="345">
        <f t="shared" si="229"/>
        <v>0</v>
      </c>
      <c r="G67" s="345">
        <f t="shared" si="229"/>
        <v>0</v>
      </c>
      <c r="H67" s="345">
        <f t="shared" si="229"/>
        <v>0</v>
      </c>
      <c r="I67" s="345">
        <f t="shared" si="229"/>
        <v>0</v>
      </c>
      <c r="J67" s="345">
        <f t="shared" si="229"/>
        <v>-1.5723905723905724</v>
      </c>
      <c r="K67" s="345">
        <f t="shared" si="229"/>
        <v>-1.717557251908397</v>
      </c>
      <c r="L67" s="345">
        <f t="shared" si="229"/>
        <v>0</v>
      </c>
      <c r="M67" s="345">
        <f t="shared" si="229"/>
        <v>0</v>
      </c>
      <c r="N67" s="345">
        <f t="shared" si="229"/>
        <v>0</v>
      </c>
      <c r="O67" s="345">
        <f t="shared" si="229"/>
        <v>0</v>
      </c>
      <c r="P67" s="345">
        <f t="shared" si="229"/>
        <v>0</v>
      </c>
      <c r="Q67" s="345">
        <f t="shared" si="229"/>
        <v>0</v>
      </c>
      <c r="R67" s="345">
        <f>IFERROR(R59/R41,0)</f>
        <v>0</v>
      </c>
      <c r="S67" s="345">
        <f>IFERROR(S59/S41,0)</f>
        <v>0</v>
      </c>
      <c r="T67" s="345">
        <f>IFERROR(T59/T41,0)</f>
        <v>0</v>
      </c>
      <c r="U67" s="345">
        <f>IFERROR(U59/U41,0)</f>
        <v>0</v>
      </c>
      <c r="V67" s="345">
        <f>IFERROR(V59/V41,0)</f>
        <v>0</v>
      </c>
      <c r="X67" s="345"/>
      <c r="Y67" s="345">
        <f t="shared" ref="Y67:BR67" si="230">IFERROR(Y59/Y41,0)</f>
        <v>0</v>
      </c>
      <c r="Z67" s="345">
        <f t="shared" si="230"/>
        <v>0</v>
      </c>
      <c r="AA67" s="345">
        <f t="shared" si="230"/>
        <v>0</v>
      </c>
      <c r="AB67" s="345">
        <f t="shared" si="230"/>
        <v>0</v>
      </c>
      <c r="AC67" s="345">
        <f t="shared" si="230"/>
        <v>0</v>
      </c>
      <c r="AD67" s="345">
        <f t="shared" si="230"/>
        <v>0</v>
      </c>
      <c r="AE67" s="345">
        <f t="shared" si="230"/>
        <v>0</v>
      </c>
      <c r="AF67" s="345">
        <f t="shared" si="230"/>
        <v>0</v>
      </c>
      <c r="AG67" s="345">
        <f t="shared" si="230"/>
        <v>0</v>
      </c>
      <c r="AH67" s="345">
        <f t="shared" si="230"/>
        <v>0</v>
      </c>
      <c r="AI67" s="345">
        <f t="shared" si="230"/>
        <v>0</v>
      </c>
      <c r="AJ67" s="345">
        <f t="shared" si="230"/>
        <v>0</v>
      </c>
      <c r="AK67" s="345">
        <f t="shared" si="230"/>
        <v>0</v>
      </c>
      <c r="AL67" s="345">
        <f t="shared" si="230"/>
        <v>0</v>
      </c>
      <c r="AM67" s="345">
        <f t="shared" si="230"/>
        <v>0</v>
      </c>
      <c r="AN67" s="345">
        <f t="shared" si="230"/>
        <v>0</v>
      </c>
      <c r="AO67" s="345">
        <f t="shared" si="230"/>
        <v>0</v>
      </c>
      <c r="AP67" s="345">
        <f t="shared" si="230"/>
        <v>0</v>
      </c>
      <c r="AQ67" s="345">
        <f t="shared" si="230"/>
        <v>0</v>
      </c>
      <c r="AR67" s="345">
        <f t="shared" si="230"/>
        <v>0</v>
      </c>
      <c r="AS67" s="345">
        <f t="shared" si="230"/>
        <v>0</v>
      </c>
      <c r="AT67" s="345">
        <f t="shared" si="230"/>
        <v>0</v>
      </c>
      <c r="AU67" s="345">
        <f t="shared" si="230"/>
        <v>0</v>
      </c>
      <c r="AV67" s="345">
        <f t="shared" si="230"/>
        <v>0</v>
      </c>
      <c r="AW67" s="345">
        <f t="shared" si="230"/>
        <v>0</v>
      </c>
      <c r="AX67" s="345">
        <f t="shared" si="230"/>
        <v>0</v>
      </c>
      <c r="AY67" s="345">
        <f t="shared" si="230"/>
        <v>0</v>
      </c>
      <c r="AZ67" s="345">
        <f t="shared" si="230"/>
        <v>0</v>
      </c>
      <c r="BA67" s="345">
        <f t="shared" si="230"/>
        <v>0</v>
      </c>
      <c r="BB67" s="345">
        <f t="shared" si="230"/>
        <v>0</v>
      </c>
      <c r="BC67" s="345">
        <f t="shared" si="230"/>
        <v>0</v>
      </c>
      <c r="BD67" s="345">
        <f t="shared" si="230"/>
        <v>0</v>
      </c>
      <c r="BE67" s="345">
        <f t="shared" si="230"/>
        <v>0</v>
      </c>
      <c r="BF67" s="345">
        <f t="shared" si="230"/>
        <v>0</v>
      </c>
      <c r="BG67" s="345">
        <f t="shared" si="230"/>
        <v>-5.9871794871794872</v>
      </c>
      <c r="BH67" s="345">
        <f t="shared" si="230"/>
        <v>-3.7328767123287672</v>
      </c>
      <c r="BI67" s="345">
        <f t="shared" si="230"/>
        <v>-4.3253968253968251</v>
      </c>
      <c r="BJ67" s="345">
        <f t="shared" si="230"/>
        <v>0.16666666666666666</v>
      </c>
      <c r="BK67" s="345">
        <f t="shared" si="230"/>
        <v>1.3412698412698412</v>
      </c>
      <c r="BL67" s="345">
        <f t="shared" si="230"/>
        <v>0</v>
      </c>
      <c r="BM67" s="345">
        <f>IFERROR(BM59/BM41,0)</f>
        <v>0</v>
      </c>
      <c r="BN67" s="345">
        <f t="shared" si="230"/>
        <v>0</v>
      </c>
      <c r="BO67" s="345">
        <f t="shared" si="230"/>
        <v>0</v>
      </c>
      <c r="BP67" s="345">
        <f t="shared" si="230"/>
        <v>0</v>
      </c>
      <c r="BQ67" s="345">
        <f t="shared" si="230"/>
        <v>0</v>
      </c>
      <c r="BR67" s="345">
        <f t="shared" si="230"/>
        <v>0</v>
      </c>
      <c r="BS67" s="345">
        <f>IFERROR(BS59/BS41,0)</f>
        <v>0</v>
      </c>
      <c r="BT67" s="345">
        <f>IFERROR(BT59/BT41,0)</f>
        <v>0</v>
      </c>
      <c r="CP67" s="83"/>
    </row>
    <row r="68" spans="1:94" s="278" customFormat="1" hidden="1" outlineLevel="1">
      <c r="A68" s="339"/>
      <c r="B68" s="357"/>
      <c r="C68" s="357"/>
      <c r="D68" s="357"/>
      <c r="E68" s="357"/>
      <c r="F68" s="357"/>
      <c r="G68" s="357"/>
      <c r="H68" s="357"/>
      <c r="I68" s="357"/>
      <c r="J68" s="357"/>
      <c r="K68" s="357"/>
      <c r="L68" s="357"/>
      <c r="M68" s="357"/>
      <c r="N68" s="356"/>
      <c r="O68" s="356"/>
      <c r="P68" s="356"/>
      <c r="Q68" s="356"/>
      <c r="R68" s="356"/>
      <c r="S68" s="356"/>
      <c r="T68" s="356"/>
      <c r="U68" s="356"/>
      <c r="V68" s="356"/>
      <c r="X68" s="357"/>
      <c r="Y68" s="357"/>
      <c r="Z68" s="357"/>
      <c r="AA68" s="357"/>
      <c r="AB68" s="357"/>
      <c r="AC68" s="357"/>
      <c r="AD68" s="357"/>
      <c r="AE68" s="357"/>
      <c r="AF68" s="357"/>
      <c r="AG68" s="357"/>
      <c r="AH68" s="357"/>
      <c r="AI68" s="357"/>
      <c r="AJ68" s="357"/>
      <c r="AK68" s="357"/>
      <c r="AL68" s="357"/>
      <c r="AM68" s="357"/>
      <c r="AN68" s="357"/>
      <c r="AO68" s="357"/>
      <c r="AP68" s="357"/>
      <c r="AQ68" s="357"/>
      <c r="AR68" s="357"/>
      <c r="AS68" s="357"/>
      <c r="AT68" s="357"/>
      <c r="AU68" s="357"/>
      <c r="AV68" s="357"/>
      <c r="AW68" s="357"/>
      <c r="AX68" s="357"/>
      <c r="AY68" s="357"/>
      <c r="AZ68" s="357"/>
      <c r="BA68" s="357"/>
      <c r="BB68" s="357"/>
      <c r="BC68" s="357"/>
      <c r="BD68" s="357"/>
      <c r="BE68" s="357"/>
      <c r="BF68" s="357"/>
      <c r="BG68" s="357"/>
      <c r="BH68" s="357"/>
      <c r="BI68" s="357"/>
      <c r="BJ68" s="357"/>
      <c r="BK68" s="357"/>
      <c r="BL68" s="357"/>
      <c r="BM68" s="357"/>
      <c r="BN68" s="361"/>
      <c r="BO68" s="361"/>
      <c r="BP68" s="356"/>
      <c r="BQ68" s="356"/>
      <c r="BR68" s="356"/>
      <c r="BS68" s="359"/>
      <c r="BT68" s="359"/>
      <c r="BU68" s="18"/>
      <c r="BV68" s="18"/>
      <c r="BW68" s="18"/>
      <c r="BY68" s="18"/>
      <c r="BZ68" s="18"/>
      <c r="CA68" s="18"/>
      <c r="CC68" s="18"/>
      <c r="CD68" s="18"/>
      <c r="CE68" s="18"/>
      <c r="CF68" s="18"/>
      <c r="CG68" s="18"/>
      <c r="CH68" s="18"/>
      <c r="CI68" s="18"/>
      <c r="CJ68" s="18"/>
      <c r="CK68" s="18"/>
      <c r="CL68" s="18"/>
      <c r="CM68" s="18"/>
      <c r="CN68" s="18"/>
      <c r="CP68" s="498"/>
    </row>
    <row r="69" spans="1:94" s="278" customFormat="1" hidden="1" outlineLevel="1">
      <c r="A69" s="339" t="s">
        <v>480</v>
      </c>
      <c r="B69" s="357"/>
      <c r="C69" s="357">
        <f t="shared" ref="C69:K69" si="231">IFERROR(C57/C42,0)</f>
        <v>0</v>
      </c>
      <c r="D69" s="357">
        <f t="shared" si="231"/>
        <v>0</v>
      </c>
      <c r="E69" s="357">
        <f t="shared" si="231"/>
        <v>0</v>
      </c>
      <c r="F69" s="357">
        <f t="shared" si="231"/>
        <v>0</v>
      </c>
      <c r="G69" s="357">
        <f t="shared" si="231"/>
        <v>0</v>
      </c>
      <c r="H69" s="357">
        <f t="shared" si="231"/>
        <v>0</v>
      </c>
      <c r="I69" s="357">
        <f t="shared" si="231"/>
        <v>0</v>
      </c>
      <c r="J69" s="357">
        <f t="shared" si="231"/>
        <v>-0.7982758620689655</v>
      </c>
      <c r="K69" s="357">
        <f t="shared" si="231"/>
        <v>-6.6929133858267713</v>
      </c>
      <c r="L69" s="346">
        <v>0</v>
      </c>
      <c r="M69" s="346">
        <v>0</v>
      </c>
      <c r="N69" s="346">
        <v>0</v>
      </c>
      <c r="O69" s="346">
        <v>0</v>
      </c>
      <c r="P69" s="346">
        <v>0</v>
      </c>
      <c r="Q69" s="346">
        <v>0</v>
      </c>
      <c r="R69" s="346">
        <v>0</v>
      </c>
      <c r="S69" s="346">
        <v>0</v>
      </c>
      <c r="T69" s="346">
        <v>0</v>
      </c>
      <c r="U69" s="346">
        <v>0</v>
      </c>
      <c r="V69" s="346">
        <v>0</v>
      </c>
      <c r="X69" s="357"/>
      <c r="Y69" s="357">
        <f t="shared" ref="Y69:AD69" si="232">IFERROR(Y57/Y42,0)</f>
        <v>0</v>
      </c>
      <c r="Z69" s="357">
        <f t="shared" si="232"/>
        <v>0</v>
      </c>
      <c r="AA69" s="357">
        <f t="shared" si="232"/>
        <v>0</v>
      </c>
      <c r="AB69" s="357">
        <f t="shared" si="232"/>
        <v>0</v>
      </c>
      <c r="AC69" s="357">
        <f t="shared" si="232"/>
        <v>0</v>
      </c>
      <c r="AD69" s="357">
        <f t="shared" si="232"/>
        <v>0</v>
      </c>
      <c r="AE69" s="357">
        <f>IFERROR(AE57/AE42,0)</f>
        <v>0</v>
      </c>
      <c r="AF69" s="357">
        <f t="shared" ref="AF69:BL69" si="233">IFERROR(AF57/AF42,0)</f>
        <v>0</v>
      </c>
      <c r="AG69" s="357">
        <f t="shared" si="233"/>
        <v>0</v>
      </c>
      <c r="AH69" s="357">
        <f t="shared" si="233"/>
        <v>0</v>
      </c>
      <c r="AI69" s="357">
        <f t="shared" si="233"/>
        <v>0</v>
      </c>
      <c r="AJ69" s="357">
        <f t="shared" si="233"/>
        <v>0</v>
      </c>
      <c r="AK69" s="357">
        <f t="shared" si="233"/>
        <v>0</v>
      </c>
      <c r="AL69" s="357">
        <f t="shared" si="233"/>
        <v>0</v>
      </c>
      <c r="AM69" s="357">
        <f t="shared" si="233"/>
        <v>0</v>
      </c>
      <c r="AN69" s="357">
        <f t="shared" si="233"/>
        <v>0</v>
      </c>
      <c r="AO69" s="357">
        <f t="shared" si="233"/>
        <v>0</v>
      </c>
      <c r="AP69" s="357">
        <f t="shared" si="233"/>
        <v>0</v>
      </c>
      <c r="AQ69" s="357">
        <f t="shared" si="233"/>
        <v>0</v>
      </c>
      <c r="AR69" s="357">
        <f t="shared" si="233"/>
        <v>0</v>
      </c>
      <c r="AS69" s="357">
        <f t="shared" si="233"/>
        <v>0</v>
      </c>
      <c r="AT69" s="357">
        <f t="shared" si="233"/>
        <v>0</v>
      </c>
      <c r="AU69" s="357">
        <f t="shared" si="233"/>
        <v>0</v>
      </c>
      <c r="AV69" s="357">
        <f t="shared" si="233"/>
        <v>0</v>
      </c>
      <c r="AW69" s="357">
        <f t="shared" si="233"/>
        <v>0</v>
      </c>
      <c r="AX69" s="357">
        <f t="shared" si="233"/>
        <v>0</v>
      </c>
      <c r="AY69" s="357">
        <f t="shared" si="233"/>
        <v>0</v>
      </c>
      <c r="AZ69" s="357">
        <f t="shared" si="233"/>
        <v>0</v>
      </c>
      <c r="BA69" s="357">
        <f t="shared" si="233"/>
        <v>0</v>
      </c>
      <c r="BB69" s="357">
        <f t="shared" si="233"/>
        <v>0</v>
      </c>
      <c r="BC69" s="357">
        <f t="shared" si="233"/>
        <v>0</v>
      </c>
      <c r="BD69" s="357">
        <f t="shared" si="233"/>
        <v>0</v>
      </c>
      <c r="BE69" s="357">
        <f t="shared" si="233"/>
        <v>0</v>
      </c>
      <c r="BF69" s="357">
        <f t="shared" si="233"/>
        <v>0</v>
      </c>
      <c r="BG69" s="357">
        <f t="shared" si="233"/>
        <v>-2.6763005780346822</v>
      </c>
      <c r="BH69" s="357">
        <f t="shared" si="233"/>
        <v>-5.8651685393258424</v>
      </c>
      <c r="BI69" s="357">
        <f t="shared" si="233"/>
        <v>-21.75</v>
      </c>
      <c r="BJ69" s="357">
        <f t="shared" si="233"/>
        <v>5.2</v>
      </c>
      <c r="BK69" s="357">
        <f t="shared" si="233"/>
        <v>18.666666666666668</v>
      </c>
      <c r="BL69" s="357">
        <f t="shared" si="233"/>
        <v>100.8</v>
      </c>
      <c r="BM69" s="357">
        <f>IFERROR(BM57/BM42,0)</f>
        <v>-100</v>
      </c>
      <c r="BN69" s="346">
        <v>0</v>
      </c>
      <c r="BO69" s="346">
        <v>0</v>
      </c>
      <c r="BP69" s="346">
        <v>0</v>
      </c>
      <c r="BQ69" s="346">
        <v>0</v>
      </c>
      <c r="BR69" s="346">
        <v>0</v>
      </c>
      <c r="BS69" s="346">
        <v>0</v>
      </c>
      <c r="BT69" s="346">
        <v>0</v>
      </c>
      <c r="BU69" s="18"/>
      <c r="BV69" s="18"/>
      <c r="BW69" s="18"/>
      <c r="BY69" s="18"/>
      <c r="BZ69" s="18"/>
      <c r="CA69" s="18"/>
      <c r="CC69" s="18"/>
      <c r="CD69" s="18"/>
      <c r="CE69" s="18"/>
      <c r="CF69" s="18"/>
      <c r="CG69" s="18"/>
      <c r="CH69" s="18"/>
      <c r="CI69" s="18"/>
      <c r="CJ69" s="18"/>
      <c r="CK69" s="18"/>
      <c r="CL69" s="18"/>
      <c r="CM69" s="18"/>
      <c r="CN69" s="18"/>
      <c r="CP69" s="498"/>
    </row>
    <row r="70" spans="1:94" s="278" customFormat="1" hidden="1" outlineLevel="1">
      <c r="A70" s="339" t="s">
        <v>517</v>
      </c>
      <c r="B70" s="357"/>
      <c r="C70" s="357">
        <f t="shared" ref="C70:K70" si="234">IFERROR(C58/C42,0)</f>
        <v>0</v>
      </c>
      <c r="D70" s="357">
        <f t="shared" si="234"/>
        <v>0</v>
      </c>
      <c r="E70" s="357">
        <f t="shared" si="234"/>
        <v>0</v>
      </c>
      <c r="F70" s="357">
        <f t="shared" si="234"/>
        <v>0</v>
      </c>
      <c r="G70" s="357">
        <f t="shared" si="234"/>
        <v>0</v>
      </c>
      <c r="H70" s="357">
        <f t="shared" si="234"/>
        <v>0</v>
      </c>
      <c r="I70" s="357">
        <f t="shared" si="234"/>
        <v>0</v>
      </c>
      <c r="J70" s="357">
        <f t="shared" si="234"/>
        <v>-0.81206896551724139</v>
      </c>
      <c r="K70" s="357">
        <f t="shared" si="234"/>
        <v>-0.39370078740157483</v>
      </c>
      <c r="L70" s="346">
        <v>0</v>
      </c>
      <c r="M70" s="346">
        <v>0</v>
      </c>
      <c r="N70" s="346">
        <v>0</v>
      </c>
      <c r="O70" s="346">
        <v>0</v>
      </c>
      <c r="P70" s="346">
        <v>0</v>
      </c>
      <c r="Q70" s="346">
        <v>0</v>
      </c>
      <c r="R70" s="346">
        <v>0</v>
      </c>
      <c r="S70" s="346">
        <v>0</v>
      </c>
      <c r="T70" s="346">
        <v>0</v>
      </c>
      <c r="U70" s="346">
        <v>0</v>
      </c>
      <c r="V70" s="346">
        <v>0</v>
      </c>
      <c r="X70" s="357"/>
      <c r="Y70" s="357">
        <f t="shared" ref="Y70:AD70" si="235">IFERROR(Y58/Y42,0)</f>
        <v>0</v>
      </c>
      <c r="Z70" s="357">
        <f t="shared" si="235"/>
        <v>0</v>
      </c>
      <c r="AA70" s="357">
        <f t="shared" si="235"/>
        <v>0</v>
      </c>
      <c r="AB70" s="357">
        <f t="shared" si="235"/>
        <v>0</v>
      </c>
      <c r="AC70" s="357">
        <f t="shared" si="235"/>
        <v>0</v>
      </c>
      <c r="AD70" s="357">
        <f t="shared" si="235"/>
        <v>0</v>
      </c>
      <c r="AE70" s="357">
        <f>IFERROR(AE58/AE42,0)</f>
        <v>0</v>
      </c>
      <c r="AF70" s="357">
        <f t="shared" ref="AF70:BL70" si="236">IFERROR(AF58/AF42,0)</f>
        <v>0</v>
      </c>
      <c r="AG70" s="357">
        <f t="shared" si="236"/>
        <v>0</v>
      </c>
      <c r="AH70" s="357">
        <f t="shared" si="236"/>
        <v>0</v>
      </c>
      <c r="AI70" s="357">
        <f t="shared" si="236"/>
        <v>0</v>
      </c>
      <c r="AJ70" s="357">
        <f t="shared" si="236"/>
        <v>0</v>
      </c>
      <c r="AK70" s="357">
        <f t="shared" si="236"/>
        <v>0</v>
      </c>
      <c r="AL70" s="357">
        <f t="shared" si="236"/>
        <v>0</v>
      </c>
      <c r="AM70" s="357">
        <f t="shared" si="236"/>
        <v>0</v>
      </c>
      <c r="AN70" s="357">
        <f t="shared" si="236"/>
        <v>0</v>
      </c>
      <c r="AO70" s="357">
        <f t="shared" si="236"/>
        <v>0</v>
      </c>
      <c r="AP70" s="357">
        <f t="shared" si="236"/>
        <v>0</v>
      </c>
      <c r="AQ70" s="357">
        <f t="shared" si="236"/>
        <v>0</v>
      </c>
      <c r="AR70" s="357">
        <f t="shared" si="236"/>
        <v>0</v>
      </c>
      <c r="AS70" s="357">
        <f t="shared" si="236"/>
        <v>0</v>
      </c>
      <c r="AT70" s="357">
        <f t="shared" si="236"/>
        <v>0</v>
      </c>
      <c r="AU70" s="357">
        <f t="shared" si="236"/>
        <v>0</v>
      </c>
      <c r="AV70" s="357">
        <f t="shared" si="236"/>
        <v>0</v>
      </c>
      <c r="AW70" s="357">
        <f t="shared" si="236"/>
        <v>0</v>
      </c>
      <c r="AX70" s="357">
        <f t="shared" si="236"/>
        <v>0</v>
      </c>
      <c r="AY70" s="357">
        <f t="shared" si="236"/>
        <v>0</v>
      </c>
      <c r="AZ70" s="357">
        <f t="shared" si="236"/>
        <v>0</v>
      </c>
      <c r="BA70" s="357">
        <f t="shared" si="236"/>
        <v>0</v>
      </c>
      <c r="BB70" s="357">
        <f t="shared" si="236"/>
        <v>0</v>
      </c>
      <c r="BC70" s="357">
        <f t="shared" si="236"/>
        <v>0</v>
      </c>
      <c r="BD70" s="357">
        <f t="shared" si="236"/>
        <v>0</v>
      </c>
      <c r="BE70" s="357">
        <f t="shared" si="236"/>
        <v>0</v>
      </c>
      <c r="BF70" s="357">
        <f t="shared" si="236"/>
        <v>0</v>
      </c>
      <c r="BG70" s="357">
        <f t="shared" si="236"/>
        <v>-2.7225433526011562</v>
      </c>
      <c r="BH70" s="357">
        <f t="shared" si="236"/>
        <v>-0.25842696629213485</v>
      </c>
      <c r="BI70" s="357">
        <f t="shared" si="236"/>
        <v>-0.95833333333333337</v>
      </c>
      <c r="BJ70" s="357">
        <f t="shared" si="236"/>
        <v>-1</v>
      </c>
      <c r="BK70" s="357">
        <f t="shared" si="236"/>
        <v>0.1111111111111111</v>
      </c>
      <c r="BL70" s="357">
        <f t="shared" si="236"/>
        <v>-7</v>
      </c>
      <c r="BM70" s="357">
        <f>IFERROR(BM58/BM42,0)</f>
        <v>12.5</v>
      </c>
      <c r="BN70" s="346">
        <v>0</v>
      </c>
      <c r="BO70" s="346">
        <v>0</v>
      </c>
      <c r="BP70" s="346">
        <v>0</v>
      </c>
      <c r="BQ70" s="346">
        <v>0</v>
      </c>
      <c r="BR70" s="346">
        <v>0</v>
      </c>
      <c r="BS70" s="346">
        <v>0</v>
      </c>
      <c r="BT70" s="346">
        <v>0</v>
      </c>
      <c r="BU70" s="18"/>
      <c r="BV70" s="18"/>
      <c r="BW70" s="18"/>
      <c r="BY70" s="18"/>
      <c r="BZ70" s="18"/>
      <c r="CA70" s="18"/>
      <c r="CC70" s="18"/>
      <c r="CD70" s="18"/>
      <c r="CE70" s="18"/>
      <c r="CF70" s="18"/>
      <c r="CG70" s="18"/>
      <c r="CH70" s="18"/>
      <c r="CI70" s="18"/>
      <c r="CJ70" s="18"/>
      <c r="CK70" s="18"/>
      <c r="CL70" s="18"/>
      <c r="CM70" s="18"/>
      <c r="CN70" s="18"/>
      <c r="CP70" s="498"/>
    </row>
    <row r="71" spans="1:94" s="18" customFormat="1" hidden="1" outlineLevel="1">
      <c r="A71" s="342" t="s">
        <v>478</v>
      </c>
      <c r="B71" s="345"/>
      <c r="C71" s="345">
        <f t="shared" ref="C71:Q71" si="237">IFERROR(C59/C42,0)</f>
        <v>0</v>
      </c>
      <c r="D71" s="345">
        <f t="shared" si="237"/>
        <v>0</v>
      </c>
      <c r="E71" s="345">
        <f t="shared" si="237"/>
        <v>0</v>
      </c>
      <c r="F71" s="345">
        <f t="shared" si="237"/>
        <v>0</v>
      </c>
      <c r="G71" s="345">
        <f t="shared" si="237"/>
        <v>0</v>
      </c>
      <c r="H71" s="345">
        <f t="shared" si="237"/>
        <v>0</v>
      </c>
      <c r="I71" s="345">
        <f t="shared" si="237"/>
        <v>0</v>
      </c>
      <c r="J71" s="345">
        <f t="shared" si="237"/>
        <v>-1.6103448275862069</v>
      </c>
      <c r="K71" s="345">
        <f t="shared" si="237"/>
        <v>-7.0866141732283463</v>
      </c>
      <c r="L71" s="345">
        <f t="shared" si="237"/>
        <v>0</v>
      </c>
      <c r="M71" s="345">
        <f t="shared" si="237"/>
        <v>0</v>
      </c>
      <c r="N71" s="345">
        <f t="shared" si="237"/>
        <v>0</v>
      </c>
      <c r="O71" s="345">
        <f t="shared" si="237"/>
        <v>0</v>
      </c>
      <c r="P71" s="345">
        <f t="shared" si="237"/>
        <v>0</v>
      </c>
      <c r="Q71" s="345">
        <f t="shared" si="237"/>
        <v>0</v>
      </c>
      <c r="R71" s="345">
        <f>IFERROR(R59/R42,0)</f>
        <v>0</v>
      </c>
      <c r="S71" s="345">
        <f>IFERROR(S59/S42,0)</f>
        <v>0</v>
      </c>
      <c r="T71" s="345">
        <f>IFERROR(T59/T42,0)</f>
        <v>0</v>
      </c>
      <c r="U71" s="345">
        <f>IFERROR(U59/U42,0)</f>
        <v>0</v>
      </c>
      <c r="V71" s="345">
        <f>IFERROR(V59/V42,0)</f>
        <v>0</v>
      </c>
      <c r="X71" s="345"/>
      <c r="Y71" s="345">
        <f t="shared" ref="Y71:AD71" si="238">IFERROR(Y59/Y42,0)</f>
        <v>0</v>
      </c>
      <c r="Z71" s="345">
        <f t="shared" si="238"/>
        <v>0</v>
      </c>
      <c r="AA71" s="345">
        <f t="shared" si="238"/>
        <v>0</v>
      </c>
      <c r="AB71" s="345">
        <f t="shared" si="238"/>
        <v>0</v>
      </c>
      <c r="AC71" s="345">
        <f t="shared" si="238"/>
        <v>0</v>
      </c>
      <c r="AD71" s="345">
        <f t="shared" si="238"/>
        <v>0</v>
      </c>
      <c r="AE71" s="345">
        <f t="shared" ref="AE71:BS71" si="239">IFERROR(AE59/AE42,0)</f>
        <v>0</v>
      </c>
      <c r="AF71" s="345">
        <f t="shared" si="239"/>
        <v>0</v>
      </c>
      <c r="AG71" s="345">
        <f t="shared" si="239"/>
        <v>0</v>
      </c>
      <c r="AH71" s="345">
        <f t="shared" si="239"/>
        <v>0</v>
      </c>
      <c r="AI71" s="345">
        <f t="shared" si="239"/>
        <v>0</v>
      </c>
      <c r="AJ71" s="345">
        <f t="shared" si="239"/>
        <v>0</v>
      </c>
      <c r="AK71" s="345">
        <f t="shared" si="239"/>
        <v>0</v>
      </c>
      <c r="AL71" s="345">
        <f t="shared" si="239"/>
        <v>0</v>
      </c>
      <c r="AM71" s="345">
        <f t="shared" si="239"/>
        <v>0</v>
      </c>
      <c r="AN71" s="345">
        <f t="shared" si="239"/>
        <v>0</v>
      </c>
      <c r="AO71" s="345">
        <f t="shared" si="239"/>
        <v>0</v>
      </c>
      <c r="AP71" s="345">
        <f t="shared" si="239"/>
        <v>0</v>
      </c>
      <c r="AQ71" s="345">
        <f t="shared" si="239"/>
        <v>0</v>
      </c>
      <c r="AR71" s="345">
        <f t="shared" si="239"/>
        <v>0</v>
      </c>
      <c r="AS71" s="345">
        <f t="shared" si="239"/>
        <v>0</v>
      </c>
      <c r="AT71" s="345">
        <f t="shared" si="239"/>
        <v>0</v>
      </c>
      <c r="AU71" s="345">
        <f t="shared" si="239"/>
        <v>0</v>
      </c>
      <c r="AV71" s="345">
        <f t="shared" si="239"/>
        <v>0</v>
      </c>
      <c r="AW71" s="345">
        <f t="shared" si="239"/>
        <v>0</v>
      </c>
      <c r="AX71" s="345">
        <f t="shared" si="239"/>
        <v>0</v>
      </c>
      <c r="AY71" s="345">
        <f t="shared" si="239"/>
        <v>0</v>
      </c>
      <c r="AZ71" s="345">
        <f t="shared" si="239"/>
        <v>0</v>
      </c>
      <c r="BA71" s="345">
        <f t="shared" si="239"/>
        <v>0</v>
      </c>
      <c r="BB71" s="345">
        <f t="shared" si="239"/>
        <v>0</v>
      </c>
      <c r="BC71" s="345">
        <f t="shared" si="239"/>
        <v>0</v>
      </c>
      <c r="BD71" s="345">
        <f t="shared" si="239"/>
        <v>0</v>
      </c>
      <c r="BE71" s="345">
        <f t="shared" si="239"/>
        <v>0</v>
      </c>
      <c r="BF71" s="345">
        <f t="shared" si="239"/>
        <v>0</v>
      </c>
      <c r="BG71" s="345">
        <f t="shared" si="239"/>
        <v>-5.398843930635838</v>
      </c>
      <c r="BH71" s="345">
        <f t="shared" si="239"/>
        <v>-6.1235955056179776</v>
      </c>
      <c r="BI71" s="345">
        <f t="shared" si="239"/>
        <v>-22.708333333333332</v>
      </c>
      <c r="BJ71" s="345">
        <f t="shared" si="239"/>
        <v>4.2</v>
      </c>
      <c r="BK71" s="345">
        <f t="shared" si="239"/>
        <v>18.777777777777779</v>
      </c>
      <c r="BL71" s="345">
        <f t="shared" si="239"/>
        <v>93.8</v>
      </c>
      <c r="BM71" s="345">
        <f t="shared" si="239"/>
        <v>-87.5</v>
      </c>
      <c r="BN71" s="345">
        <f t="shared" si="239"/>
        <v>0</v>
      </c>
      <c r="BO71" s="345">
        <f t="shared" si="239"/>
        <v>0</v>
      </c>
      <c r="BP71" s="345">
        <f t="shared" si="239"/>
        <v>0</v>
      </c>
      <c r="BQ71" s="345">
        <f t="shared" si="239"/>
        <v>0</v>
      </c>
      <c r="BR71" s="345">
        <f t="shared" si="239"/>
        <v>0</v>
      </c>
      <c r="BS71" s="345">
        <f t="shared" si="239"/>
        <v>0</v>
      </c>
      <c r="BT71" s="345">
        <f>IFERROR(BT59/BT42,0)</f>
        <v>0</v>
      </c>
      <c r="CP71" s="83"/>
    </row>
    <row r="72" spans="1:94" s="5" customFormat="1" collapsed="1">
      <c r="A72" s="12"/>
      <c r="B72" s="308"/>
      <c r="C72" s="308"/>
      <c r="D72" s="308"/>
      <c r="E72" s="308"/>
      <c r="F72" s="308"/>
      <c r="G72" s="308"/>
      <c r="H72" s="308"/>
      <c r="I72" s="40"/>
      <c r="J72" s="40"/>
      <c r="K72" s="40"/>
      <c r="L72" s="540">
        <f t="shared" ref="L72:O72" si="240">L43*L47</f>
        <v>-1545.4970231023769</v>
      </c>
      <c r="M72" s="540">
        <f t="shared" si="240"/>
        <v>-4905.8398710179836</v>
      </c>
      <c r="N72" s="540">
        <f t="shared" si="240"/>
        <v>-5157.8102892151419</v>
      </c>
      <c r="O72" s="540">
        <f t="shared" si="240"/>
        <v>-2135.5572977936649</v>
      </c>
      <c r="P72" s="540">
        <f>P43*P47</f>
        <v>-3559.2621629894415</v>
      </c>
      <c r="Q72" s="540">
        <f>Q43*Q47</f>
        <v>-2313.5204059431371</v>
      </c>
      <c r="R72" s="308"/>
      <c r="S72" s="308"/>
      <c r="T72" s="308"/>
      <c r="U72" s="308"/>
      <c r="V72" s="308"/>
      <c r="X72" s="308"/>
      <c r="Y72" s="308"/>
      <c r="Z72" s="308"/>
      <c r="AA72" s="308"/>
      <c r="AB72" s="308"/>
      <c r="AC72" s="308"/>
      <c r="AD72" s="308"/>
      <c r="AE72" s="308"/>
      <c r="AF72" s="308"/>
      <c r="AG72" s="308"/>
      <c r="AH72" s="308"/>
      <c r="AI72" s="308"/>
      <c r="AJ72" s="308"/>
      <c r="AK72" s="308"/>
      <c r="AL72" s="308"/>
      <c r="AM72" s="308"/>
      <c r="AN72" s="308"/>
      <c r="AO72" s="308"/>
      <c r="AP72" s="308"/>
      <c r="AQ72" s="308"/>
      <c r="AR72" s="308"/>
      <c r="AS72" s="308"/>
      <c r="AT72" s="308"/>
      <c r="AU72" s="318"/>
      <c r="AV72" s="308"/>
      <c r="AW72" s="308"/>
      <c r="AX72" s="308"/>
      <c r="AY72" s="318"/>
      <c r="AZ72" s="40"/>
      <c r="BA72" s="108"/>
      <c r="BB72" s="40"/>
      <c r="BC72" s="108"/>
      <c r="BD72" s="40"/>
      <c r="BE72" s="40"/>
      <c r="BF72" s="40"/>
      <c r="BG72" s="108"/>
      <c r="BH72" s="40"/>
      <c r="BI72" s="40"/>
      <c r="BJ72" s="40"/>
      <c r="BK72" s="108"/>
      <c r="BL72" s="40"/>
      <c r="BM72" s="40"/>
      <c r="BN72" s="308"/>
      <c r="BO72" s="318"/>
      <c r="BP72" s="314"/>
      <c r="BQ72" s="308"/>
      <c r="BR72" s="308"/>
      <c r="BS72" s="318"/>
      <c r="BT72" s="318"/>
      <c r="BU72" s="318"/>
      <c r="BV72" s="318"/>
      <c r="BW72" s="318"/>
      <c r="BX72" s="318"/>
      <c r="BY72" s="318"/>
      <c r="BZ72" s="318"/>
      <c r="CA72" s="318"/>
      <c r="CB72" s="318"/>
      <c r="CC72" s="318"/>
      <c r="CD72" s="318"/>
      <c r="CE72" s="18"/>
      <c r="CF72" s="18"/>
      <c r="CG72" s="18"/>
      <c r="CH72" s="18"/>
      <c r="CI72" s="18"/>
      <c r="CJ72" s="18"/>
      <c r="CK72" s="18"/>
      <c r="CL72" s="18"/>
      <c r="CM72" s="18"/>
      <c r="CN72" s="18"/>
      <c r="CP72" s="307"/>
    </row>
    <row r="73" spans="1:94" s="5" customFormat="1">
      <c r="A73" s="12"/>
      <c r="B73" s="308"/>
      <c r="C73" s="308"/>
      <c r="D73" s="308"/>
      <c r="E73" s="308"/>
      <c r="F73" s="308"/>
      <c r="G73" s="308"/>
      <c r="H73" s="308"/>
      <c r="I73" s="40"/>
      <c r="J73" s="40"/>
      <c r="K73" s="40"/>
      <c r="L73" s="40"/>
      <c r="M73" s="267"/>
      <c r="N73" s="308"/>
      <c r="O73" s="308"/>
      <c r="P73" s="308"/>
      <c r="Q73" s="308"/>
      <c r="R73" s="308"/>
      <c r="S73" s="308"/>
      <c r="T73" s="308"/>
      <c r="U73" s="308"/>
      <c r="V73" s="308"/>
      <c r="X73" s="308"/>
      <c r="Y73" s="308"/>
      <c r="Z73" s="308"/>
      <c r="AA73" s="308"/>
      <c r="AB73" s="308"/>
      <c r="AC73" s="308"/>
      <c r="AD73" s="308"/>
      <c r="AE73" s="308"/>
      <c r="AF73" s="308"/>
      <c r="AG73" s="308"/>
      <c r="AH73" s="308"/>
      <c r="AI73" s="308"/>
      <c r="AJ73" s="308"/>
      <c r="AK73" s="308"/>
      <c r="AL73" s="308"/>
      <c r="AM73" s="308"/>
      <c r="AN73" s="308"/>
      <c r="AO73" s="308"/>
      <c r="AP73" s="308"/>
      <c r="AQ73" s="308"/>
      <c r="AR73" s="308"/>
      <c r="AS73" s="308"/>
      <c r="AT73" s="308"/>
      <c r="AU73" s="318"/>
      <c r="AV73" s="308"/>
      <c r="AW73" s="308"/>
      <c r="AX73" s="308"/>
      <c r="AY73" s="318"/>
      <c r="AZ73" s="40"/>
      <c r="BA73" s="108"/>
      <c r="BB73" s="40"/>
      <c r="BC73" s="108"/>
      <c r="BD73" s="40"/>
      <c r="BE73" s="40"/>
      <c r="BF73" s="40"/>
      <c r="BG73" s="108"/>
      <c r="BH73" s="40"/>
      <c r="BI73" s="40"/>
      <c r="BJ73" s="40"/>
      <c r="BK73" s="108"/>
      <c r="BL73" s="40"/>
      <c r="BM73" s="40"/>
      <c r="BN73" s="308"/>
      <c r="BO73" s="318"/>
      <c r="BP73" s="314"/>
      <c r="BQ73" s="308"/>
      <c r="BR73" s="308"/>
      <c r="BS73" s="318"/>
      <c r="BT73" s="318"/>
      <c r="BU73" s="318"/>
      <c r="BV73" s="318"/>
      <c r="BW73" s="318"/>
      <c r="BX73" s="318"/>
      <c r="BY73" s="318"/>
      <c r="BZ73" s="318"/>
      <c r="CA73" s="318"/>
      <c r="CB73" s="318"/>
      <c r="CC73" s="318"/>
      <c r="CD73" s="318"/>
      <c r="CE73" s="18"/>
      <c r="CF73" s="18"/>
      <c r="CG73" s="18"/>
      <c r="CH73" s="18"/>
      <c r="CI73" s="18"/>
      <c r="CJ73" s="18"/>
      <c r="CK73" s="18"/>
      <c r="CL73" s="18"/>
      <c r="CM73" s="18"/>
      <c r="CN73" s="18"/>
    </row>
    <row r="74" spans="1:94">
      <c r="A74" s="16">
        <v>747</v>
      </c>
      <c r="B74" s="60"/>
      <c r="C74" s="60"/>
      <c r="D74" s="60"/>
      <c r="E74" s="60"/>
      <c r="F74" s="60"/>
      <c r="G74" s="60"/>
      <c r="H74" s="60"/>
      <c r="I74" s="60"/>
      <c r="J74" s="60"/>
      <c r="K74" s="60"/>
      <c r="L74" s="60"/>
      <c r="M74" s="60"/>
      <c r="N74" s="60"/>
      <c r="O74" s="60"/>
      <c r="P74" s="60"/>
      <c r="Q74" s="60"/>
      <c r="R74" s="60"/>
      <c r="S74" s="60"/>
      <c r="T74" s="60"/>
      <c r="U74" s="60"/>
      <c r="V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317"/>
      <c r="AV74" s="60"/>
      <c r="AW74" s="60"/>
      <c r="AX74" s="60"/>
      <c r="AY74" s="317"/>
      <c r="AZ74" s="60"/>
      <c r="BA74" s="60"/>
      <c r="BB74" s="60"/>
      <c r="BC74" s="317"/>
      <c r="BD74" s="60"/>
      <c r="BE74" s="60"/>
      <c r="BF74" s="60"/>
      <c r="BG74" s="317"/>
      <c r="BH74" s="60"/>
      <c r="BI74" s="60"/>
      <c r="BJ74" s="60"/>
      <c r="BK74" s="317"/>
      <c r="BL74" s="60"/>
      <c r="BM74" s="60"/>
      <c r="BN74" s="60"/>
      <c r="BO74" s="317"/>
      <c r="BP74" s="60"/>
      <c r="BQ74" s="60"/>
      <c r="BR74" s="60"/>
      <c r="BS74" s="317"/>
      <c r="BT74" s="317"/>
      <c r="BU74" s="317"/>
      <c r="BV74" s="317"/>
      <c r="BW74" s="317"/>
      <c r="BX74" s="317"/>
      <c r="BY74" s="317"/>
      <c r="BZ74" s="317"/>
      <c r="CA74" s="317"/>
      <c r="CB74" s="317"/>
      <c r="CC74" s="317"/>
      <c r="CD74" s="317"/>
      <c r="CE74" s="317"/>
      <c r="CF74" s="317"/>
      <c r="CG74" s="317"/>
      <c r="CH74" s="317"/>
      <c r="CI74" s="317"/>
      <c r="CJ74" s="60"/>
      <c r="CK74" s="60"/>
      <c r="CL74" s="60"/>
      <c r="CM74" s="60"/>
      <c r="CN74" s="5"/>
    </row>
    <row r="75" spans="1:94">
      <c r="A75" s="14"/>
      <c r="B75" s="78"/>
      <c r="C75" s="78"/>
      <c r="D75" s="78"/>
      <c r="E75" s="78"/>
      <c r="F75" s="78"/>
      <c r="G75" s="78"/>
      <c r="H75" s="78"/>
      <c r="I75" s="78"/>
      <c r="J75" s="78"/>
      <c r="K75" s="78"/>
      <c r="L75" s="78"/>
      <c r="M75" s="78"/>
      <c r="N75" s="78"/>
      <c r="O75" s="78"/>
      <c r="P75" s="78"/>
      <c r="Q75" s="78"/>
      <c r="R75" s="78"/>
      <c r="S75" s="78"/>
      <c r="T75" s="78"/>
      <c r="U75" s="78"/>
      <c r="V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96"/>
      <c r="AV75" s="78"/>
      <c r="AW75" s="78"/>
      <c r="AX75" s="78"/>
      <c r="AY75" s="96"/>
      <c r="AZ75" s="78"/>
      <c r="BA75" s="78"/>
      <c r="BB75" s="78"/>
      <c r="BC75" s="96"/>
      <c r="BD75" s="78"/>
      <c r="BE75" s="78"/>
      <c r="BF75" s="78"/>
      <c r="BG75" s="96"/>
      <c r="BH75" s="78"/>
      <c r="BI75" s="78"/>
      <c r="BJ75" s="78"/>
      <c r="BK75" s="96"/>
      <c r="BL75" s="78"/>
      <c r="BM75" s="78"/>
      <c r="BN75" s="78"/>
      <c r="BO75" s="96"/>
      <c r="BP75" s="78"/>
      <c r="BQ75" s="78"/>
      <c r="BR75" s="78"/>
      <c r="BS75" s="96"/>
      <c r="BT75" s="96"/>
      <c r="BU75" s="96"/>
      <c r="BV75" s="96"/>
      <c r="BW75" s="96"/>
      <c r="BX75" s="96"/>
      <c r="BY75" s="96"/>
      <c r="BZ75" s="96"/>
      <c r="CA75" s="96"/>
      <c r="CB75" s="96"/>
      <c r="CC75" s="96"/>
      <c r="CD75" s="96"/>
      <c r="CE75" s="96"/>
      <c r="CF75" s="96"/>
      <c r="CG75" s="96"/>
      <c r="CH75" s="96"/>
      <c r="CI75" s="96"/>
      <c r="CJ75" s="78"/>
      <c r="CK75" s="78"/>
      <c r="CL75" s="78"/>
      <c r="CM75" s="78"/>
      <c r="CN75" s="5"/>
    </row>
    <row r="76" spans="1:94">
      <c r="A76" s="1" t="s">
        <v>479</v>
      </c>
      <c r="B76" s="72">
        <f>SUM(X76:AA76)</f>
        <v>0</v>
      </c>
      <c r="C76" s="72">
        <f>SUM(AB76:AE76)</f>
        <v>9</v>
      </c>
      <c r="D76" s="72">
        <f>SUM(AF76:AI76)</f>
        <v>31</v>
      </c>
      <c r="E76" s="72">
        <f>SUM(AJ76:AM76)</f>
        <v>24</v>
      </c>
      <c r="F76" s="72">
        <f>SUM(AN76:AQ76)</f>
        <v>19</v>
      </c>
      <c r="G76" s="72">
        <f>SUM(AR76:AU76)</f>
        <v>18</v>
      </c>
      <c r="H76" s="72">
        <f>SUM(AV76:AY76)</f>
        <v>9</v>
      </c>
      <c r="I76" s="72">
        <f>SUM(AZ76:BC76)</f>
        <v>14</v>
      </c>
      <c r="J76" s="72">
        <f>SUM(BD76:BG76)</f>
        <v>6</v>
      </c>
      <c r="K76" s="72">
        <f>SUM(BH76:BK76)</f>
        <v>7</v>
      </c>
      <c r="L76" s="72">
        <f>SUM(BL76:BO76)</f>
        <v>5</v>
      </c>
      <c r="M76" s="72">
        <f>SUM(BP76:BS76)</f>
        <v>7</v>
      </c>
      <c r="N76" s="38">
        <f t="shared" ref="N76:V76" si="241">N77</f>
        <v>5</v>
      </c>
      <c r="O76" s="38">
        <f t="shared" si="241"/>
        <v>1</v>
      </c>
      <c r="P76" s="38">
        <f t="shared" si="241"/>
        <v>0</v>
      </c>
      <c r="Q76" s="38">
        <f t="shared" si="241"/>
        <v>0</v>
      </c>
      <c r="R76" s="38">
        <f t="shared" si="241"/>
        <v>0</v>
      </c>
      <c r="S76" s="38">
        <f t="shared" si="241"/>
        <v>0</v>
      </c>
      <c r="T76" s="38">
        <f t="shared" si="241"/>
        <v>0</v>
      </c>
      <c r="U76" s="38">
        <f t="shared" si="241"/>
        <v>0</v>
      </c>
      <c r="V76" s="38">
        <f t="shared" si="241"/>
        <v>0</v>
      </c>
      <c r="X76" s="43">
        <f t="shared" ref="X76:AQ76" si="242">X77</f>
        <v>0</v>
      </c>
      <c r="Y76" s="43">
        <f t="shared" si="242"/>
        <v>0</v>
      </c>
      <c r="Z76" s="43">
        <f t="shared" si="242"/>
        <v>0</v>
      </c>
      <c r="AA76" s="43">
        <f t="shared" si="242"/>
        <v>0</v>
      </c>
      <c r="AB76" s="43">
        <f t="shared" si="242"/>
        <v>0</v>
      </c>
      <c r="AC76" s="43">
        <f t="shared" si="242"/>
        <v>0</v>
      </c>
      <c r="AD76" s="43">
        <f t="shared" si="242"/>
        <v>0</v>
      </c>
      <c r="AE76" s="43">
        <f t="shared" si="242"/>
        <v>9</v>
      </c>
      <c r="AF76" s="43">
        <f t="shared" si="242"/>
        <v>6</v>
      </c>
      <c r="AG76" s="43">
        <f t="shared" si="242"/>
        <v>7</v>
      </c>
      <c r="AH76" s="43">
        <f t="shared" si="242"/>
        <v>8</v>
      </c>
      <c r="AI76" s="43">
        <f t="shared" si="242"/>
        <v>10</v>
      </c>
      <c r="AJ76" s="43">
        <f t="shared" si="242"/>
        <v>6</v>
      </c>
      <c r="AK76" s="43">
        <f t="shared" si="242"/>
        <v>6</v>
      </c>
      <c r="AL76" s="43">
        <f t="shared" si="242"/>
        <v>4</v>
      </c>
      <c r="AM76" s="43">
        <f t="shared" si="242"/>
        <v>8</v>
      </c>
      <c r="AN76" s="43">
        <f t="shared" si="242"/>
        <v>4</v>
      </c>
      <c r="AO76" s="43">
        <f t="shared" si="242"/>
        <v>2</v>
      </c>
      <c r="AP76" s="43">
        <f t="shared" si="242"/>
        <v>6</v>
      </c>
      <c r="AQ76" s="43">
        <f t="shared" si="242"/>
        <v>7</v>
      </c>
      <c r="AR76" s="43">
        <f t="shared" ref="AR76:BB76" si="243">AR77</f>
        <v>4</v>
      </c>
      <c r="AS76" s="43">
        <f t="shared" si="243"/>
        <v>5</v>
      </c>
      <c r="AT76" s="43">
        <f t="shared" si="243"/>
        <v>4</v>
      </c>
      <c r="AU76" s="43">
        <f t="shared" si="243"/>
        <v>5</v>
      </c>
      <c r="AV76" s="43">
        <f t="shared" si="243"/>
        <v>1</v>
      </c>
      <c r="AW76" s="43">
        <f t="shared" si="243"/>
        <v>2</v>
      </c>
      <c r="AX76" s="43">
        <f t="shared" si="243"/>
        <v>5</v>
      </c>
      <c r="AY76" s="43">
        <f t="shared" si="243"/>
        <v>1</v>
      </c>
      <c r="AZ76" s="43">
        <f t="shared" si="243"/>
        <v>1</v>
      </c>
      <c r="BA76" s="43">
        <f t="shared" si="243"/>
        <v>3</v>
      </c>
      <c r="BB76" s="43">
        <f t="shared" si="243"/>
        <v>4</v>
      </c>
      <c r="BC76" s="43">
        <f t="shared" ref="BC76:BS76" si="244">BC77</f>
        <v>6</v>
      </c>
      <c r="BD76" s="43">
        <f t="shared" si="244"/>
        <v>2</v>
      </c>
      <c r="BE76" s="43">
        <f t="shared" si="244"/>
        <v>1</v>
      </c>
      <c r="BF76" s="43">
        <f t="shared" si="244"/>
        <v>2</v>
      </c>
      <c r="BG76" s="43">
        <f t="shared" si="244"/>
        <v>1</v>
      </c>
      <c r="BH76" s="43">
        <f t="shared" si="244"/>
        <v>2</v>
      </c>
      <c r="BI76" s="43">
        <f t="shared" si="244"/>
        <v>2</v>
      </c>
      <c r="BJ76" s="43">
        <f t="shared" si="244"/>
        <v>1</v>
      </c>
      <c r="BK76" s="43">
        <f t="shared" si="244"/>
        <v>2</v>
      </c>
      <c r="BL76" s="43">
        <f t="shared" si="244"/>
        <v>0</v>
      </c>
      <c r="BM76" s="43">
        <f t="shared" si="244"/>
        <v>1</v>
      </c>
      <c r="BN76" s="43">
        <f t="shared" si="244"/>
        <v>1</v>
      </c>
      <c r="BO76" s="43">
        <f t="shared" si="244"/>
        <v>3</v>
      </c>
      <c r="BP76" s="43">
        <f t="shared" si="244"/>
        <v>1</v>
      </c>
      <c r="BQ76" s="43">
        <f t="shared" si="244"/>
        <v>1</v>
      </c>
      <c r="BR76" s="43">
        <f t="shared" si="244"/>
        <v>2</v>
      </c>
      <c r="BS76" s="43">
        <f t="shared" si="244"/>
        <v>3</v>
      </c>
      <c r="BT76" s="43">
        <f>BT77</f>
        <v>1</v>
      </c>
      <c r="BU76" s="43">
        <f>BU77</f>
        <v>2</v>
      </c>
      <c r="BV76" s="43">
        <f>BV77</f>
        <v>0</v>
      </c>
      <c r="BW76" s="43">
        <f>BW77</f>
        <v>2</v>
      </c>
      <c r="BX76" s="43">
        <f>BX77</f>
        <v>1</v>
      </c>
      <c r="BY76" s="43">
        <f t="shared" ref="BY76:CI76" si="245">BY77</f>
        <v>0</v>
      </c>
      <c r="BZ76" s="43">
        <f t="shared" si="245"/>
        <v>0</v>
      </c>
      <c r="CA76" s="43">
        <f t="shared" si="245"/>
        <v>0</v>
      </c>
      <c r="CB76" s="43">
        <f t="shared" si="245"/>
        <v>0</v>
      </c>
      <c r="CC76" s="43">
        <f t="shared" si="245"/>
        <v>0</v>
      </c>
      <c r="CD76" s="43">
        <f t="shared" si="245"/>
        <v>0</v>
      </c>
      <c r="CE76" s="43">
        <f t="shared" si="245"/>
        <v>0</v>
      </c>
      <c r="CF76" s="43">
        <f t="shared" si="245"/>
        <v>0</v>
      </c>
      <c r="CG76" s="43">
        <f t="shared" si="245"/>
        <v>0</v>
      </c>
      <c r="CH76" s="43">
        <f>CH77</f>
        <v>0</v>
      </c>
      <c r="CI76" s="43">
        <f t="shared" si="245"/>
        <v>0</v>
      </c>
      <c r="CJ76" s="566">
        <f t="shared" ref="CJ76:CM77" si="246">$R76/4</f>
        <v>0</v>
      </c>
      <c r="CK76" s="566">
        <f t="shared" si="246"/>
        <v>0</v>
      </c>
      <c r="CL76" s="566">
        <f t="shared" si="246"/>
        <v>0</v>
      </c>
      <c r="CM76" s="566">
        <f t="shared" si="246"/>
        <v>0</v>
      </c>
      <c r="CN76" s="5"/>
    </row>
    <row r="77" spans="1:94">
      <c r="A77" s="1" t="s">
        <v>515</v>
      </c>
      <c r="B77" s="72">
        <f>SUM(X77:AA77)</f>
        <v>0</v>
      </c>
      <c r="C77" s="72">
        <f>SUM(AB77:AE77)</f>
        <v>9</v>
      </c>
      <c r="D77" s="72">
        <f>SUM(AF77:AI77)</f>
        <v>31</v>
      </c>
      <c r="E77" s="72">
        <f>SUM(AJ77:AM77)</f>
        <v>24</v>
      </c>
      <c r="F77" s="72">
        <f>SUM(AN77:AQ77)</f>
        <v>19</v>
      </c>
      <c r="G77" s="72">
        <f>SUM(AR77:AU77)</f>
        <v>18</v>
      </c>
      <c r="H77" s="72">
        <f>SUM(AV77:AY77)</f>
        <v>9</v>
      </c>
      <c r="I77" s="72">
        <f>SUM(AZ77:BC77)</f>
        <v>14</v>
      </c>
      <c r="J77" s="72">
        <f>SUM(BD77:BG77)</f>
        <v>6</v>
      </c>
      <c r="K77" s="72">
        <f>SUM(BH77:BK77)</f>
        <v>7</v>
      </c>
      <c r="L77" s="38">
        <f>BCA_Model_Annual!V5</f>
        <v>5</v>
      </c>
      <c r="M77" s="38">
        <f>BCA_Model_Annual!W5</f>
        <v>7</v>
      </c>
      <c r="N77" s="38">
        <f>BCA_Model_Annual!X5</f>
        <v>5</v>
      </c>
      <c r="O77" s="38">
        <f>BCA_Model_Annual!Y5</f>
        <v>1</v>
      </c>
      <c r="P77" s="38">
        <f>BCA_Model_Annual!Z5</f>
        <v>0</v>
      </c>
      <c r="Q77" s="38">
        <f>BCA_Model_Annual!AA5</f>
        <v>0</v>
      </c>
      <c r="R77" s="38">
        <f>BCA_Model_Annual!AB5</f>
        <v>0</v>
      </c>
      <c r="S77" s="38">
        <f>BCA_Model_Annual!AC5</f>
        <v>0</v>
      </c>
      <c r="T77" s="38">
        <f>BCA_Model_Annual!AD5</f>
        <v>0</v>
      </c>
      <c r="U77" s="38">
        <f>BCA_Model_Annual!AE5</f>
        <v>0</v>
      </c>
      <c r="V77" s="38">
        <f>BCA_Model_Annual!AF5</f>
        <v>0</v>
      </c>
      <c r="X77" s="43">
        <v>0</v>
      </c>
      <c r="Y77" s="43">
        <v>0</v>
      </c>
      <c r="Z77" s="43">
        <v>0</v>
      </c>
      <c r="AA77" s="43">
        <v>0</v>
      </c>
      <c r="AB77" s="43">
        <v>0</v>
      </c>
      <c r="AC77" s="43">
        <v>0</v>
      </c>
      <c r="AD77" s="43">
        <v>0</v>
      </c>
      <c r="AE77" s="43">
        <v>9</v>
      </c>
      <c r="AF77" s="43">
        <v>6</v>
      </c>
      <c r="AG77" s="43">
        <v>7</v>
      </c>
      <c r="AH77" s="43">
        <v>8</v>
      </c>
      <c r="AI77" s="43">
        <v>10</v>
      </c>
      <c r="AJ77" s="43">
        <v>6</v>
      </c>
      <c r="AK77" s="43">
        <v>6</v>
      </c>
      <c r="AL77" s="43">
        <v>4</v>
      </c>
      <c r="AM77" s="43">
        <v>8</v>
      </c>
      <c r="AN77" s="43">
        <v>4</v>
      </c>
      <c r="AO77" s="43">
        <v>2</v>
      </c>
      <c r="AP77" s="43">
        <v>6</v>
      </c>
      <c r="AQ77" s="43">
        <v>7</v>
      </c>
      <c r="AR77" s="38">
        <f>BCA_Deliveries_Qtr!B5</f>
        <v>4</v>
      </c>
      <c r="AS77" s="38">
        <f>BCA_Deliveries_Qtr!C5</f>
        <v>5</v>
      </c>
      <c r="AT77" s="38">
        <f>BCA_Deliveries_Qtr!D5</f>
        <v>4</v>
      </c>
      <c r="AU77" s="38">
        <f>BCA_Deliveries_Qtr!E5</f>
        <v>5</v>
      </c>
      <c r="AV77" s="38">
        <f>BCA_Deliveries_Qtr!G5</f>
        <v>1</v>
      </c>
      <c r="AW77" s="38">
        <f>BCA_Deliveries_Qtr!H5</f>
        <v>2</v>
      </c>
      <c r="AX77" s="38">
        <f>BCA_Deliveries_Qtr!I5</f>
        <v>5</v>
      </c>
      <c r="AY77" s="38">
        <f>BCA_Deliveries_Qtr!J5</f>
        <v>1</v>
      </c>
      <c r="AZ77" s="38">
        <f>BCA_Deliveries_Qtr!L5</f>
        <v>1</v>
      </c>
      <c r="BA77" s="38">
        <f>BCA_Deliveries_Qtr!M5</f>
        <v>3</v>
      </c>
      <c r="BB77" s="38">
        <f>BCA_Deliveries_Qtr!N5</f>
        <v>4</v>
      </c>
      <c r="BC77" s="38">
        <f>BCA_Deliveries_Qtr!O5</f>
        <v>6</v>
      </c>
      <c r="BD77" s="38">
        <f>BCA_Deliveries_Qtr!Q5</f>
        <v>2</v>
      </c>
      <c r="BE77" s="38">
        <f>BCA_Deliveries_Qtr!R5</f>
        <v>1</v>
      </c>
      <c r="BF77" s="38">
        <f>BCA_Deliveries_Qtr!S5</f>
        <v>2</v>
      </c>
      <c r="BG77" s="38">
        <f>BCA_Deliveries_Qtr!T5</f>
        <v>1</v>
      </c>
      <c r="BH77" s="38">
        <f>BCA_Deliveries_Qtr!V5</f>
        <v>2</v>
      </c>
      <c r="BI77" s="38">
        <f>BCA_Deliveries_Qtr!W5</f>
        <v>2</v>
      </c>
      <c r="BJ77" s="38">
        <f>BCA_Deliveries_Qtr!X5</f>
        <v>1</v>
      </c>
      <c r="BK77" s="38">
        <f>BCA_Deliveries_Qtr!Y5</f>
        <v>2</v>
      </c>
      <c r="BL77" s="38">
        <f>BCA_Deliveries_Qtr!AA5</f>
        <v>0</v>
      </c>
      <c r="BM77" s="38">
        <f>BCA_Deliveries_Qtr!AB5</f>
        <v>1</v>
      </c>
      <c r="BN77" s="38">
        <f>BCA_Deliveries_Qtr!AC5</f>
        <v>1</v>
      </c>
      <c r="BO77" s="38">
        <f>BCA_Deliveries_Qtr!AD5</f>
        <v>3</v>
      </c>
      <c r="BP77" s="38">
        <f>BCA_Deliveries_Qtr!AF5</f>
        <v>1</v>
      </c>
      <c r="BQ77" s="38">
        <f>BCA_Deliveries_Qtr!AG5</f>
        <v>1</v>
      </c>
      <c r="BR77" s="38">
        <f>BCA_Deliveries_Qtr!AH5</f>
        <v>2</v>
      </c>
      <c r="BS77" s="38">
        <f>BCA_Deliveries_Qtr!AI5</f>
        <v>3</v>
      </c>
      <c r="BT77" s="38">
        <f>BCA_Deliveries_Qtr!AK5</f>
        <v>1</v>
      </c>
      <c r="BU77" s="38">
        <f>BCA_Deliveries_Qtr!AL5</f>
        <v>2</v>
      </c>
      <c r="BV77" s="38">
        <f>BCA_Deliveries_Qtr!AM5</f>
        <v>0</v>
      </c>
      <c r="BW77" s="38">
        <f>BCA_Deliveries_Qtr!AN5</f>
        <v>2</v>
      </c>
      <c r="BX77" s="38">
        <f>BCA_Deliveries_Qtr!AP5</f>
        <v>1</v>
      </c>
      <c r="BY77" s="38">
        <f>BCA_Deliveries_Qtr!AQ5</f>
        <v>0</v>
      </c>
      <c r="BZ77" s="38">
        <f>BCA_Deliveries_Qtr!AR5</f>
        <v>0</v>
      </c>
      <c r="CA77" s="38">
        <f>BCA_Deliveries_Qtr!AS5</f>
        <v>0</v>
      </c>
      <c r="CB77" s="38">
        <f>BCA_Deliveries_Qtr!AU5</f>
        <v>0</v>
      </c>
      <c r="CC77" s="38">
        <f>BCA_Deliveries_Qtr!AV5</f>
        <v>0</v>
      </c>
      <c r="CD77" s="38">
        <f>BCA_Deliveries_Qtr!AW5</f>
        <v>0</v>
      </c>
      <c r="CE77" s="38">
        <f>BCA_Deliveries_Qtr!AX5</f>
        <v>0</v>
      </c>
      <c r="CF77" s="38">
        <f>BCA_Deliveries_Qtr!AZ5</f>
        <v>0</v>
      </c>
      <c r="CG77" s="38">
        <f>BCA_Deliveries_Qtr!BA5</f>
        <v>0</v>
      </c>
      <c r="CH77" s="38">
        <f>BCA_Deliveries_Qtr!BB5</f>
        <v>0</v>
      </c>
      <c r="CI77" s="38">
        <f>BCA_Deliveries_Qtr!BC5</f>
        <v>0</v>
      </c>
      <c r="CJ77" s="566">
        <f t="shared" si="246"/>
        <v>0</v>
      </c>
      <c r="CK77" s="566">
        <f t="shared" si="246"/>
        <v>0</v>
      </c>
      <c r="CL77" s="566">
        <f t="shared" si="246"/>
        <v>0</v>
      </c>
      <c r="CM77" s="566">
        <f t="shared" si="246"/>
        <v>0</v>
      </c>
      <c r="CN77" s="5"/>
    </row>
    <row r="78" spans="1:94" s="5" customFormat="1">
      <c r="A78" s="12" t="s">
        <v>468</v>
      </c>
      <c r="B78" s="108">
        <f t="shared" ref="B78:Q78" si="247">B76-B77</f>
        <v>0</v>
      </c>
      <c r="C78" s="108">
        <f t="shared" si="247"/>
        <v>0</v>
      </c>
      <c r="D78" s="108">
        <f t="shared" si="247"/>
        <v>0</v>
      </c>
      <c r="E78" s="108">
        <f t="shared" si="247"/>
        <v>0</v>
      </c>
      <c r="F78" s="108">
        <f t="shared" si="247"/>
        <v>0</v>
      </c>
      <c r="G78" s="108">
        <f t="shared" si="247"/>
        <v>0</v>
      </c>
      <c r="H78" s="108">
        <f t="shared" si="247"/>
        <v>0</v>
      </c>
      <c r="I78" s="108">
        <f t="shared" si="247"/>
        <v>0</v>
      </c>
      <c r="J78" s="108">
        <f t="shared" si="247"/>
        <v>0</v>
      </c>
      <c r="K78" s="108">
        <f t="shared" si="247"/>
        <v>0</v>
      </c>
      <c r="L78" s="108">
        <f t="shared" si="247"/>
        <v>0</v>
      </c>
      <c r="M78" s="108">
        <f t="shared" si="247"/>
        <v>0</v>
      </c>
      <c r="N78" s="108">
        <f t="shared" si="247"/>
        <v>0</v>
      </c>
      <c r="O78" s="108">
        <f t="shared" si="247"/>
        <v>0</v>
      </c>
      <c r="P78" s="108">
        <f t="shared" si="247"/>
        <v>0</v>
      </c>
      <c r="Q78" s="108">
        <f t="shared" si="247"/>
        <v>0</v>
      </c>
      <c r="R78" s="108">
        <f>R76-R77</f>
        <v>0</v>
      </c>
      <c r="S78" s="108">
        <f>S76-S77</f>
        <v>0</v>
      </c>
      <c r="T78" s="108">
        <f>T76-T77</f>
        <v>0</v>
      </c>
      <c r="U78" s="108">
        <f>U76-U77</f>
        <v>0</v>
      </c>
      <c r="V78" s="108">
        <f>V76-V77</f>
        <v>0</v>
      </c>
      <c r="X78" s="108">
        <f t="shared" ref="X78:BS78" si="248">X76-X77</f>
        <v>0</v>
      </c>
      <c r="Y78" s="108">
        <f t="shared" si="248"/>
        <v>0</v>
      </c>
      <c r="Z78" s="108">
        <f t="shared" si="248"/>
        <v>0</v>
      </c>
      <c r="AA78" s="108">
        <f t="shared" si="248"/>
        <v>0</v>
      </c>
      <c r="AB78" s="108">
        <f t="shared" si="248"/>
        <v>0</v>
      </c>
      <c r="AC78" s="108">
        <f t="shared" si="248"/>
        <v>0</v>
      </c>
      <c r="AD78" s="108">
        <f t="shared" si="248"/>
        <v>0</v>
      </c>
      <c r="AE78" s="108">
        <f t="shared" si="248"/>
        <v>0</v>
      </c>
      <c r="AF78" s="108">
        <f t="shared" si="248"/>
        <v>0</v>
      </c>
      <c r="AG78" s="108">
        <f t="shared" si="248"/>
        <v>0</v>
      </c>
      <c r="AH78" s="108">
        <f t="shared" si="248"/>
        <v>0</v>
      </c>
      <c r="AI78" s="108">
        <f t="shared" si="248"/>
        <v>0</v>
      </c>
      <c r="AJ78" s="108">
        <f t="shared" si="248"/>
        <v>0</v>
      </c>
      <c r="AK78" s="108">
        <f t="shared" si="248"/>
        <v>0</v>
      </c>
      <c r="AL78" s="108">
        <f t="shared" si="248"/>
        <v>0</v>
      </c>
      <c r="AM78" s="108">
        <f t="shared" si="248"/>
        <v>0</v>
      </c>
      <c r="AN78" s="108">
        <f t="shared" si="248"/>
        <v>0</v>
      </c>
      <c r="AO78" s="108">
        <f t="shared" si="248"/>
        <v>0</v>
      </c>
      <c r="AP78" s="108">
        <f t="shared" si="248"/>
        <v>0</v>
      </c>
      <c r="AQ78" s="108">
        <f t="shared" si="248"/>
        <v>0</v>
      </c>
      <c r="AR78" s="108">
        <f t="shared" si="248"/>
        <v>0</v>
      </c>
      <c r="AS78" s="108">
        <f t="shared" si="248"/>
        <v>0</v>
      </c>
      <c r="AT78" s="108">
        <f t="shared" si="248"/>
        <v>0</v>
      </c>
      <c r="AU78" s="108">
        <f t="shared" si="248"/>
        <v>0</v>
      </c>
      <c r="AV78" s="108">
        <f t="shared" si="248"/>
        <v>0</v>
      </c>
      <c r="AW78" s="108">
        <f t="shared" si="248"/>
        <v>0</v>
      </c>
      <c r="AX78" s="108">
        <f t="shared" si="248"/>
        <v>0</v>
      </c>
      <c r="AY78" s="108">
        <f t="shared" si="248"/>
        <v>0</v>
      </c>
      <c r="AZ78" s="108">
        <f t="shared" si="248"/>
        <v>0</v>
      </c>
      <c r="BA78" s="108">
        <f t="shared" si="248"/>
        <v>0</v>
      </c>
      <c r="BB78" s="108">
        <f t="shared" si="248"/>
        <v>0</v>
      </c>
      <c r="BC78" s="108">
        <f t="shared" si="248"/>
        <v>0</v>
      </c>
      <c r="BD78" s="108">
        <f t="shared" si="248"/>
        <v>0</v>
      </c>
      <c r="BE78" s="108">
        <f t="shared" si="248"/>
        <v>0</v>
      </c>
      <c r="BF78" s="108">
        <f t="shared" si="248"/>
        <v>0</v>
      </c>
      <c r="BG78" s="108">
        <f t="shared" si="248"/>
        <v>0</v>
      </c>
      <c r="BH78" s="108">
        <f t="shared" si="248"/>
        <v>0</v>
      </c>
      <c r="BI78" s="108">
        <f t="shared" si="248"/>
        <v>0</v>
      </c>
      <c r="BJ78" s="108">
        <f t="shared" si="248"/>
        <v>0</v>
      </c>
      <c r="BK78" s="108">
        <f t="shared" si="248"/>
        <v>0</v>
      </c>
      <c r="BL78" s="108">
        <f t="shared" si="248"/>
        <v>0</v>
      </c>
      <c r="BM78" s="108">
        <f t="shared" si="248"/>
        <v>0</v>
      </c>
      <c r="BN78" s="108">
        <f t="shared" si="248"/>
        <v>0</v>
      </c>
      <c r="BO78" s="108">
        <f t="shared" si="248"/>
        <v>0</v>
      </c>
      <c r="BP78" s="108">
        <f t="shared" si="248"/>
        <v>0</v>
      </c>
      <c r="BQ78" s="108">
        <f t="shared" si="248"/>
        <v>0</v>
      </c>
      <c r="BR78" s="108">
        <f t="shared" si="248"/>
        <v>0</v>
      </c>
      <c r="BS78" s="108">
        <f t="shared" si="248"/>
        <v>0</v>
      </c>
      <c r="BT78" s="108">
        <f>BT76-BT77</f>
        <v>0</v>
      </c>
      <c r="BU78" s="108">
        <f>BU76-BU77</f>
        <v>0</v>
      </c>
      <c r="BV78" s="108">
        <f>BV76-BV77</f>
        <v>0</v>
      </c>
      <c r="BW78" s="108">
        <f>BW76-BW77</f>
        <v>0</v>
      </c>
      <c r="BX78" s="108">
        <f t="shared" ref="BX78:CE78" si="249">BX76-BX77</f>
        <v>0</v>
      </c>
      <c r="BY78" s="108">
        <f t="shared" si="249"/>
        <v>0</v>
      </c>
      <c r="BZ78" s="108">
        <f t="shared" si="249"/>
        <v>0</v>
      </c>
      <c r="CA78" s="108">
        <f t="shared" si="249"/>
        <v>0</v>
      </c>
      <c r="CB78" s="108">
        <f t="shared" si="249"/>
        <v>0</v>
      </c>
      <c r="CC78" s="108">
        <f t="shared" si="249"/>
        <v>0</v>
      </c>
      <c r="CD78" s="108">
        <f t="shared" si="249"/>
        <v>0</v>
      </c>
      <c r="CE78" s="108">
        <f t="shared" si="249"/>
        <v>0</v>
      </c>
      <c r="CF78" s="108">
        <f t="shared" ref="CF78:CM78" si="250">CF76-CF77</f>
        <v>0</v>
      </c>
      <c r="CG78" s="108">
        <f t="shared" si="250"/>
        <v>0</v>
      </c>
      <c r="CH78" s="108">
        <f t="shared" si="250"/>
        <v>0</v>
      </c>
      <c r="CI78" s="108">
        <f t="shared" si="250"/>
        <v>0</v>
      </c>
      <c r="CJ78" s="108">
        <f t="shared" si="250"/>
        <v>0</v>
      </c>
      <c r="CK78" s="108">
        <f t="shared" si="250"/>
        <v>0</v>
      </c>
      <c r="CL78" s="108">
        <f t="shared" si="250"/>
        <v>0</v>
      </c>
      <c r="CM78" s="108">
        <f t="shared" si="250"/>
        <v>0</v>
      </c>
    </row>
    <row r="79" spans="1:94" s="5" customFormat="1">
      <c r="A79" s="12"/>
      <c r="B79" s="308"/>
      <c r="C79" s="308"/>
      <c r="D79" s="308"/>
      <c r="E79" s="308"/>
      <c r="F79" s="308"/>
      <c r="G79" s="308"/>
      <c r="H79" s="308"/>
      <c r="I79" s="40"/>
      <c r="J79" s="40"/>
      <c r="K79" s="40"/>
      <c r="L79" s="40"/>
      <c r="M79" s="40"/>
      <c r="N79" s="308"/>
      <c r="O79" s="308"/>
      <c r="P79" s="308"/>
      <c r="Q79" s="308"/>
      <c r="R79" s="308"/>
      <c r="S79" s="308"/>
      <c r="T79" s="308"/>
      <c r="U79" s="308"/>
      <c r="V79" s="308"/>
      <c r="X79" s="308"/>
      <c r="Y79" s="308"/>
      <c r="Z79" s="308"/>
      <c r="AA79" s="308"/>
      <c r="AB79" s="308"/>
      <c r="AC79" s="308"/>
      <c r="AD79" s="308"/>
      <c r="AE79" s="308"/>
      <c r="AF79" s="308"/>
      <c r="AG79" s="308"/>
      <c r="AH79" s="308"/>
      <c r="AI79" s="308"/>
      <c r="AJ79" s="308"/>
      <c r="AK79" s="308"/>
      <c r="AL79" s="308"/>
      <c r="AM79" s="308"/>
      <c r="AN79" s="308"/>
      <c r="AO79" s="308"/>
      <c r="AP79" s="308"/>
      <c r="AQ79" s="308"/>
      <c r="AR79" s="308"/>
      <c r="AS79" s="308"/>
      <c r="AT79" s="308"/>
      <c r="AU79" s="318"/>
      <c r="AV79" s="308"/>
      <c r="AW79" s="308"/>
      <c r="AX79" s="308"/>
      <c r="AY79" s="318"/>
      <c r="AZ79" s="40"/>
      <c r="BA79" s="108"/>
      <c r="BB79" s="40"/>
      <c r="BC79" s="108"/>
      <c r="BD79" s="40"/>
      <c r="BE79" s="40"/>
      <c r="BF79" s="40"/>
      <c r="BG79" s="108"/>
      <c r="BH79" s="40"/>
      <c r="BI79" s="40"/>
      <c r="BJ79" s="40"/>
      <c r="BK79" s="108"/>
      <c r="BL79" s="40"/>
      <c r="BM79" s="308"/>
      <c r="BN79" s="308"/>
      <c r="BO79" s="318"/>
      <c r="BP79" s="314"/>
      <c r="BQ79" s="308"/>
      <c r="BR79" s="308"/>
      <c r="BS79" s="318"/>
      <c r="BT79" s="318"/>
      <c r="BU79" s="318"/>
      <c r="BV79" s="318"/>
      <c r="BW79" s="318"/>
      <c r="BX79" s="318"/>
      <c r="BY79" s="318"/>
      <c r="BZ79" s="318"/>
      <c r="CA79" s="318"/>
      <c r="CB79" s="318"/>
      <c r="CC79" s="318"/>
      <c r="CD79" s="318"/>
      <c r="CE79" s="318"/>
      <c r="CF79" s="318"/>
      <c r="CG79" s="318"/>
      <c r="CH79" s="318"/>
      <c r="CI79" s="318"/>
      <c r="CJ79" s="308"/>
      <c r="CK79" s="308"/>
      <c r="CL79" s="308"/>
      <c r="CM79" s="308"/>
    </row>
    <row r="80" spans="1:94" s="5" customFormat="1">
      <c r="A80" s="1" t="s">
        <v>509</v>
      </c>
      <c r="B80" s="38">
        <f>BCA_Model_Annual!L17</f>
        <v>158</v>
      </c>
      <c r="C80" s="38">
        <f>BCA_Model_Annual!M17</f>
        <v>180</v>
      </c>
      <c r="D80" s="38">
        <f>BCA_Model_Annual!N17</f>
        <v>178</v>
      </c>
      <c r="E80" s="38">
        <f>BCA_Model_Annual!O17</f>
        <v>178</v>
      </c>
      <c r="F80" s="38">
        <f>BCA_Model_Annual!P17</f>
        <v>180</v>
      </c>
      <c r="G80" s="38">
        <f>BCA_Model_Annual!Q17</f>
        <v>179</v>
      </c>
      <c r="H80" s="38">
        <f>BCA_Model_Annual!R17</f>
        <v>179</v>
      </c>
      <c r="I80" s="38">
        <f>BCA_Model_Annual!S17</f>
        <v>178</v>
      </c>
      <c r="J80" s="38">
        <f>BCA_Model_Annual!T17</f>
        <v>180</v>
      </c>
      <c r="K80" s="38">
        <f>BCA_Model_Annual!U17</f>
        <v>180</v>
      </c>
      <c r="L80" s="38">
        <f>BCA_Model_Annual!V17</f>
        <v>180</v>
      </c>
      <c r="M80" s="38">
        <f>BCA_Model_Annual!W17</f>
        <v>180</v>
      </c>
      <c r="N80" s="38">
        <f>BCA_Model_Annual!X17</f>
        <v>180</v>
      </c>
      <c r="O80" s="38">
        <f>BCA_Model_Annual!Y17</f>
        <v>180</v>
      </c>
      <c r="P80" s="38">
        <f>BCA_Model_Annual!Z17</f>
        <v>180</v>
      </c>
      <c r="Q80" s="38">
        <f>BCA_Model_Annual!AA17</f>
        <v>180</v>
      </c>
      <c r="R80" s="38">
        <f>BCA_Model_Annual!AB17</f>
        <v>180</v>
      </c>
      <c r="S80" s="38">
        <f>BCA_Model_Annual!AC17</f>
        <v>180</v>
      </c>
      <c r="T80" s="38">
        <f>BCA_Model_Annual!AD17</f>
        <v>180</v>
      </c>
      <c r="U80" s="38">
        <f>BCA_Model_Annual!AE17</f>
        <v>180</v>
      </c>
      <c r="V80" s="38">
        <f>BCA_Model_Annual!AF17</f>
        <v>180</v>
      </c>
      <c r="X80" s="38">
        <f>BCA_Model_Annual!$L$17</f>
        <v>158</v>
      </c>
      <c r="Y80" s="23">
        <f t="shared" ref="Y80:AA81" si="251">X80</f>
        <v>158</v>
      </c>
      <c r="Z80" s="23">
        <f t="shared" si="251"/>
        <v>158</v>
      </c>
      <c r="AA80" s="23">
        <f t="shared" si="251"/>
        <v>158</v>
      </c>
      <c r="AB80" s="38">
        <f>BCA_Model_Annual!$M$17</f>
        <v>180</v>
      </c>
      <c r="AC80" s="23">
        <f t="shared" ref="AC80:AE81" si="252">AB80</f>
        <v>180</v>
      </c>
      <c r="AD80" s="23">
        <f t="shared" si="252"/>
        <v>180</v>
      </c>
      <c r="AE80" s="23">
        <f t="shared" si="252"/>
        <v>180</v>
      </c>
      <c r="AF80" s="38">
        <f>BCA_Model_Annual!$N$17</f>
        <v>178</v>
      </c>
      <c r="AG80" s="23">
        <f t="shared" ref="AG80:AI81" si="253">AF80</f>
        <v>178</v>
      </c>
      <c r="AH80" s="23">
        <f t="shared" si="253"/>
        <v>178</v>
      </c>
      <c r="AI80" s="23">
        <f t="shared" si="253"/>
        <v>178</v>
      </c>
      <c r="AJ80" s="38">
        <f>BCA_Model_Annual!$O$17</f>
        <v>178</v>
      </c>
      <c r="AK80" s="23">
        <f t="shared" ref="AK80:AM81" si="254">AJ80</f>
        <v>178</v>
      </c>
      <c r="AL80" s="23">
        <f t="shared" si="254"/>
        <v>178</v>
      </c>
      <c r="AM80" s="23">
        <f t="shared" si="254"/>
        <v>178</v>
      </c>
      <c r="AN80" s="38">
        <f>BCA_Model_Annual!$P$17</f>
        <v>180</v>
      </c>
      <c r="AO80" s="23">
        <f t="shared" ref="AO80:AQ81" si="255">AN80</f>
        <v>180</v>
      </c>
      <c r="AP80" s="23">
        <f t="shared" si="255"/>
        <v>180</v>
      </c>
      <c r="AQ80" s="23">
        <f t="shared" si="255"/>
        <v>180</v>
      </c>
      <c r="AR80" s="38">
        <f>BCA_Model_Annual!$Q$17</f>
        <v>179</v>
      </c>
      <c r="AS80" s="23">
        <f t="shared" ref="AS80:AU81" si="256">AR80</f>
        <v>179</v>
      </c>
      <c r="AT80" s="23">
        <f t="shared" si="256"/>
        <v>179</v>
      </c>
      <c r="AU80" s="23">
        <f t="shared" si="256"/>
        <v>179</v>
      </c>
      <c r="AV80" s="38">
        <f>BCA_Model_Annual!$R$17</f>
        <v>179</v>
      </c>
      <c r="AW80" s="23">
        <f t="shared" ref="AW80:AY81" si="257">AV80</f>
        <v>179</v>
      </c>
      <c r="AX80" s="23">
        <f t="shared" si="257"/>
        <v>179</v>
      </c>
      <c r="AY80" s="23">
        <f t="shared" si="257"/>
        <v>179</v>
      </c>
      <c r="AZ80" s="38">
        <f>BCA_Model_Annual!$S$17</f>
        <v>178</v>
      </c>
      <c r="BA80" s="23">
        <f t="shared" ref="BA80:BC81" si="258">AZ80</f>
        <v>178</v>
      </c>
      <c r="BB80" s="23">
        <f t="shared" si="258"/>
        <v>178</v>
      </c>
      <c r="BC80" s="23">
        <f t="shared" si="258"/>
        <v>178</v>
      </c>
      <c r="BD80" s="38">
        <f>BCA_Model_Annual!$T$17</f>
        <v>180</v>
      </c>
      <c r="BE80" s="23">
        <f t="shared" ref="BE80:BG81" si="259">BD80</f>
        <v>180</v>
      </c>
      <c r="BF80" s="23">
        <f t="shared" si="259"/>
        <v>180</v>
      </c>
      <c r="BG80" s="23">
        <f t="shared" si="259"/>
        <v>180</v>
      </c>
      <c r="BH80" s="38">
        <f>BCA_Model_Annual!$U$17</f>
        <v>180</v>
      </c>
      <c r="BI80" s="23">
        <f t="shared" ref="BI80:BK81" si="260">BH80</f>
        <v>180</v>
      </c>
      <c r="BJ80" s="23">
        <f t="shared" si="260"/>
        <v>180</v>
      </c>
      <c r="BK80" s="23">
        <f t="shared" si="260"/>
        <v>180</v>
      </c>
      <c r="BL80" s="38">
        <f>BCA_Model_Annual!$V$17</f>
        <v>180</v>
      </c>
      <c r="BM80" s="23">
        <f t="shared" ref="BM80:BO81" si="261">BL80</f>
        <v>180</v>
      </c>
      <c r="BN80" s="23">
        <f t="shared" si="261"/>
        <v>180</v>
      </c>
      <c r="BO80" s="23">
        <f t="shared" si="261"/>
        <v>180</v>
      </c>
      <c r="BP80" s="38">
        <f>BCA_Model_Annual!$W$17</f>
        <v>180</v>
      </c>
      <c r="BQ80" s="23">
        <f t="shared" ref="BQ80:BS81" si="262">BP80</f>
        <v>180</v>
      </c>
      <c r="BR80" s="23">
        <f t="shared" si="262"/>
        <v>180</v>
      </c>
      <c r="BS80" s="23">
        <f t="shared" si="262"/>
        <v>180</v>
      </c>
      <c r="BT80" s="23">
        <f t="shared" ref="BT80:CA81" si="263">BS80</f>
        <v>180</v>
      </c>
      <c r="BU80" s="23">
        <f t="shared" si="263"/>
        <v>180</v>
      </c>
      <c r="BV80" s="23">
        <f t="shared" si="263"/>
        <v>180</v>
      </c>
      <c r="BW80" s="23">
        <f t="shared" si="263"/>
        <v>180</v>
      </c>
      <c r="BX80" s="23">
        <f t="shared" si="263"/>
        <v>180</v>
      </c>
      <c r="BY80" s="23">
        <f t="shared" si="263"/>
        <v>180</v>
      </c>
      <c r="BZ80" s="23">
        <f t="shared" si="263"/>
        <v>180</v>
      </c>
      <c r="CA80" s="23">
        <f t="shared" si="263"/>
        <v>180</v>
      </c>
      <c r="CB80" s="23">
        <f t="shared" ref="CB80:CB81" si="264">CA80</f>
        <v>180</v>
      </c>
      <c r="CC80" s="23">
        <f t="shared" ref="CC80:CC81" si="265">CB80</f>
        <v>180</v>
      </c>
      <c r="CD80" s="23">
        <f t="shared" ref="CD80:CD81" si="266">CC80</f>
        <v>180</v>
      </c>
      <c r="CE80" s="23">
        <f t="shared" ref="CE80:CE81" si="267">CD80</f>
        <v>180</v>
      </c>
      <c r="CF80" s="23">
        <f>CE80</f>
        <v>180</v>
      </c>
      <c r="CG80" s="23">
        <f t="shared" ref="CG80:CG81" si="268">CF80</f>
        <v>180</v>
      </c>
      <c r="CH80" s="23">
        <f t="shared" ref="CH80:CH81" si="269">CG80</f>
        <v>180</v>
      </c>
      <c r="CI80" s="23">
        <f t="shared" ref="CI80:CI81" si="270">CH80</f>
        <v>180</v>
      </c>
      <c r="CJ80" s="566">
        <f>$R80</f>
        <v>180</v>
      </c>
      <c r="CK80" s="566">
        <f t="shared" ref="CK80:CM80" si="271">$R80</f>
        <v>180</v>
      </c>
      <c r="CL80" s="566">
        <f t="shared" si="271"/>
        <v>180</v>
      </c>
      <c r="CM80" s="566">
        <f t="shared" si="271"/>
        <v>180</v>
      </c>
    </row>
    <row r="81" spans="1:92" s="5" customFormat="1">
      <c r="A81" s="1" t="s">
        <v>12</v>
      </c>
      <c r="B81" s="315">
        <f>BCA_Model_Annual!L36+B163</f>
        <v>6.6855969893944572E-2</v>
      </c>
      <c r="C81" s="315">
        <f>BCA_Model_Annual!M36+C163</f>
        <v>5.4368953226158437E-2</v>
      </c>
      <c r="D81" s="315">
        <f>BCA_Model_Annual!N36+D163</f>
        <v>4.2167005312247548E-2</v>
      </c>
      <c r="E81" s="315">
        <f>BCA_Model_Annual!O36+E163</f>
        <v>3.1287648776883739E-2</v>
      </c>
      <c r="F81" s="315">
        <f>BCA_Model_Annual!P36+F163</f>
        <v>3.0999977964346309E-2</v>
      </c>
      <c r="G81" s="315">
        <f>BCA_Model_Annual!Q36+G163</f>
        <v>2.9071103065110182E-2</v>
      </c>
      <c r="H81" s="315">
        <f>BCA_Model_Annual!R36+H163</f>
        <v>2.0196466147127556E-2</v>
      </c>
      <c r="I81" s="315">
        <f>BCA_Model_Annual!S36+I163</f>
        <v>2.1775437476729963E-2</v>
      </c>
      <c r="J81" s="315">
        <f>BCA_Model_Annual!T36+J163</f>
        <v>2.090440732939769E-2</v>
      </c>
      <c r="K81" s="315">
        <f>BCA_Model_Annual!U36+K163</f>
        <v>2.9663396857325722E-2</v>
      </c>
      <c r="L81" s="315">
        <f>BCA_Model_Annual!V36+L163</f>
        <v>3.8618934626362671E-2</v>
      </c>
      <c r="M81" s="315">
        <f>BCA_Model_Annual!W36+M163</f>
        <v>3.4421860450181418E-2</v>
      </c>
      <c r="N81" s="315">
        <f>BCA_Model_Annual!X36+N163</f>
        <v>2.9711145808311315E-2</v>
      </c>
      <c r="O81" s="315">
        <f>BCA_Model_Annual!Y36+O163</f>
        <v>2.3922153379438003E-2</v>
      </c>
      <c r="P81" s="315">
        <f>BCA_Model_Annual!Z36+P163</f>
        <v>2.7601966414600779E-2</v>
      </c>
      <c r="Q81" s="315">
        <f>BCA_Model_Annual!AA36+Q163</f>
        <v>2.1830253847959492E-2</v>
      </c>
      <c r="R81" s="315">
        <f>BCA_Model_Annual!AB36+R163</f>
        <v>2.0796624929571673E-2</v>
      </c>
      <c r="S81" s="315">
        <f>BCA_Model_Annual!AC36+S163</f>
        <v>2.6087686374285123E-2</v>
      </c>
      <c r="T81" s="315">
        <f>BCA_Model_Annual!AD36+T163</f>
        <v>2.5606919358635055E-2</v>
      </c>
      <c r="U81" s="315">
        <f>BCA_Model_Annual!AE36+U163</f>
        <v>0</v>
      </c>
      <c r="V81" s="315">
        <f>BCA_Model_Annual!AF36+V163</f>
        <v>0</v>
      </c>
      <c r="X81" s="320">
        <f>BCA_Model_Annual!$L$36+X163</f>
        <v>6.6855969893944572E-2</v>
      </c>
      <c r="Y81" s="321">
        <f t="shared" si="251"/>
        <v>6.6855969893944572E-2</v>
      </c>
      <c r="Z81" s="321">
        <f t="shared" si="251"/>
        <v>6.6855969893944572E-2</v>
      </c>
      <c r="AA81" s="321">
        <f t="shared" si="251"/>
        <v>6.6855969893944572E-2</v>
      </c>
      <c r="AB81" s="320">
        <f>BCA_Model_Annual!$M$36+AB163</f>
        <v>5.4368953226158437E-2</v>
      </c>
      <c r="AC81" s="321">
        <f t="shared" si="252"/>
        <v>5.4368953226158437E-2</v>
      </c>
      <c r="AD81" s="321">
        <f t="shared" si="252"/>
        <v>5.4368953226158437E-2</v>
      </c>
      <c r="AE81" s="321">
        <f t="shared" si="252"/>
        <v>5.4368953226158437E-2</v>
      </c>
      <c r="AF81" s="320">
        <f>BCA_Model_Annual!$N$36+AF163</f>
        <v>4.2167005312247548E-2</v>
      </c>
      <c r="AG81" s="321">
        <f t="shared" si="253"/>
        <v>4.2167005312247548E-2</v>
      </c>
      <c r="AH81" s="321">
        <f t="shared" si="253"/>
        <v>4.2167005312247548E-2</v>
      </c>
      <c r="AI81" s="321">
        <f t="shared" si="253"/>
        <v>4.2167005312247548E-2</v>
      </c>
      <c r="AJ81" s="320">
        <f>BCA_Model_Annual!$O$36+AJ163</f>
        <v>3.1287648776883739E-2</v>
      </c>
      <c r="AK81" s="321">
        <f t="shared" si="254"/>
        <v>3.1287648776883739E-2</v>
      </c>
      <c r="AL81" s="321">
        <f t="shared" si="254"/>
        <v>3.1287648776883739E-2</v>
      </c>
      <c r="AM81" s="321">
        <f t="shared" si="254"/>
        <v>3.1287648776883739E-2</v>
      </c>
      <c r="AN81" s="320">
        <f>BCA_Model_Annual!$P$36+AN163</f>
        <v>3.0999977964346309E-2</v>
      </c>
      <c r="AO81" s="321">
        <f t="shared" si="255"/>
        <v>3.0999977964346309E-2</v>
      </c>
      <c r="AP81" s="321">
        <f t="shared" si="255"/>
        <v>3.0999977964346309E-2</v>
      </c>
      <c r="AQ81" s="321">
        <f t="shared" si="255"/>
        <v>3.0999977964346309E-2</v>
      </c>
      <c r="AR81" s="320">
        <f>BCA_Model_Annual!$Q$36+AR163</f>
        <v>2.9071103065110182E-2</v>
      </c>
      <c r="AS81" s="321">
        <f t="shared" si="256"/>
        <v>2.9071103065110182E-2</v>
      </c>
      <c r="AT81" s="321">
        <f t="shared" si="256"/>
        <v>2.9071103065110182E-2</v>
      </c>
      <c r="AU81" s="321">
        <f t="shared" si="256"/>
        <v>2.9071103065110182E-2</v>
      </c>
      <c r="AV81" s="320">
        <f>BCA_Model_Annual!$R$36+AV163</f>
        <v>2.0196466147127556E-2</v>
      </c>
      <c r="AW81" s="321">
        <f t="shared" si="257"/>
        <v>2.0196466147127556E-2</v>
      </c>
      <c r="AX81" s="321">
        <f t="shared" si="257"/>
        <v>2.0196466147127556E-2</v>
      </c>
      <c r="AY81" s="321">
        <f t="shared" si="257"/>
        <v>2.0196466147127556E-2</v>
      </c>
      <c r="AZ81" s="320">
        <f>BCA_Model_Annual!$S$36+AZ163</f>
        <v>2.1775437476729963E-2</v>
      </c>
      <c r="BA81" s="321">
        <f t="shared" si="258"/>
        <v>2.1775437476729963E-2</v>
      </c>
      <c r="BB81" s="321">
        <f t="shared" si="258"/>
        <v>2.1775437476729963E-2</v>
      </c>
      <c r="BC81" s="321">
        <f t="shared" si="258"/>
        <v>2.1775437476729963E-2</v>
      </c>
      <c r="BD81" s="320">
        <f>BCA_Model_Annual!$T$36+BD163</f>
        <v>2.090440732939769E-2</v>
      </c>
      <c r="BE81" s="321">
        <f t="shared" si="259"/>
        <v>2.090440732939769E-2</v>
      </c>
      <c r="BF81" s="321">
        <f t="shared" si="259"/>
        <v>2.090440732939769E-2</v>
      </c>
      <c r="BG81" s="321">
        <f t="shared" si="259"/>
        <v>2.090440732939769E-2</v>
      </c>
      <c r="BH81" s="320">
        <f>BCA_Model_Annual!$U$36+BH163</f>
        <v>2.9663396857325722E-2</v>
      </c>
      <c r="BI81" s="321">
        <f t="shared" si="260"/>
        <v>2.9663396857325722E-2</v>
      </c>
      <c r="BJ81" s="321">
        <f t="shared" si="260"/>
        <v>2.9663396857325722E-2</v>
      </c>
      <c r="BK81" s="321">
        <f t="shared" si="260"/>
        <v>2.9663396857325722E-2</v>
      </c>
      <c r="BL81" s="320">
        <f>BCA_Model_Annual!$V$36+BL163</f>
        <v>3.8618934626362671E-2</v>
      </c>
      <c r="BM81" s="321">
        <f t="shared" si="261"/>
        <v>3.8618934626362671E-2</v>
      </c>
      <c r="BN81" s="321">
        <f t="shared" si="261"/>
        <v>3.8618934626362671E-2</v>
      </c>
      <c r="BO81" s="321">
        <f t="shared" si="261"/>
        <v>3.8618934626362671E-2</v>
      </c>
      <c r="BP81" s="320">
        <f>BCA_Model_Annual!$W$36+BP163</f>
        <v>3.4421860450181418E-2</v>
      </c>
      <c r="BQ81" s="321">
        <f t="shared" si="262"/>
        <v>3.4421860450181418E-2</v>
      </c>
      <c r="BR81" s="321">
        <f t="shared" si="262"/>
        <v>3.4421860450181418E-2</v>
      </c>
      <c r="BS81" s="321">
        <f t="shared" si="262"/>
        <v>3.4421860450181418E-2</v>
      </c>
      <c r="BT81" s="321">
        <f t="shared" si="263"/>
        <v>3.4421860450181418E-2</v>
      </c>
      <c r="BU81" s="321">
        <f t="shared" si="263"/>
        <v>3.4421860450181418E-2</v>
      </c>
      <c r="BV81" s="321">
        <f t="shared" si="263"/>
        <v>3.4421860450181418E-2</v>
      </c>
      <c r="BW81" s="321">
        <f t="shared" si="263"/>
        <v>3.4421860450181418E-2</v>
      </c>
      <c r="BX81" s="321">
        <f t="shared" si="263"/>
        <v>3.4421860450181418E-2</v>
      </c>
      <c r="BY81" s="321">
        <f t="shared" si="263"/>
        <v>3.4421860450181418E-2</v>
      </c>
      <c r="BZ81" s="321">
        <f t="shared" si="263"/>
        <v>3.4421860450181418E-2</v>
      </c>
      <c r="CA81" s="319">
        <f t="shared" si="263"/>
        <v>3.4421860450181418E-2</v>
      </c>
      <c r="CB81" s="319">
        <f t="shared" si="264"/>
        <v>3.4421860450181418E-2</v>
      </c>
      <c r="CC81" s="319">
        <f t="shared" si="265"/>
        <v>3.4421860450181418E-2</v>
      </c>
      <c r="CD81" s="319">
        <f t="shared" si="266"/>
        <v>3.4421860450181418E-2</v>
      </c>
      <c r="CE81" s="319">
        <f t="shared" si="267"/>
        <v>3.4421860450181418E-2</v>
      </c>
      <c r="CF81" s="319">
        <f>CE81</f>
        <v>3.4421860450181418E-2</v>
      </c>
      <c r="CG81" s="319">
        <f t="shared" si="268"/>
        <v>3.4421860450181418E-2</v>
      </c>
      <c r="CH81" s="319">
        <f t="shared" si="269"/>
        <v>3.4421860450181418E-2</v>
      </c>
      <c r="CI81" s="319">
        <f t="shared" si="270"/>
        <v>3.4421860450181418E-2</v>
      </c>
      <c r="CJ81" s="567">
        <f>$Q81</f>
        <v>2.1830253847959492E-2</v>
      </c>
      <c r="CK81" s="567">
        <f t="shared" ref="CK81:CM81" si="272">$Q81</f>
        <v>2.1830253847959492E-2</v>
      </c>
      <c r="CL81" s="567">
        <f t="shared" si="272"/>
        <v>2.1830253847959492E-2</v>
      </c>
      <c r="CM81" s="567">
        <f t="shared" si="272"/>
        <v>2.1830253847959492E-2</v>
      </c>
    </row>
    <row r="82" spans="1:92" s="5" customFormat="1">
      <c r="A82" s="12" t="s">
        <v>510</v>
      </c>
      <c r="B82" s="108">
        <f>IF(B81&gt;0,(B80/(1+B81)),B80)</f>
        <v>148.09871665779465</v>
      </c>
      <c r="C82" s="108">
        <f t="shared" ref="C82:V82" si="273">IF(C81&gt;0,(C80/(1+C81)),B82)</f>
        <v>170.71822861365175</v>
      </c>
      <c r="D82" s="108">
        <f t="shared" si="273"/>
        <v>170.79796145212708</v>
      </c>
      <c r="E82" s="108">
        <f t="shared" si="273"/>
        <v>172.59975935046788</v>
      </c>
      <c r="F82" s="108">
        <f t="shared" si="273"/>
        <v>174.58778258696015</v>
      </c>
      <c r="G82" s="108">
        <f t="shared" si="273"/>
        <v>173.94327706496148</v>
      </c>
      <c r="H82" s="108">
        <f t="shared" si="273"/>
        <v>175.45640074211505</v>
      </c>
      <c r="I82" s="108">
        <f t="shared" si="273"/>
        <v>174.20657560488067</v>
      </c>
      <c r="J82" s="108">
        <f t="shared" si="273"/>
        <v>176.31425499559285</v>
      </c>
      <c r="K82" s="108">
        <f t="shared" si="273"/>
        <v>174.8144107573259</v>
      </c>
      <c r="L82" s="108">
        <f t="shared" si="273"/>
        <v>173.30706575723462</v>
      </c>
      <c r="M82" s="108">
        <f t="shared" si="273"/>
        <v>174.01024367530655</v>
      </c>
      <c r="N82" s="108">
        <f t="shared" si="273"/>
        <v>174.80630440170879</v>
      </c>
      <c r="O82" s="108">
        <f t="shared" si="273"/>
        <v>175.79461427405687</v>
      </c>
      <c r="P82" s="108">
        <f t="shared" si="273"/>
        <v>175.16509882521615</v>
      </c>
      <c r="Q82" s="108">
        <f t="shared" si="273"/>
        <v>176.15450249409292</v>
      </c>
      <c r="R82" s="108">
        <f t="shared" si="273"/>
        <v>176.33287141052099</v>
      </c>
      <c r="S82" s="108">
        <f t="shared" si="273"/>
        <v>175.42360403528082</v>
      </c>
      <c r="T82" s="108">
        <f t="shared" si="273"/>
        <v>175.50583620532055</v>
      </c>
      <c r="U82" s="108">
        <f t="shared" si="273"/>
        <v>175.50583620532055</v>
      </c>
      <c r="V82" s="108">
        <f t="shared" si="273"/>
        <v>175.50583620532055</v>
      </c>
      <c r="X82" s="314">
        <f t="shared" ref="X82:BS82" si="274">X80/(1+X81)</f>
        <v>148.09871665779465</v>
      </c>
      <c r="Y82" s="314">
        <f t="shared" si="274"/>
        <v>148.09871665779465</v>
      </c>
      <c r="Z82" s="314">
        <f t="shared" si="274"/>
        <v>148.09871665779465</v>
      </c>
      <c r="AA82" s="314">
        <f t="shared" si="274"/>
        <v>148.09871665779465</v>
      </c>
      <c r="AB82" s="314">
        <f t="shared" si="274"/>
        <v>170.71822861365175</v>
      </c>
      <c r="AC82" s="314">
        <f t="shared" si="274"/>
        <v>170.71822861365175</v>
      </c>
      <c r="AD82" s="314">
        <f t="shared" si="274"/>
        <v>170.71822861365175</v>
      </c>
      <c r="AE82" s="314">
        <f t="shared" si="274"/>
        <v>170.71822861365175</v>
      </c>
      <c r="AF82" s="314">
        <f t="shared" si="274"/>
        <v>170.79796145212708</v>
      </c>
      <c r="AG82" s="314">
        <f t="shared" si="274"/>
        <v>170.79796145212708</v>
      </c>
      <c r="AH82" s="314">
        <f t="shared" si="274"/>
        <v>170.79796145212708</v>
      </c>
      <c r="AI82" s="314">
        <f t="shared" si="274"/>
        <v>170.79796145212708</v>
      </c>
      <c r="AJ82" s="314">
        <f t="shared" si="274"/>
        <v>172.59975935046788</v>
      </c>
      <c r="AK82" s="314">
        <f t="shared" si="274"/>
        <v>172.59975935046788</v>
      </c>
      <c r="AL82" s="314">
        <f t="shared" si="274"/>
        <v>172.59975935046788</v>
      </c>
      <c r="AM82" s="314">
        <f t="shared" si="274"/>
        <v>172.59975935046788</v>
      </c>
      <c r="AN82" s="314">
        <f t="shared" si="274"/>
        <v>174.58778258696015</v>
      </c>
      <c r="AO82" s="314">
        <f t="shared" si="274"/>
        <v>174.58778258696015</v>
      </c>
      <c r="AP82" s="314">
        <f t="shared" si="274"/>
        <v>174.58778258696015</v>
      </c>
      <c r="AQ82" s="314">
        <f t="shared" si="274"/>
        <v>174.58778258696015</v>
      </c>
      <c r="AR82" s="314">
        <f t="shared" si="274"/>
        <v>173.94327706496148</v>
      </c>
      <c r="AS82" s="314">
        <f t="shared" si="274"/>
        <v>173.94327706496148</v>
      </c>
      <c r="AT82" s="314">
        <f t="shared" si="274"/>
        <v>173.94327706496148</v>
      </c>
      <c r="AU82" s="314">
        <f t="shared" si="274"/>
        <v>173.94327706496148</v>
      </c>
      <c r="AV82" s="314">
        <f t="shared" si="274"/>
        <v>175.45640074211505</v>
      </c>
      <c r="AW82" s="314">
        <f t="shared" si="274"/>
        <v>175.45640074211505</v>
      </c>
      <c r="AX82" s="314">
        <f t="shared" si="274"/>
        <v>175.45640074211505</v>
      </c>
      <c r="AY82" s="314">
        <f t="shared" si="274"/>
        <v>175.45640074211505</v>
      </c>
      <c r="AZ82" s="314">
        <f t="shared" si="274"/>
        <v>174.20657560488067</v>
      </c>
      <c r="BA82" s="314">
        <f t="shared" si="274"/>
        <v>174.20657560488067</v>
      </c>
      <c r="BB82" s="314">
        <f t="shared" si="274"/>
        <v>174.20657560488067</v>
      </c>
      <c r="BC82" s="314">
        <f t="shared" si="274"/>
        <v>174.20657560488067</v>
      </c>
      <c r="BD82" s="314">
        <f t="shared" si="274"/>
        <v>176.31425499559285</v>
      </c>
      <c r="BE82" s="314">
        <f t="shared" si="274"/>
        <v>176.31425499559285</v>
      </c>
      <c r="BF82" s="314">
        <f t="shared" si="274"/>
        <v>176.31425499559285</v>
      </c>
      <c r="BG82" s="314">
        <f t="shared" si="274"/>
        <v>176.31425499559285</v>
      </c>
      <c r="BH82" s="314">
        <f t="shared" si="274"/>
        <v>174.8144107573259</v>
      </c>
      <c r="BI82" s="314">
        <f t="shared" si="274"/>
        <v>174.8144107573259</v>
      </c>
      <c r="BJ82" s="314">
        <f t="shared" si="274"/>
        <v>174.8144107573259</v>
      </c>
      <c r="BK82" s="314">
        <f t="shared" si="274"/>
        <v>174.8144107573259</v>
      </c>
      <c r="BL82" s="314">
        <f t="shared" si="274"/>
        <v>173.30706575723462</v>
      </c>
      <c r="BM82" s="314">
        <f t="shared" si="274"/>
        <v>173.30706575723462</v>
      </c>
      <c r="BN82" s="314">
        <f t="shared" si="274"/>
        <v>173.30706575723462</v>
      </c>
      <c r="BO82" s="314">
        <f t="shared" si="274"/>
        <v>173.30706575723462</v>
      </c>
      <c r="BP82" s="314">
        <f t="shared" si="274"/>
        <v>174.01024367530655</v>
      </c>
      <c r="BQ82" s="314">
        <f t="shared" si="274"/>
        <v>174.01024367530655</v>
      </c>
      <c r="BR82" s="314">
        <f t="shared" si="274"/>
        <v>174.01024367530655</v>
      </c>
      <c r="BS82" s="314">
        <f t="shared" si="274"/>
        <v>174.01024367530655</v>
      </c>
      <c r="BT82" s="314">
        <f>BT80/(1+BT81)</f>
        <v>174.01024367530655</v>
      </c>
      <c r="BU82" s="314">
        <f>BU80/(1+BU81)</f>
        <v>174.01024367530655</v>
      </c>
      <c r="BV82" s="314">
        <f>BV80/(1+BV81)</f>
        <v>174.01024367530655</v>
      </c>
      <c r="BW82" s="314">
        <f>BW80/(1+BW81)</f>
        <v>174.01024367530655</v>
      </c>
      <c r="BX82" s="314">
        <f t="shared" ref="BX82:CA82" si="275">BX80/(1+BX81)</f>
        <v>174.01024367530655</v>
      </c>
      <c r="BY82" s="314">
        <f t="shared" si="275"/>
        <v>174.01024367530655</v>
      </c>
      <c r="BZ82" s="314">
        <f t="shared" si="275"/>
        <v>174.01024367530655</v>
      </c>
      <c r="CA82" s="314">
        <f t="shared" si="275"/>
        <v>174.01024367530655</v>
      </c>
      <c r="CB82" s="314">
        <f t="shared" ref="CB82:CE82" si="276">CB80/(1+CB81)</f>
        <v>174.01024367530655</v>
      </c>
      <c r="CC82" s="314">
        <f t="shared" si="276"/>
        <v>174.01024367530655</v>
      </c>
      <c r="CD82" s="314">
        <f t="shared" si="276"/>
        <v>174.01024367530655</v>
      </c>
      <c r="CE82" s="314">
        <f t="shared" si="276"/>
        <v>174.01024367530655</v>
      </c>
      <c r="CF82" s="314">
        <f t="shared" ref="CF82:CI82" si="277">CF80/(1+CF81)</f>
        <v>174.01024367530655</v>
      </c>
      <c r="CG82" s="314">
        <f t="shared" si="277"/>
        <v>174.01024367530655</v>
      </c>
      <c r="CH82" s="314">
        <f t="shared" si="277"/>
        <v>174.01024367530655</v>
      </c>
      <c r="CI82" s="314">
        <f t="shared" si="277"/>
        <v>174.01024367530655</v>
      </c>
      <c r="CJ82" s="108">
        <f t="shared" ref="CJ82" si="278">IF(CJ81&gt;0,(CJ80/(1+CJ81)),CI82)</f>
        <v>176.15450249409292</v>
      </c>
      <c r="CK82" s="108">
        <f t="shared" ref="CK82" si="279">IF(CK81&gt;0,(CK80/(1+CK81)),CJ82)</f>
        <v>176.15450249409292</v>
      </c>
      <c r="CL82" s="108">
        <f t="shared" ref="CL82" si="280">IF(CL81&gt;0,(CL80/(1+CL81)),CK82)</f>
        <v>176.15450249409292</v>
      </c>
      <c r="CM82" s="108">
        <f t="shared" ref="CM82" si="281">IF(CM81&gt;0,(CM80/(1+CM81)),CL82)</f>
        <v>176.15450249409292</v>
      </c>
    </row>
    <row r="83" spans="1:92" s="5" customFormat="1">
      <c r="A83" s="12"/>
      <c r="B83" s="308"/>
      <c r="C83" s="308"/>
      <c r="D83" s="308"/>
      <c r="E83" s="308"/>
      <c r="F83" s="308"/>
      <c r="G83" s="308"/>
      <c r="H83" s="308"/>
      <c r="I83" s="40"/>
      <c r="J83" s="40"/>
      <c r="K83" s="40"/>
      <c r="L83" s="40"/>
      <c r="M83" s="40"/>
      <c r="N83" s="308"/>
      <c r="O83" s="308"/>
      <c r="P83" s="308"/>
      <c r="Q83" s="308"/>
      <c r="R83" s="308"/>
      <c r="S83" s="308"/>
      <c r="T83" s="308"/>
      <c r="U83" s="308"/>
      <c r="V83" s="308"/>
      <c r="X83" s="308"/>
      <c r="Y83" s="308"/>
      <c r="Z83" s="308"/>
      <c r="AA83" s="308"/>
      <c r="AB83" s="308"/>
      <c r="AC83" s="308"/>
      <c r="AD83" s="308"/>
      <c r="AE83" s="308"/>
      <c r="AF83" s="308"/>
      <c r="AG83" s="308"/>
      <c r="AH83" s="308"/>
      <c r="AI83" s="308"/>
      <c r="AJ83" s="308"/>
      <c r="AK83" s="308"/>
      <c r="AL83" s="308"/>
      <c r="AM83" s="308"/>
      <c r="AN83" s="308"/>
      <c r="AO83" s="308"/>
      <c r="AP83" s="308"/>
      <c r="AQ83" s="308"/>
      <c r="AR83" s="308"/>
      <c r="AS83" s="308"/>
      <c r="AT83" s="308"/>
      <c r="AU83" s="318"/>
      <c r="AV83" s="308"/>
      <c r="AW83" s="308"/>
      <c r="AX83" s="308"/>
      <c r="AY83" s="318"/>
      <c r="AZ83" s="40"/>
      <c r="BA83" s="108"/>
      <c r="BB83" s="40"/>
      <c r="BC83" s="108"/>
      <c r="BD83" s="40"/>
      <c r="BE83" s="40"/>
      <c r="BF83" s="40"/>
      <c r="BG83" s="108"/>
      <c r="BH83" s="40"/>
      <c r="BI83" s="40"/>
      <c r="BJ83" s="40"/>
      <c r="BK83" s="108"/>
      <c r="BL83" s="40"/>
      <c r="BM83" s="308"/>
      <c r="BN83" s="308"/>
      <c r="BO83" s="318"/>
      <c r="BP83" s="314"/>
      <c r="BQ83" s="308"/>
      <c r="BR83" s="308"/>
      <c r="BS83" s="318"/>
      <c r="BT83" s="318"/>
      <c r="BU83" s="318"/>
      <c r="BV83" s="318"/>
      <c r="BW83" s="318"/>
      <c r="BX83" s="318"/>
      <c r="BY83" s="318"/>
      <c r="BZ83" s="318"/>
      <c r="CA83" s="318"/>
      <c r="CB83" s="318"/>
      <c r="CC83" s="318"/>
      <c r="CD83" s="318"/>
      <c r="CE83" s="318"/>
      <c r="CF83" s="318"/>
      <c r="CG83" s="318"/>
      <c r="CH83" s="318"/>
      <c r="CI83" s="318"/>
      <c r="CJ83" s="308"/>
      <c r="CK83" s="308"/>
      <c r="CL83" s="308"/>
      <c r="CM83" s="308"/>
    </row>
    <row r="84" spans="1:92" s="5" customFormat="1">
      <c r="A84" s="12" t="s">
        <v>1</v>
      </c>
      <c r="B84" s="43">
        <v>0</v>
      </c>
      <c r="C84" s="43">
        <v>0</v>
      </c>
      <c r="D84" s="43">
        <v>0</v>
      </c>
      <c r="E84" s="43">
        <v>0</v>
      </c>
      <c r="F84" s="43">
        <v>0</v>
      </c>
      <c r="G84" s="43">
        <v>0</v>
      </c>
      <c r="H84" s="43">
        <v>0</v>
      </c>
      <c r="I84" s="43">
        <v>0</v>
      </c>
      <c r="J84" s="43">
        <v>0</v>
      </c>
      <c r="K84" s="43">
        <v>0</v>
      </c>
      <c r="L84" s="72">
        <f>SUM(BL84:BO84)</f>
        <v>0</v>
      </c>
      <c r="M84" s="72">
        <f>SUM(BP84:BS84)</f>
        <v>0</v>
      </c>
      <c r="N84" s="72">
        <f>SUM(BT84:BW84)</f>
        <v>0</v>
      </c>
      <c r="O84" s="43">
        <v>0</v>
      </c>
      <c r="P84" s="43">
        <v>0</v>
      </c>
      <c r="Q84" s="43">
        <v>0</v>
      </c>
      <c r="R84" s="562">
        <f t="shared" ref="R84" si="282">SUM(CJ84:CM84)</f>
        <v>0</v>
      </c>
      <c r="S84" s="43">
        <v>0</v>
      </c>
      <c r="T84" s="43">
        <v>0</v>
      </c>
      <c r="U84" s="43">
        <v>0</v>
      </c>
      <c r="V84" s="43">
        <v>0</v>
      </c>
      <c r="X84" s="82">
        <v>0</v>
      </c>
      <c r="Y84" s="82">
        <v>0</v>
      </c>
      <c r="Z84" s="82">
        <v>0</v>
      </c>
      <c r="AA84" s="82">
        <v>0</v>
      </c>
      <c r="AB84" s="82">
        <v>0</v>
      </c>
      <c r="AC84" s="82">
        <v>0</v>
      </c>
      <c r="AD84" s="82">
        <v>0</v>
      </c>
      <c r="AE84" s="82">
        <v>0</v>
      </c>
      <c r="AF84" s="82">
        <v>0</v>
      </c>
      <c r="AG84" s="82">
        <v>0</v>
      </c>
      <c r="AH84" s="82">
        <v>0</v>
      </c>
      <c r="AI84" s="82">
        <v>0</v>
      </c>
      <c r="AJ84" s="82">
        <v>0</v>
      </c>
      <c r="AK84" s="82">
        <v>0</v>
      </c>
      <c r="AL84" s="82">
        <v>0</v>
      </c>
      <c r="AM84" s="82">
        <v>0</v>
      </c>
      <c r="AN84" s="82">
        <v>0</v>
      </c>
      <c r="AO84" s="82">
        <v>0</v>
      </c>
      <c r="AP84" s="82">
        <v>0</v>
      </c>
      <c r="AQ84" s="82">
        <v>0</v>
      </c>
      <c r="AR84" s="82">
        <v>0</v>
      </c>
      <c r="AS84" s="82">
        <v>0</v>
      </c>
      <c r="AT84" s="82">
        <v>0</v>
      </c>
      <c r="AU84" s="82">
        <v>0</v>
      </c>
      <c r="AV84" s="82">
        <v>0</v>
      </c>
      <c r="AW84" s="82">
        <v>0</v>
      </c>
      <c r="AX84" s="82">
        <v>0</v>
      </c>
      <c r="AY84" s="82">
        <v>0</v>
      </c>
      <c r="AZ84" s="82">
        <v>0</v>
      </c>
      <c r="BA84" s="82">
        <v>0</v>
      </c>
      <c r="BB84" s="82">
        <v>0</v>
      </c>
      <c r="BC84" s="82">
        <v>0</v>
      </c>
      <c r="BD84" s="82">
        <v>0</v>
      </c>
      <c r="BE84" s="82">
        <v>0</v>
      </c>
      <c r="BF84" s="82">
        <v>0</v>
      </c>
      <c r="BG84" s="82">
        <v>0</v>
      </c>
      <c r="BH84" s="82">
        <v>0</v>
      </c>
      <c r="BI84" s="82">
        <v>0</v>
      </c>
      <c r="BJ84" s="82">
        <v>0</v>
      </c>
      <c r="BK84" s="82">
        <v>0</v>
      </c>
      <c r="BL84" s="82">
        <v>0</v>
      </c>
      <c r="BM84" s="82">
        <v>0</v>
      </c>
      <c r="BN84" s="82">
        <v>0</v>
      </c>
      <c r="BO84" s="82">
        <v>0</v>
      </c>
      <c r="BP84" s="82">
        <v>0</v>
      </c>
      <c r="BQ84" s="82">
        <v>0</v>
      </c>
      <c r="BR84" s="82">
        <v>0</v>
      </c>
      <c r="BS84" s="82">
        <v>0</v>
      </c>
      <c r="BT84" s="82">
        <v>0</v>
      </c>
      <c r="BU84" s="82">
        <v>0</v>
      </c>
      <c r="BV84" s="82">
        <v>0</v>
      </c>
      <c r="BW84" s="82">
        <v>0</v>
      </c>
      <c r="BX84" s="82">
        <v>0</v>
      </c>
      <c r="BY84" s="82">
        <v>0</v>
      </c>
      <c r="BZ84" s="82">
        <v>0</v>
      </c>
      <c r="CA84" s="82">
        <v>0</v>
      </c>
      <c r="CB84" s="82">
        <v>0</v>
      </c>
      <c r="CC84" s="82">
        <v>0</v>
      </c>
      <c r="CD84" s="82">
        <v>0</v>
      </c>
      <c r="CE84" s="82">
        <v>0</v>
      </c>
      <c r="CF84" s="82">
        <v>0</v>
      </c>
      <c r="CG84" s="82">
        <v>0</v>
      </c>
      <c r="CH84" s="82">
        <v>0</v>
      </c>
      <c r="CI84" s="82">
        <v>0</v>
      </c>
      <c r="CJ84" s="82">
        <v>0</v>
      </c>
      <c r="CK84" s="82">
        <v>0</v>
      </c>
      <c r="CL84" s="82">
        <v>0</v>
      </c>
      <c r="CM84" s="82">
        <v>0</v>
      </c>
    </row>
    <row r="85" spans="1:92" s="5" customFormat="1">
      <c r="A85" s="12"/>
      <c r="B85" s="308"/>
      <c r="C85" s="308"/>
      <c r="D85" s="308"/>
      <c r="E85" s="308"/>
      <c r="F85" s="308"/>
      <c r="G85" s="308"/>
      <c r="H85" s="308"/>
      <c r="I85" s="40"/>
      <c r="J85" s="40"/>
      <c r="K85" s="40"/>
      <c r="L85" s="40"/>
      <c r="M85" s="40"/>
      <c r="N85" s="308"/>
      <c r="O85" s="308"/>
      <c r="P85" s="308"/>
      <c r="Q85" s="308"/>
      <c r="R85" s="308"/>
      <c r="S85" s="308"/>
      <c r="T85" s="308"/>
      <c r="U85" s="308"/>
      <c r="V85" s="308"/>
      <c r="X85" s="308"/>
      <c r="Y85" s="308"/>
      <c r="Z85" s="308"/>
      <c r="AA85" s="308"/>
      <c r="AB85" s="308"/>
      <c r="AC85" s="308"/>
      <c r="AD85" s="308"/>
      <c r="AE85" s="308"/>
      <c r="AF85" s="308"/>
      <c r="AG85" s="308"/>
      <c r="AH85" s="308"/>
      <c r="AI85" s="308"/>
      <c r="AJ85" s="308"/>
      <c r="AK85" s="308"/>
      <c r="AL85" s="308"/>
      <c r="AM85" s="308"/>
      <c r="AN85" s="308"/>
      <c r="AO85" s="308"/>
      <c r="AP85" s="308"/>
      <c r="AQ85" s="308"/>
      <c r="AR85" s="308"/>
      <c r="AS85" s="308"/>
      <c r="AT85" s="308"/>
      <c r="AU85" s="308"/>
      <c r="AV85" s="308"/>
      <c r="AW85" s="308"/>
      <c r="AX85" s="308"/>
      <c r="AY85" s="308"/>
      <c r="AZ85" s="308"/>
      <c r="BA85" s="308"/>
      <c r="BB85" s="308"/>
      <c r="BC85" s="308"/>
      <c r="BD85" s="308"/>
      <c r="BE85" s="308"/>
      <c r="BF85" s="308"/>
      <c r="BG85" s="308"/>
      <c r="BH85" s="308"/>
      <c r="BI85" s="308"/>
      <c r="BJ85" s="308"/>
      <c r="BK85" s="308"/>
      <c r="BL85" s="308"/>
      <c r="BM85" s="308"/>
      <c r="BN85" s="308"/>
      <c r="BO85" s="308"/>
      <c r="BP85" s="308"/>
      <c r="BQ85" s="308"/>
      <c r="BR85" s="308"/>
      <c r="BS85" s="308"/>
      <c r="BT85" s="308"/>
      <c r="BU85" s="308"/>
      <c r="BV85" s="308"/>
      <c r="BW85" s="308"/>
      <c r="BX85" s="308"/>
      <c r="BY85" s="308"/>
      <c r="BZ85" s="308"/>
      <c r="CA85" s="308"/>
      <c r="CB85" s="308"/>
      <c r="CC85" s="308"/>
      <c r="CD85" s="308"/>
      <c r="CE85" s="308"/>
      <c r="CF85" s="308"/>
      <c r="CG85" s="308"/>
      <c r="CH85" s="308"/>
      <c r="CI85" s="308"/>
      <c r="CJ85" s="308"/>
      <c r="CK85" s="308"/>
      <c r="CL85" s="308"/>
      <c r="CM85" s="308"/>
    </row>
    <row r="86" spans="1:92" s="5" customFormat="1">
      <c r="A86" s="362" t="s">
        <v>546</v>
      </c>
      <c r="B86" s="363">
        <f t="shared" ref="B86:Q86" si="283">B78*B82+B84</f>
        <v>0</v>
      </c>
      <c r="C86" s="363">
        <f t="shared" si="283"/>
        <v>0</v>
      </c>
      <c r="D86" s="363">
        <f t="shared" si="283"/>
        <v>0</v>
      </c>
      <c r="E86" s="363">
        <f t="shared" si="283"/>
        <v>0</v>
      </c>
      <c r="F86" s="363">
        <f t="shared" si="283"/>
        <v>0</v>
      </c>
      <c r="G86" s="363">
        <f t="shared" si="283"/>
        <v>0</v>
      </c>
      <c r="H86" s="363">
        <f t="shared" si="283"/>
        <v>0</v>
      </c>
      <c r="I86" s="363">
        <f>I78*I82+I84</f>
        <v>0</v>
      </c>
      <c r="J86" s="363">
        <f t="shared" si="283"/>
        <v>0</v>
      </c>
      <c r="K86" s="363">
        <f t="shared" si="283"/>
        <v>0</v>
      </c>
      <c r="L86" s="363">
        <f t="shared" si="283"/>
        <v>0</v>
      </c>
      <c r="M86" s="363">
        <f t="shared" si="283"/>
        <v>0</v>
      </c>
      <c r="N86" s="363">
        <f t="shared" si="283"/>
        <v>0</v>
      </c>
      <c r="O86" s="363">
        <f t="shared" si="283"/>
        <v>0</v>
      </c>
      <c r="P86" s="363">
        <f t="shared" si="283"/>
        <v>0</v>
      </c>
      <c r="Q86" s="363">
        <f t="shared" si="283"/>
        <v>0</v>
      </c>
      <c r="R86" s="363">
        <f>R78*R82+R84</f>
        <v>0</v>
      </c>
      <c r="S86" s="363">
        <f>S78*S82+S84</f>
        <v>0</v>
      </c>
      <c r="T86" s="363">
        <f>T78*T82+T84</f>
        <v>0</v>
      </c>
      <c r="U86" s="363">
        <f>U78*U82+U84</f>
        <v>0</v>
      </c>
      <c r="V86" s="363">
        <f>V78*V82+V84</f>
        <v>0</v>
      </c>
      <c r="X86" s="363">
        <f>X78*X82+X84</f>
        <v>0</v>
      </c>
      <c r="Y86" s="363">
        <f t="shared" ref="Y86:BS86" si="284">Y78*Y82+Y84</f>
        <v>0</v>
      </c>
      <c r="Z86" s="363">
        <f t="shared" si="284"/>
        <v>0</v>
      </c>
      <c r="AA86" s="363">
        <f t="shared" si="284"/>
        <v>0</v>
      </c>
      <c r="AB86" s="363">
        <f t="shared" si="284"/>
        <v>0</v>
      </c>
      <c r="AC86" s="363">
        <f t="shared" si="284"/>
        <v>0</v>
      </c>
      <c r="AD86" s="363">
        <f t="shared" si="284"/>
        <v>0</v>
      </c>
      <c r="AE86" s="363">
        <f t="shared" si="284"/>
        <v>0</v>
      </c>
      <c r="AF86" s="363">
        <f t="shared" si="284"/>
        <v>0</v>
      </c>
      <c r="AG86" s="363">
        <f t="shared" si="284"/>
        <v>0</v>
      </c>
      <c r="AH86" s="363">
        <f t="shared" si="284"/>
        <v>0</v>
      </c>
      <c r="AI86" s="363">
        <f t="shared" si="284"/>
        <v>0</v>
      </c>
      <c r="AJ86" s="363">
        <f t="shared" si="284"/>
        <v>0</v>
      </c>
      <c r="AK86" s="363">
        <f t="shared" si="284"/>
        <v>0</v>
      </c>
      <c r="AL86" s="363">
        <f t="shared" si="284"/>
        <v>0</v>
      </c>
      <c r="AM86" s="363">
        <f t="shared" si="284"/>
        <v>0</v>
      </c>
      <c r="AN86" s="363">
        <f t="shared" si="284"/>
        <v>0</v>
      </c>
      <c r="AO86" s="363">
        <f t="shared" si="284"/>
        <v>0</v>
      </c>
      <c r="AP86" s="363">
        <f t="shared" si="284"/>
        <v>0</v>
      </c>
      <c r="AQ86" s="363">
        <f t="shared" si="284"/>
        <v>0</v>
      </c>
      <c r="AR86" s="363">
        <f t="shared" si="284"/>
        <v>0</v>
      </c>
      <c r="AS86" s="363">
        <f t="shared" si="284"/>
        <v>0</v>
      </c>
      <c r="AT86" s="363">
        <f t="shared" si="284"/>
        <v>0</v>
      </c>
      <c r="AU86" s="363">
        <f t="shared" si="284"/>
        <v>0</v>
      </c>
      <c r="AV86" s="363">
        <f t="shared" si="284"/>
        <v>0</v>
      </c>
      <c r="AW86" s="363">
        <f t="shared" si="284"/>
        <v>0</v>
      </c>
      <c r="AX86" s="363">
        <f t="shared" si="284"/>
        <v>0</v>
      </c>
      <c r="AY86" s="363">
        <f t="shared" si="284"/>
        <v>0</v>
      </c>
      <c r="AZ86" s="363">
        <f t="shared" si="284"/>
        <v>0</v>
      </c>
      <c r="BA86" s="363">
        <f t="shared" si="284"/>
        <v>0</v>
      </c>
      <c r="BB86" s="363">
        <f t="shared" si="284"/>
        <v>0</v>
      </c>
      <c r="BC86" s="363">
        <f t="shared" si="284"/>
        <v>0</v>
      </c>
      <c r="BD86" s="363">
        <f t="shared" si="284"/>
        <v>0</v>
      </c>
      <c r="BE86" s="363">
        <f t="shared" si="284"/>
        <v>0</v>
      </c>
      <c r="BF86" s="363">
        <f t="shared" si="284"/>
        <v>0</v>
      </c>
      <c r="BG86" s="363">
        <f t="shared" si="284"/>
        <v>0</v>
      </c>
      <c r="BH86" s="363">
        <f t="shared" si="284"/>
        <v>0</v>
      </c>
      <c r="BI86" s="363">
        <f t="shared" si="284"/>
        <v>0</v>
      </c>
      <c r="BJ86" s="363">
        <f t="shared" si="284"/>
        <v>0</v>
      </c>
      <c r="BK86" s="363">
        <f t="shared" si="284"/>
        <v>0</v>
      </c>
      <c r="BL86" s="363">
        <f t="shared" si="284"/>
        <v>0</v>
      </c>
      <c r="BM86" s="363">
        <f t="shared" si="284"/>
        <v>0</v>
      </c>
      <c r="BN86" s="363">
        <f t="shared" si="284"/>
        <v>0</v>
      </c>
      <c r="BO86" s="363">
        <f t="shared" si="284"/>
        <v>0</v>
      </c>
      <c r="BP86" s="363">
        <f t="shared" si="284"/>
        <v>0</v>
      </c>
      <c r="BQ86" s="363">
        <f t="shared" si="284"/>
        <v>0</v>
      </c>
      <c r="BR86" s="363">
        <f t="shared" si="284"/>
        <v>0</v>
      </c>
      <c r="BS86" s="363">
        <f t="shared" si="284"/>
        <v>0</v>
      </c>
      <c r="BT86" s="363">
        <f>BT78*BT82+BT84</f>
        <v>0</v>
      </c>
      <c r="BU86" s="363">
        <f>BU78*BU82+BU84</f>
        <v>0</v>
      </c>
      <c r="BV86" s="363">
        <f>BV78*BV82+BV84</f>
        <v>0</v>
      </c>
      <c r="BW86" s="363">
        <f>BW78*BW82+BW84</f>
        <v>0</v>
      </c>
      <c r="BX86" s="363">
        <f t="shared" ref="BX86:CE86" si="285">BX78*BX82+BX84</f>
        <v>0</v>
      </c>
      <c r="BY86" s="363">
        <f t="shared" si="285"/>
        <v>0</v>
      </c>
      <c r="BZ86" s="363">
        <f t="shared" si="285"/>
        <v>0</v>
      </c>
      <c r="CA86" s="363">
        <f t="shared" si="285"/>
        <v>0</v>
      </c>
      <c r="CB86" s="363">
        <f t="shared" si="285"/>
        <v>0</v>
      </c>
      <c r="CC86" s="363">
        <f t="shared" si="285"/>
        <v>0</v>
      </c>
      <c r="CD86" s="363">
        <f t="shared" si="285"/>
        <v>0</v>
      </c>
      <c r="CE86" s="363">
        <f t="shared" si="285"/>
        <v>0</v>
      </c>
      <c r="CF86" s="363">
        <f t="shared" ref="CF86:CM86" si="286">CF78*CF82+CF84</f>
        <v>0</v>
      </c>
      <c r="CG86" s="363">
        <f t="shared" si="286"/>
        <v>0</v>
      </c>
      <c r="CH86" s="363">
        <f t="shared" si="286"/>
        <v>0</v>
      </c>
      <c r="CI86" s="363">
        <f t="shared" si="286"/>
        <v>0</v>
      </c>
      <c r="CJ86" s="363">
        <f t="shared" si="286"/>
        <v>0</v>
      </c>
      <c r="CK86" s="363">
        <f t="shared" si="286"/>
        <v>0</v>
      </c>
      <c r="CL86" s="363">
        <f t="shared" si="286"/>
        <v>0</v>
      </c>
      <c r="CM86" s="363">
        <f t="shared" si="286"/>
        <v>0</v>
      </c>
    </row>
    <row r="87" spans="1:92" s="5" customFormat="1">
      <c r="A87" s="12"/>
      <c r="B87" s="308"/>
      <c r="C87" s="308"/>
      <c r="D87" s="308"/>
      <c r="E87" s="308"/>
      <c r="F87" s="308"/>
      <c r="G87" s="308"/>
      <c r="H87" s="308"/>
      <c r="I87" s="40"/>
      <c r="J87" s="40"/>
      <c r="K87" s="40"/>
      <c r="L87" s="40"/>
      <c r="M87" s="40"/>
      <c r="N87" s="308"/>
      <c r="O87" s="308"/>
      <c r="P87" s="308"/>
      <c r="Q87" s="308"/>
      <c r="R87" s="308"/>
      <c r="S87" s="308"/>
      <c r="T87" s="308"/>
      <c r="U87" s="308"/>
      <c r="V87" s="308"/>
      <c r="X87" s="308"/>
      <c r="Y87" s="308"/>
      <c r="Z87" s="308"/>
      <c r="AA87" s="308"/>
      <c r="AB87" s="308"/>
      <c r="AC87" s="308"/>
      <c r="AD87" s="308"/>
      <c r="AE87" s="308"/>
      <c r="AF87" s="308"/>
      <c r="AG87" s="308"/>
      <c r="AH87" s="308"/>
      <c r="AI87" s="308"/>
      <c r="AJ87" s="308"/>
      <c r="AK87" s="308"/>
      <c r="AL87" s="308"/>
      <c r="AM87" s="308"/>
      <c r="AN87" s="308"/>
      <c r="AO87" s="308"/>
      <c r="AP87" s="308"/>
      <c r="AQ87" s="308"/>
      <c r="AR87" s="308"/>
      <c r="AS87" s="308"/>
      <c r="AT87" s="308"/>
      <c r="AU87" s="318"/>
      <c r="AV87" s="308"/>
      <c r="AW87" s="308"/>
      <c r="AX87" s="308"/>
      <c r="AY87" s="318"/>
      <c r="AZ87" s="40"/>
      <c r="BA87" s="108"/>
      <c r="BB87" s="40"/>
      <c r="BC87" s="108"/>
      <c r="BD87" s="40"/>
      <c r="BE87" s="40"/>
      <c r="BF87" s="40"/>
      <c r="BG87" s="108"/>
      <c r="BH87" s="40"/>
      <c r="BI87" s="40"/>
      <c r="BJ87" s="40"/>
      <c r="BK87" s="108"/>
      <c r="BL87" s="40"/>
      <c r="BM87" s="308"/>
      <c r="BN87" s="308"/>
      <c r="BO87" s="318"/>
      <c r="BP87" s="314"/>
      <c r="BQ87" s="308"/>
      <c r="BR87" s="308"/>
      <c r="BS87" s="318"/>
      <c r="BT87" s="318"/>
      <c r="BU87" s="318"/>
      <c r="BV87" s="318"/>
      <c r="BW87" s="318"/>
      <c r="BX87" s="318"/>
      <c r="BY87" s="318"/>
      <c r="BZ87" s="318"/>
      <c r="CA87" s="318"/>
      <c r="CB87" s="318"/>
      <c r="CC87" s="318"/>
      <c r="CD87" s="318"/>
      <c r="CE87" s="318"/>
      <c r="CF87" s="318"/>
      <c r="CG87" s="318"/>
      <c r="CH87" s="318"/>
      <c r="CI87" s="318"/>
      <c r="CJ87" s="308"/>
      <c r="CK87" s="308"/>
      <c r="CL87" s="308"/>
      <c r="CM87" s="308"/>
    </row>
    <row r="88" spans="1:92">
      <c r="A88" s="16">
        <v>767</v>
      </c>
      <c r="B88" s="60"/>
      <c r="C88" s="60"/>
      <c r="D88" s="60"/>
      <c r="E88" s="60"/>
      <c r="F88" s="60"/>
      <c r="G88" s="60"/>
      <c r="H88" s="60"/>
      <c r="I88" s="60"/>
      <c r="J88" s="60"/>
      <c r="K88" s="60"/>
      <c r="L88" s="60"/>
      <c r="M88" s="60"/>
      <c r="N88" s="60"/>
      <c r="O88" s="60"/>
      <c r="P88" s="60"/>
      <c r="Q88" s="60"/>
      <c r="R88" s="60"/>
      <c r="S88" s="60"/>
      <c r="T88" s="60"/>
      <c r="U88" s="60"/>
      <c r="V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317"/>
      <c r="AV88" s="60"/>
      <c r="AW88" s="60"/>
      <c r="AX88" s="60"/>
      <c r="AY88" s="317"/>
      <c r="AZ88" s="60"/>
      <c r="BA88" s="60"/>
      <c r="BB88" s="60"/>
      <c r="BC88" s="317"/>
      <c r="BD88" s="60"/>
      <c r="BE88" s="60"/>
      <c r="BF88" s="60"/>
      <c r="BG88" s="317"/>
      <c r="BH88" s="60"/>
      <c r="BI88" s="60"/>
      <c r="BJ88" s="60"/>
      <c r="BK88" s="317"/>
      <c r="BL88" s="60"/>
      <c r="BM88" s="60"/>
      <c r="BN88" s="60"/>
      <c r="BO88" s="317"/>
      <c r="BP88" s="60"/>
      <c r="BQ88" s="60"/>
      <c r="BR88" s="60"/>
      <c r="BS88" s="317"/>
      <c r="BT88" s="317"/>
      <c r="BU88" s="317"/>
      <c r="BV88" s="317"/>
      <c r="BW88" s="317"/>
      <c r="BX88" s="317"/>
      <c r="BY88" s="317"/>
      <c r="BZ88" s="317"/>
      <c r="CA88" s="317"/>
      <c r="CB88" s="317"/>
      <c r="CC88" s="317"/>
      <c r="CD88" s="317"/>
      <c r="CE88" s="317"/>
      <c r="CF88" s="317"/>
      <c r="CG88" s="317"/>
      <c r="CH88" s="317"/>
      <c r="CI88" s="317"/>
      <c r="CJ88" s="60"/>
      <c r="CK88" s="60"/>
      <c r="CL88" s="60"/>
      <c r="CM88" s="60"/>
      <c r="CN88" s="5"/>
    </row>
    <row r="89" spans="1:92">
      <c r="A89" s="14"/>
      <c r="B89" s="78"/>
      <c r="C89" s="78"/>
      <c r="D89" s="78"/>
      <c r="E89" s="78"/>
      <c r="F89" s="78"/>
      <c r="G89" s="78"/>
      <c r="H89" s="78"/>
      <c r="I89" s="78"/>
      <c r="J89" s="78"/>
      <c r="K89" s="78"/>
      <c r="L89" s="78"/>
      <c r="M89" s="78"/>
      <c r="N89" s="78"/>
      <c r="O89" s="78"/>
      <c r="P89" s="78"/>
      <c r="Q89" s="78"/>
      <c r="R89" s="78"/>
      <c r="S89" s="78"/>
      <c r="T89" s="78"/>
      <c r="U89" s="78"/>
      <c r="V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96"/>
      <c r="AV89" s="78"/>
      <c r="AW89" s="78"/>
      <c r="AX89" s="78"/>
      <c r="AY89" s="96"/>
      <c r="AZ89" s="78"/>
      <c r="BA89" s="78"/>
      <c r="BB89" s="78"/>
      <c r="BC89" s="96"/>
      <c r="BD89" s="78"/>
      <c r="BE89" s="78"/>
      <c r="BF89" s="78"/>
      <c r="BG89" s="96"/>
      <c r="BH89" s="78"/>
      <c r="BI89" s="78"/>
      <c r="BJ89" s="78"/>
      <c r="BK89" s="96"/>
      <c r="BL89" s="78"/>
      <c r="BM89" s="78"/>
      <c r="BN89" s="78"/>
      <c r="BO89" s="96"/>
      <c r="BP89" s="78"/>
      <c r="BQ89" s="78"/>
      <c r="BR89" s="78"/>
      <c r="BS89" s="96"/>
      <c r="BT89" s="96"/>
      <c r="BU89" s="96"/>
      <c r="BV89" s="96"/>
      <c r="BW89" s="96"/>
      <c r="BX89" s="96"/>
      <c r="BY89" s="96"/>
      <c r="BZ89" s="96"/>
      <c r="CA89" s="96"/>
      <c r="CB89" s="96"/>
      <c r="CC89" s="96"/>
      <c r="CD89" s="96"/>
      <c r="CE89" s="96"/>
      <c r="CF89" s="96"/>
      <c r="CG89" s="96"/>
      <c r="CH89" s="96"/>
      <c r="CI89" s="96"/>
      <c r="CJ89" s="78"/>
      <c r="CK89" s="78"/>
      <c r="CL89" s="78"/>
      <c r="CM89" s="78"/>
      <c r="CN89" s="5"/>
    </row>
    <row r="90" spans="1:92">
      <c r="A90" s="1" t="s">
        <v>479</v>
      </c>
      <c r="B90" s="72">
        <f>SUM(X90:AA90)</f>
        <v>12</v>
      </c>
      <c r="C90" s="72">
        <f>SUM(AB90:AE90)</f>
        <v>20</v>
      </c>
      <c r="D90" s="72">
        <f>SUM(AF90:AI90)</f>
        <v>26</v>
      </c>
      <c r="E90" s="72">
        <f>SUM(AJ90:AM90)</f>
        <v>21</v>
      </c>
      <c r="F90" s="72">
        <f>SUM(AN90:AQ90)</f>
        <v>6</v>
      </c>
      <c r="G90" s="72">
        <f>SUM(AR90:AU90)</f>
        <v>16</v>
      </c>
      <c r="H90" s="72">
        <f>SUM(AV90:AY90)</f>
        <v>24</v>
      </c>
      <c r="I90" s="72">
        <f>SUM(AZ90:BC90)</f>
        <v>25.5</v>
      </c>
      <c r="J90" s="72">
        <f>SUM(BD90:BG90)</f>
        <v>30</v>
      </c>
      <c r="K90" s="72">
        <f>SUM(BH90:BK90)</f>
        <v>30</v>
      </c>
      <c r="L90" s="72">
        <f>SUM(BL90:BO90)</f>
        <v>32</v>
      </c>
      <c r="M90" s="72">
        <f>SUM(BP90:BS90)</f>
        <v>36</v>
      </c>
      <c r="N90" s="72">
        <f>SUM(BT90:BW90)</f>
        <v>33</v>
      </c>
      <c r="O90" s="72">
        <f>SUM(BX90:CA90)</f>
        <v>32</v>
      </c>
      <c r="P90" s="72">
        <f>SUM(CB90:CE90)</f>
        <v>18</v>
      </c>
      <c r="Q90" s="72">
        <f>SUM(CF90:CI90)</f>
        <v>30</v>
      </c>
      <c r="R90" s="562">
        <f t="shared" ref="R90" si="287">SUM(CJ90:CM90)</f>
        <v>36</v>
      </c>
      <c r="S90" s="43">
        <f>S91</f>
        <v>0</v>
      </c>
      <c r="T90" s="43">
        <f>T91</f>
        <v>0</v>
      </c>
      <c r="U90" s="43">
        <f>U91</f>
        <v>0</v>
      </c>
      <c r="V90" s="43">
        <f>V91</f>
        <v>0</v>
      </c>
      <c r="X90" s="43">
        <f>X91</f>
        <v>3</v>
      </c>
      <c r="Y90" s="43">
        <f t="shared" ref="Y90:AU90" si="288">Y91</f>
        <v>3</v>
      </c>
      <c r="Z90" s="43">
        <f t="shared" si="288"/>
        <v>3</v>
      </c>
      <c r="AA90" s="43">
        <f t="shared" si="288"/>
        <v>3</v>
      </c>
      <c r="AB90" s="43">
        <f t="shared" si="288"/>
        <v>4</v>
      </c>
      <c r="AC90" s="43">
        <f t="shared" si="288"/>
        <v>5</v>
      </c>
      <c r="AD90" s="43">
        <f t="shared" si="288"/>
        <v>5</v>
      </c>
      <c r="AE90" s="43">
        <f t="shared" si="288"/>
        <v>6</v>
      </c>
      <c r="AF90" s="43">
        <f t="shared" si="288"/>
        <v>7</v>
      </c>
      <c r="AG90" s="43">
        <f t="shared" si="288"/>
        <v>6</v>
      </c>
      <c r="AH90" s="43">
        <f t="shared" si="288"/>
        <v>7</v>
      </c>
      <c r="AI90" s="43">
        <f t="shared" si="288"/>
        <v>6</v>
      </c>
      <c r="AJ90" s="43">
        <f t="shared" si="288"/>
        <v>4</v>
      </c>
      <c r="AK90" s="43">
        <f t="shared" si="288"/>
        <v>8</v>
      </c>
      <c r="AL90" s="43">
        <f t="shared" si="288"/>
        <v>5</v>
      </c>
      <c r="AM90" s="43">
        <f t="shared" si="288"/>
        <v>4</v>
      </c>
      <c r="AN90" s="43">
        <f t="shared" si="288"/>
        <v>0</v>
      </c>
      <c r="AO90" s="43">
        <f t="shared" si="288"/>
        <v>1</v>
      </c>
      <c r="AP90" s="43">
        <f t="shared" si="288"/>
        <v>2</v>
      </c>
      <c r="AQ90" s="43">
        <f t="shared" si="288"/>
        <v>3</v>
      </c>
      <c r="AR90" s="43">
        <f t="shared" si="288"/>
        <v>5</v>
      </c>
      <c r="AS90" s="43">
        <f t="shared" si="288"/>
        <v>4</v>
      </c>
      <c r="AT90" s="43">
        <f t="shared" si="288"/>
        <v>5</v>
      </c>
      <c r="AU90" s="43">
        <f t="shared" si="288"/>
        <v>2</v>
      </c>
      <c r="AV90" s="43">
        <f>2*3</f>
        <v>6</v>
      </c>
      <c r="AW90" s="43">
        <f t="shared" ref="AW90:BC90" si="289">2*3</f>
        <v>6</v>
      </c>
      <c r="AX90" s="43">
        <f t="shared" si="289"/>
        <v>6</v>
      </c>
      <c r="AY90" s="43">
        <f t="shared" si="289"/>
        <v>6</v>
      </c>
      <c r="AZ90" s="43">
        <f t="shared" si="289"/>
        <v>6</v>
      </c>
      <c r="BA90" s="43">
        <f t="shared" si="289"/>
        <v>6</v>
      </c>
      <c r="BB90" s="43">
        <f>2.5*3</f>
        <v>7.5</v>
      </c>
      <c r="BC90" s="43">
        <f t="shared" si="289"/>
        <v>6</v>
      </c>
      <c r="BD90" s="43">
        <f>2.5*3</f>
        <v>7.5</v>
      </c>
      <c r="BE90" s="43">
        <f t="shared" ref="BE90:BK90" si="290">2.5*3</f>
        <v>7.5</v>
      </c>
      <c r="BF90" s="43">
        <f t="shared" si="290"/>
        <v>7.5</v>
      </c>
      <c r="BG90" s="43">
        <f t="shared" si="290"/>
        <v>7.5</v>
      </c>
      <c r="BH90" s="43">
        <f t="shared" si="290"/>
        <v>7.5</v>
      </c>
      <c r="BI90" s="43">
        <f t="shared" si="290"/>
        <v>7.5</v>
      </c>
      <c r="BJ90" s="43">
        <f t="shared" si="290"/>
        <v>7.5</v>
      </c>
      <c r="BK90" s="43">
        <f t="shared" si="290"/>
        <v>7.5</v>
      </c>
      <c r="BL90" s="43">
        <v>10</v>
      </c>
      <c r="BM90" s="43">
        <v>4</v>
      </c>
      <c r="BN90" s="43">
        <v>9</v>
      </c>
      <c r="BO90" s="43">
        <v>9</v>
      </c>
      <c r="BP90" s="43">
        <v>9</v>
      </c>
      <c r="BQ90" s="43">
        <v>9</v>
      </c>
      <c r="BR90" s="43">
        <v>9</v>
      </c>
      <c r="BS90" s="43">
        <v>9</v>
      </c>
      <c r="BT90" s="43">
        <f>BT91</f>
        <v>5</v>
      </c>
      <c r="BU90" s="43">
        <f>BU91</f>
        <v>7</v>
      </c>
      <c r="BV90" s="43">
        <f>BV91</f>
        <v>9</v>
      </c>
      <c r="BW90" s="43">
        <f>BW91</f>
        <v>12</v>
      </c>
      <c r="BX90" s="43">
        <v>1</v>
      </c>
      <c r="BY90" s="43">
        <v>8</v>
      </c>
      <c r="BZ90" s="43">
        <v>8</v>
      </c>
      <c r="CA90" s="43">
        <v>15</v>
      </c>
      <c r="CB90" s="43">
        <v>3</v>
      </c>
      <c r="CC90" s="43">
        <v>6</v>
      </c>
      <c r="CD90" s="43">
        <v>6</v>
      </c>
      <c r="CE90" s="43">
        <v>3</v>
      </c>
      <c r="CF90" s="43">
        <v>5</v>
      </c>
      <c r="CG90" s="43">
        <v>9</v>
      </c>
      <c r="CH90" s="43">
        <v>6</v>
      </c>
      <c r="CI90" s="43">
        <v>10</v>
      </c>
      <c r="CJ90" s="43">
        <v>9</v>
      </c>
      <c r="CK90" s="43">
        <v>9</v>
      </c>
      <c r="CL90" s="43">
        <v>9</v>
      </c>
      <c r="CM90" s="43">
        <v>9</v>
      </c>
      <c r="CN90" s="5"/>
    </row>
    <row r="91" spans="1:92">
      <c r="A91" s="1" t="s">
        <v>515</v>
      </c>
      <c r="B91" s="72">
        <f>SUM(X91:AA91)</f>
        <v>12</v>
      </c>
      <c r="C91" s="72">
        <f>SUM(AB91:AE91)</f>
        <v>20</v>
      </c>
      <c r="D91" s="72">
        <f>SUM(AF91:AI91)</f>
        <v>26</v>
      </c>
      <c r="E91" s="72">
        <f>SUM(AJ91:AM91)</f>
        <v>21</v>
      </c>
      <c r="F91" s="72">
        <f>SUM(AN91:AQ91)</f>
        <v>6</v>
      </c>
      <c r="G91" s="72">
        <f>SUM(AR91:AU91)</f>
        <v>16</v>
      </c>
      <c r="H91" s="72">
        <f>SUM(AV91:AY91)</f>
        <v>13</v>
      </c>
      <c r="I91" s="72">
        <f>SUM(AZ91:BC91)</f>
        <v>10</v>
      </c>
      <c r="J91" s="72">
        <f>SUM(BD91:BG91)</f>
        <v>27</v>
      </c>
      <c r="K91" s="72">
        <f>SUM(BH91:BK91)</f>
        <v>43</v>
      </c>
      <c r="L91" s="38">
        <f>BCA_Model_Annual!V6</f>
        <v>30</v>
      </c>
      <c r="M91" s="38">
        <f>BCA_Model_Annual!W6</f>
        <v>32</v>
      </c>
      <c r="N91" s="38">
        <f>BCA_Model_Annual!X6</f>
        <v>33</v>
      </c>
      <c r="O91" s="38">
        <f>BCA_Model_Annual!Y6</f>
        <v>32</v>
      </c>
      <c r="P91" s="38">
        <f>BCA_Model_Annual!Z6</f>
        <v>18</v>
      </c>
      <c r="Q91" s="38">
        <f>BCA_Model_Annual!AA6</f>
        <v>30</v>
      </c>
      <c r="R91" s="38">
        <f>BCA_Model_Annual!AB6</f>
        <v>36</v>
      </c>
      <c r="S91" s="38">
        <f>BCA_Model_Annual!AC6</f>
        <v>0</v>
      </c>
      <c r="T91" s="38">
        <f>BCA_Model_Annual!AD6</f>
        <v>0</v>
      </c>
      <c r="U91" s="38">
        <f>BCA_Model_Annual!AE6</f>
        <v>0</v>
      </c>
      <c r="V91" s="38">
        <f>BCA_Model_Annual!AF6</f>
        <v>0</v>
      </c>
      <c r="X91" s="43">
        <v>3</v>
      </c>
      <c r="Y91" s="43">
        <v>3</v>
      </c>
      <c r="Z91" s="43">
        <v>3</v>
      </c>
      <c r="AA91" s="43">
        <v>3</v>
      </c>
      <c r="AB91" s="43">
        <v>4</v>
      </c>
      <c r="AC91" s="43">
        <v>5</v>
      </c>
      <c r="AD91" s="43">
        <v>5</v>
      </c>
      <c r="AE91" s="43">
        <v>6</v>
      </c>
      <c r="AF91" s="43">
        <v>7</v>
      </c>
      <c r="AG91" s="43">
        <v>6</v>
      </c>
      <c r="AH91" s="43">
        <v>7</v>
      </c>
      <c r="AI91" s="43">
        <v>6</v>
      </c>
      <c r="AJ91" s="43">
        <v>4</v>
      </c>
      <c r="AK91" s="43">
        <v>8</v>
      </c>
      <c r="AL91" s="43">
        <v>5</v>
      </c>
      <c r="AM91" s="43">
        <v>4</v>
      </c>
      <c r="AN91" s="43">
        <v>0</v>
      </c>
      <c r="AO91" s="43">
        <v>1</v>
      </c>
      <c r="AP91" s="43">
        <v>2</v>
      </c>
      <c r="AQ91" s="43">
        <v>3</v>
      </c>
      <c r="AR91" s="38">
        <f>BCA_Deliveries_Qtr!B6</f>
        <v>5</v>
      </c>
      <c r="AS91" s="38">
        <f>BCA_Deliveries_Qtr!C6</f>
        <v>4</v>
      </c>
      <c r="AT91" s="38">
        <f>BCA_Deliveries_Qtr!D6</f>
        <v>5</v>
      </c>
      <c r="AU91" s="38">
        <f>BCA_Deliveries_Qtr!E6</f>
        <v>2</v>
      </c>
      <c r="AV91" s="38">
        <f>BCA_Deliveries_Qtr!G6</f>
        <v>1</v>
      </c>
      <c r="AW91" s="38">
        <f>BCA_Deliveries_Qtr!H6</f>
        <v>4</v>
      </c>
      <c r="AX91" s="38">
        <f>BCA_Deliveries_Qtr!I6</f>
        <v>5</v>
      </c>
      <c r="AY91" s="38">
        <f>BCA_Deliveries_Qtr!J6</f>
        <v>3</v>
      </c>
      <c r="AZ91" s="38">
        <f>BCA_Deliveries_Qtr!L6</f>
        <v>2</v>
      </c>
      <c r="BA91" s="38">
        <f>BCA_Deliveries_Qtr!M6</f>
        <v>3</v>
      </c>
      <c r="BB91" s="38">
        <f>BCA_Deliveries_Qtr!N6</f>
        <v>2</v>
      </c>
      <c r="BC91" s="38">
        <f>BCA_Deliveries_Qtr!O6</f>
        <v>3</v>
      </c>
      <c r="BD91" s="38">
        <f>BCA_Deliveries_Qtr!Q6</f>
        <v>4</v>
      </c>
      <c r="BE91" s="38">
        <f>BCA_Deliveries_Qtr!R6</f>
        <v>5</v>
      </c>
      <c r="BF91" s="38">
        <f>BCA_Deliveries_Qtr!S6</f>
        <v>4</v>
      </c>
      <c r="BG91" s="38">
        <f>BCA_Deliveries_Qtr!T6</f>
        <v>14</v>
      </c>
      <c r="BH91" s="38">
        <f>BCA_Deliveries_Qtr!V6</f>
        <v>12</v>
      </c>
      <c r="BI91" s="38">
        <f>BCA_Deliveries_Qtr!W6</f>
        <v>10</v>
      </c>
      <c r="BJ91" s="38">
        <f>BCA_Deliveries_Qtr!X6</f>
        <v>10</v>
      </c>
      <c r="BK91" s="38">
        <f>BCA_Deliveries_Qtr!Y6</f>
        <v>11</v>
      </c>
      <c r="BL91" s="38">
        <f>BCA_Deliveries_Qtr!AA6</f>
        <v>10</v>
      </c>
      <c r="BM91" s="38">
        <f>BCA_Deliveries_Qtr!AB6</f>
        <v>4</v>
      </c>
      <c r="BN91" s="38">
        <f>BCA_Deliveries_Qtr!AC6</f>
        <v>6</v>
      </c>
      <c r="BO91" s="38">
        <f>BCA_Deliveries_Qtr!AD6</f>
        <v>10</v>
      </c>
      <c r="BP91" s="38">
        <f>BCA_Deliveries_Qtr!AF6</f>
        <v>5</v>
      </c>
      <c r="BQ91" s="38">
        <f>BCA_Deliveries_Qtr!AG6</f>
        <v>8</v>
      </c>
      <c r="BR91" s="38">
        <f>BCA_Deliveries_Qtr!AH6</f>
        <v>11</v>
      </c>
      <c r="BS91" s="38">
        <f>BCA_Deliveries_Qtr!AI6</f>
        <v>8</v>
      </c>
      <c r="BT91" s="38">
        <f>BCA_Deliveries_Qtr!AK6</f>
        <v>5</v>
      </c>
      <c r="BU91" s="38">
        <f>BCA_Deliveries_Qtr!AL6</f>
        <v>7</v>
      </c>
      <c r="BV91" s="38">
        <f>BCA_Deliveries_Qtr!AM6</f>
        <v>9</v>
      </c>
      <c r="BW91" s="38">
        <f>BCA_Deliveries_Qtr!AN6</f>
        <v>12</v>
      </c>
      <c r="BX91" s="38">
        <f>BCA_Deliveries_Qtr!AP6</f>
        <v>1</v>
      </c>
      <c r="BY91" s="38">
        <f>BCA_Deliveries_Qtr!AQ6</f>
        <v>8</v>
      </c>
      <c r="BZ91" s="38">
        <f>BCA_Deliveries_Qtr!AR6</f>
        <v>8</v>
      </c>
      <c r="CA91" s="38">
        <f>BCA_Deliveries_Qtr!AS6</f>
        <v>15</v>
      </c>
      <c r="CB91" s="38">
        <f>BCA_Deliveries_Qtr!AU6</f>
        <v>3</v>
      </c>
      <c r="CC91" s="38">
        <f>BCA_Deliveries_Qtr!AV6</f>
        <v>6</v>
      </c>
      <c r="CD91" s="38">
        <f>BCA_Deliveries_Qtr!AW6</f>
        <v>6</v>
      </c>
      <c r="CE91" s="38">
        <f>BCA_Deliveries_Qtr!AX6</f>
        <v>3</v>
      </c>
      <c r="CF91" s="38">
        <f>BCA_Deliveries_Qtr!AZ6</f>
        <v>5</v>
      </c>
      <c r="CG91" s="38">
        <f>BCA_Deliveries_Qtr!BA6</f>
        <v>9</v>
      </c>
      <c r="CH91" s="38">
        <f>BCA_Deliveries_Qtr!BB6</f>
        <v>6</v>
      </c>
      <c r="CI91" s="38">
        <f>BCA_Deliveries_Qtr!BC6</f>
        <v>10</v>
      </c>
      <c r="CJ91" s="566">
        <f>$R91/4</f>
        <v>9</v>
      </c>
      <c r="CK91" s="566">
        <f t="shared" ref="CK91:CM91" si="291">$R91/4</f>
        <v>9</v>
      </c>
      <c r="CL91" s="566">
        <f t="shared" si="291"/>
        <v>9</v>
      </c>
      <c r="CM91" s="566">
        <f t="shared" si="291"/>
        <v>9</v>
      </c>
      <c r="CN91" s="5"/>
    </row>
    <row r="92" spans="1:92" s="5" customFormat="1">
      <c r="A92" s="12" t="s">
        <v>468</v>
      </c>
      <c r="B92" s="108">
        <f t="shared" ref="B92:Q92" si="292">B90-B91</f>
        <v>0</v>
      </c>
      <c r="C92" s="108">
        <f t="shared" si="292"/>
        <v>0</v>
      </c>
      <c r="D92" s="108">
        <f t="shared" si="292"/>
        <v>0</v>
      </c>
      <c r="E92" s="108">
        <f t="shared" si="292"/>
        <v>0</v>
      </c>
      <c r="F92" s="108">
        <f t="shared" si="292"/>
        <v>0</v>
      </c>
      <c r="G92" s="108">
        <f t="shared" si="292"/>
        <v>0</v>
      </c>
      <c r="H92" s="108">
        <f t="shared" si="292"/>
        <v>11</v>
      </c>
      <c r="I92" s="108">
        <f t="shared" si="292"/>
        <v>15.5</v>
      </c>
      <c r="J92" s="108">
        <f t="shared" si="292"/>
        <v>3</v>
      </c>
      <c r="K92" s="108">
        <f t="shared" si="292"/>
        <v>-13</v>
      </c>
      <c r="L92" s="108">
        <f t="shared" si="292"/>
        <v>2</v>
      </c>
      <c r="M92" s="108">
        <f t="shared" si="292"/>
        <v>4</v>
      </c>
      <c r="N92" s="108">
        <f t="shared" si="292"/>
        <v>0</v>
      </c>
      <c r="O92" s="108">
        <f t="shared" si="292"/>
        <v>0</v>
      </c>
      <c r="P92" s="108">
        <f t="shared" si="292"/>
        <v>0</v>
      </c>
      <c r="Q92" s="108">
        <f t="shared" si="292"/>
        <v>0</v>
      </c>
      <c r="R92" s="108">
        <f>R90-R91</f>
        <v>0</v>
      </c>
      <c r="S92" s="108">
        <f>S90-S91</f>
        <v>0</v>
      </c>
      <c r="T92" s="108">
        <f>T90-T91</f>
        <v>0</v>
      </c>
      <c r="U92" s="108">
        <f>U90-U91</f>
        <v>0</v>
      </c>
      <c r="V92" s="108">
        <f>V90-V91</f>
        <v>0</v>
      </c>
      <c r="X92" s="108">
        <f t="shared" ref="X92:BS92" si="293">X90-X91</f>
        <v>0</v>
      </c>
      <c r="Y92" s="108">
        <f t="shared" si="293"/>
        <v>0</v>
      </c>
      <c r="Z92" s="108">
        <f t="shared" si="293"/>
        <v>0</v>
      </c>
      <c r="AA92" s="108">
        <f t="shared" si="293"/>
        <v>0</v>
      </c>
      <c r="AB92" s="108">
        <f t="shared" si="293"/>
        <v>0</v>
      </c>
      <c r="AC92" s="108">
        <f t="shared" si="293"/>
        <v>0</v>
      </c>
      <c r="AD92" s="108">
        <f t="shared" si="293"/>
        <v>0</v>
      </c>
      <c r="AE92" s="108">
        <f t="shared" si="293"/>
        <v>0</v>
      </c>
      <c r="AF92" s="108">
        <f t="shared" si="293"/>
        <v>0</v>
      </c>
      <c r="AG92" s="108">
        <f t="shared" si="293"/>
        <v>0</v>
      </c>
      <c r="AH92" s="108">
        <f t="shared" si="293"/>
        <v>0</v>
      </c>
      <c r="AI92" s="108">
        <f t="shared" si="293"/>
        <v>0</v>
      </c>
      <c r="AJ92" s="108">
        <f t="shared" si="293"/>
        <v>0</v>
      </c>
      <c r="AK92" s="108">
        <f t="shared" si="293"/>
        <v>0</v>
      </c>
      <c r="AL92" s="108">
        <f t="shared" si="293"/>
        <v>0</v>
      </c>
      <c r="AM92" s="108">
        <f t="shared" si="293"/>
        <v>0</v>
      </c>
      <c r="AN92" s="108">
        <f t="shared" si="293"/>
        <v>0</v>
      </c>
      <c r="AO92" s="108">
        <f t="shared" si="293"/>
        <v>0</v>
      </c>
      <c r="AP92" s="108">
        <f t="shared" si="293"/>
        <v>0</v>
      </c>
      <c r="AQ92" s="108">
        <f t="shared" si="293"/>
        <v>0</v>
      </c>
      <c r="AR92" s="108">
        <f t="shared" si="293"/>
        <v>0</v>
      </c>
      <c r="AS92" s="108">
        <f t="shared" si="293"/>
        <v>0</v>
      </c>
      <c r="AT92" s="108">
        <f t="shared" si="293"/>
        <v>0</v>
      </c>
      <c r="AU92" s="108">
        <f t="shared" si="293"/>
        <v>0</v>
      </c>
      <c r="AV92" s="108">
        <f t="shared" si="293"/>
        <v>5</v>
      </c>
      <c r="AW92" s="108">
        <f t="shared" si="293"/>
        <v>2</v>
      </c>
      <c r="AX92" s="108">
        <f t="shared" si="293"/>
        <v>1</v>
      </c>
      <c r="AY92" s="108">
        <f t="shared" si="293"/>
        <v>3</v>
      </c>
      <c r="AZ92" s="108">
        <f t="shared" si="293"/>
        <v>4</v>
      </c>
      <c r="BA92" s="108">
        <f t="shared" si="293"/>
        <v>3</v>
      </c>
      <c r="BB92" s="108">
        <f t="shared" si="293"/>
        <v>5.5</v>
      </c>
      <c r="BC92" s="108">
        <f t="shared" si="293"/>
        <v>3</v>
      </c>
      <c r="BD92" s="108">
        <f t="shared" si="293"/>
        <v>3.5</v>
      </c>
      <c r="BE92" s="108">
        <f t="shared" si="293"/>
        <v>2.5</v>
      </c>
      <c r="BF92" s="108">
        <f t="shared" si="293"/>
        <v>3.5</v>
      </c>
      <c r="BG92" s="108">
        <f t="shared" si="293"/>
        <v>-6.5</v>
      </c>
      <c r="BH92" s="108">
        <f t="shared" si="293"/>
        <v>-4.5</v>
      </c>
      <c r="BI92" s="108">
        <f t="shared" si="293"/>
        <v>-2.5</v>
      </c>
      <c r="BJ92" s="108">
        <f t="shared" si="293"/>
        <v>-2.5</v>
      </c>
      <c r="BK92" s="108">
        <f t="shared" si="293"/>
        <v>-3.5</v>
      </c>
      <c r="BL92" s="108">
        <f t="shared" si="293"/>
        <v>0</v>
      </c>
      <c r="BM92" s="108">
        <f t="shared" si="293"/>
        <v>0</v>
      </c>
      <c r="BN92" s="108">
        <f t="shared" si="293"/>
        <v>3</v>
      </c>
      <c r="BO92" s="108">
        <f t="shared" si="293"/>
        <v>-1</v>
      </c>
      <c r="BP92" s="108">
        <f t="shared" si="293"/>
        <v>4</v>
      </c>
      <c r="BQ92" s="108">
        <f t="shared" si="293"/>
        <v>1</v>
      </c>
      <c r="BR92" s="108">
        <f t="shared" si="293"/>
        <v>-2</v>
      </c>
      <c r="BS92" s="108">
        <f t="shared" si="293"/>
        <v>1</v>
      </c>
      <c r="BT92" s="108">
        <f>BT90-BT91</f>
        <v>0</v>
      </c>
      <c r="BU92" s="108">
        <f>BU90-BU91</f>
        <v>0</v>
      </c>
      <c r="BV92" s="108">
        <f>BV90-BV91</f>
        <v>0</v>
      </c>
      <c r="BW92" s="108">
        <f>BW90-BW91</f>
        <v>0</v>
      </c>
      <c r="BX92" s="108">
        <f t="shared" ref="BX92:CE92" si="294">BX90-BX91</f>
        <v>0</v>
      </c>
      <c r="BY92" s="108">
        <f t="shared" si="294"/>
        <v>0</v>
      </c>
      <c r="BZ92" s="108">
        <f t="shared" si="294"/>
        <v>0</v>
      </c>
      <c r="CA92" s="108">
        <f t="shared" si="294"/>
        <v>0</v>
      </c>
      <c r="CB92" s="108">
        <f t="shared" si="294"/>
        <v>0</v>
      </c>
      <c r="CC92" s="108">
        <f t="shared" si="294"/>
        <v>0</v>
      </c>
      <c r="CD92" s="108">
        <f t="shared" si="294"/>
        <v>0</v>
      </c>
      <c r="CE92" s="108">
        <f t="shared" si="294"/>
        <v>0</v>
      </c>
      <c r="CF92" s="108">
        <f t="shared" ref="CF92:CM92" si="295">CF90-CF91</f>
        <v>0</v>
      </c>
      <c r="CG92" s="108">
        <f t="shared" si="295"/>
        <v>0</v>
      </c>
      <c r="CH92" s="108">
        <f t="shared" si="295"/>
        <v>0</v>
      </c>
      <c r="CI92" s="108">
        <f t="shared" si="295"/>
        <v>0</v>
      </c>
      <c r="CJ92" s="108">
        <f t="shared" si="295"/>
        <v>0</v>
      </c>
      <c r="CK92" s="108">
        <f t="shared" si="295"/>
        <v>0</v>
      </c>
      <c r="CL92" s="108">
        <f t="shared" si="295"/>
        <v>0</v>
      </c>
      <c r="CM92" s="108">
        <f t="shared" si="295"/>
        <v>0</v>
      </c>
    </row>
    <row r="93" spans="1:92" s="5" customFormat="1">
      <c r="A93" s="12"/>
      <c r="B93" s="308"/>
      <c r="C93" s="308"/>
      <c r="D93" s="308"/>
      <c r="E93" s="308"/>
      <c r="F93" s="308"/>
      <c r="G93" s="308"/>
      <c r="H93" s="308"/>
      <c r="I93" s="40"/>
      <c r="J93" s="40"/>
      <c r="K93" s="40"/>
      <c r="L93" s="40"/>
      <c r="M93" s="40"/>
      <c r="N93" s="308"/>
      <c r="O93" s="308"/>
      <c r="P93" s="308"/>
      <c r="Q93" s="308"/>
      <c r="R93" s="308"/>
      <c r="S93" s="308"/>
      <c r="T93" s="308"/>
      <c r="U93" s="308"/>
      <c r="V93" s="308"/>
      <c r="X93" s="308"/>
      <c r="Y93" s="308"/>
      <c r="Z93" s="308"/>
      <c r="AA93" s="308"/>
      <c r="AB93" s="308"/>
      <c r="AC93" s="308"/>
      <c r="AD93" s="308"/>
      <c r="AE93" s="308"/>
      <c r="AF93" s="308"/>
      <c r="AG93" s="308"/>
      <c r="AH93" s="308"/>
      <c r="AI93" s="308"/>
      <c r="AJ93" s="308"/>
      <c r="AK93" s="308"/>
      <c r="AL93" s="308"/>
      <c r="AM93" s="308"/>
      <c r="AN93" s="308"/>
      <c r="AO93" s="308"/>
      <c r="AP93" s="308"/>
      <c r="AQ93" s="308"/>
      <c r="AR93" s="308"/>
      <c r="AS93" s="308"/>
      <c r="AT93" s="308"/>
      <c r="AU93" s="318"/>
      <c r="AV93" s="308"/>
      <c r="AW93" s="308"/>
      <c r="AX93" s="308"/>
      <c r="AY93" s="318"/>
      <c r="AZ93" s="40"/>
      <c r="BA93" s="108"/>
      <c r="BB93" s="40"/>
      <c r="BC93" s="108"/>
      <c r="BD93" s="40"/>
      <c r="BE93" s="40"/>
      <c r="BF93" s="40"/>
      <c r="BG93" s="108"/>
      <c r="BH93" s="40"/>
      <c r="BI93" s="40"/>
      <c r="BJ93" s="40"/>
      <c r="BK93" s="108"/>
      <c r="BL93" s="40"/>
      <c r="BM93" s="308"/>
      <c r="BN93" s="308"/>
      <c r="BO93" s="318"/>
      <c r="BP93" s="314"/>
      <c r="BQ93" s="308"/>
      <c r="BR93" s="308"/>
      <c r="BS93" s="318"/>
      <c r="BT93" s="318"/>
      <c r="BU93" s="318"/>
      <c r="BV93" s="318"/>
      <c r="BW93" s="318"/>
      <c r="BX93" s="318"/>
      <c r="BY93" s="318"/>
      <c r="BZ93" s="318"/>
      <c r="CA93" s="318"/>
      <c r="CB93" s="318"/>
      <c r="CC93" s="318"/>
      <c r="CD93" s="318"/>
      <c r="CE93" s="318"/>
      <c r="CF93" s="318"/>
      <c r="CG93" s="318"/>
      <c r="CH93" s="318"/>
      <c r="CI93" s="318"/>
      <c r="CJ93" s="308"/>
      <c r="CK93" s="308"/>
      <c r="CL93" s="308"/>
      <c r="CM93" s="308"/>
    </row>
    <row r="94" spans="1:92" s="5" customFormat="1">
      <c r="A94" s="1" t="s">
        <v>509</v>
      </c>
      <c r="B94" s="38">
        <f>BCA_Model_Annual!L18</f>
        <v>82</v>
      </c>
      <c r="C94" s="38">
        <f>BCA_Model_Annual!M18</f>
        <v>83</v>
      </c>
      <c r="D94" s="38">
        <f>BCA_Model_Annual!N18</f>
        <v>81</v>
      </c>
      <c r="E94" s="38">
        <f>BCA_Model_Annual!O18</f>
        <v>81</v>
      </c>
      <c r="F94" s="38">
        <f>BCA_Model_Annual!P18</f>
        <v>81</v>
      </c>
      <c r="G94" s="38">
        <f>BCA_Model_Annual!Q18</f>
        <v>80</v>
      </c>
      <c r="H94" s="38">
        <f>BCA_Model_Annual!R18</f>
        <v>79</v>
      </c>
      <c r="I94" s="38">
        <f>BCA_Model_Annual!S18</f>
        <v>80</v>
      </c>
      <c r="J94" s="38">
        <f>BCA_Model_Annual!T18</f>
        <v>80</v>
      </c>
      <c r="K94" s="38">
        <f>BCA_Model_Annual!U18</f>
        <v>80</v>
      </c>
      <c r="L94" s="38">
        <f>BCA_Model_Annual!V18</f>
        <v>80</v>
      </c>
      <c r="M94" s="38">
        <f>BCA_Model_Annual!W18</f>
        <v>75</v>
      </c>
      <c r="N94" s="38">
        <f>BCA_Model_Annual!X18</f>
        <v>75</v>
      </c>
      <c r="O94" s="38">
        <f>BCA_Model_Annual!Y18</f>
        <v>75</v>
      </c>
      <c r="P94" s="38">
        <f>BCA_Model_Annual!Z18</f>
        <v>75</v>
      </c>
      <c r="Q94" s="38">
        <f>BCA_Model_Annual!AA18</f>
        <v>75</v>
      </c>
      <c r="R94" s="38">
        <f>BCA_Model_Annual!AB18</f>
        <v>75</v>
      </c>
      <c r="S94" s="38">
        <f>BCA_Model_Annual!AC18</f>
        <v>75</v>
      </c>
      <c r="T94" s="38">
        <f>BCA_Model_Annual!AD18</f>
        <v>75</v>
      </c>
      <c r="U94" s="38">
        <f>BCA_Model_Annual!AE18</f>
        <v>75</v>
      </c>
      <c r="V94" s="38">
        <f>BCA_Model_Annual!AF18</f>
        <v>75</v>
      </c>
      <c r="X94" s="38">
        <f>BCA_Model_Annual!$L$18</f>
        <v>82</v>
      </c>
      <c r="Y94" s="23">
        <f t="shared" ref="Y94:AA95" si="296">X94</f>
        <v>82</v>
      </c>
      <c r="Z94" s="23">
        <f t="shared" si="296"/>
        <v>82</v>
      </c>
      <c r="AA94" s="23">
        <f t="shared" si="296"/>
        <v>82</v>
      </c>
      <c r="AB94" s="38">
        <f>BCA_Model_Annual!$M$18</f>
        <v>83</v>
      </c>
      <c r="AC94" s="23">
        <f t="shared" ref="AC94:AE95" si="297">AB94</f>
        <v>83</v>
      </c>
      <c r="AD94" s="23">
        <f t="shared" si="297"/>
        <v>83</v>
      </c>
      <c r="AE94" s="23">
        <f t="shared" si="297"/>
        <v>83</v>
      </c>
      <c r="AF94" s="38">
        <f>BCA_Model_Annual!$N$18</f>
        <v>81</v>
      </c>
      <c r="AG94" s="23">
        <f t="shared" ref="AG94:AI95" si="298">AF94</f>
        <v>81</v>
      </c>
      <c r="AH94" s="23">
        <f t="shared" si="298"/>
        <v>81</v>
      </c>
      <c r="AI94" s="23">
        <f t="shared" si="298"/>
        <v>81</v>
      </c>
      <c r="AJ94" s="38">
        <f>BCA_Model_Annual!$O$18</f>
        <v>81</v>
      </c>
      <c r="AK94" s="23">
        <f t="shared" ref="AK94:AM95" si="299">AJ94</f>
        <v>81</v>
      </c>
      <c r="AL94" s="23">
        <f t="shared" si="299"/>
        <v>81</v>
      </c>
      <c r="AM94" s="23">
        <f t="shared" si="299"/>
        <v>81</v>
      </c>
      <c r="AN94" s="38">
        <f>BCA_Model_Annual!$P$18</f>
        <v>81</v>
      </c>
      <c r="AO94" s="23">
        <f t="shared" ref="AO94:AQ95" si="300">AN94</f>
        <v>81</v>
      </c>
      <c r="AP94" s="23">
        <f t="shared" si="300"/>
        <v>81</v>
      </c>
      <c r="AQ94" s="23">
        <f t="shared" si="300"/>
        <v>81</v>
      </c>
      <c r="AR94" s="38">
        <f>BCA_Model_Annual!$Q$18</f>
        <v>80</v>
      </c>
      <c r="AS94" s="23">
        <f t="shared" ref="AS94:AU95" si="301">AR94</f>
        <v>80</v>
      </c>
      <c r="AT94" s="23">
        <f t="shared" si="301"/>
        <v>80</v>
      </c>
      <c r="AU94" s="23">
        <f t="shared" si="301"/>
        <v>80</v>
      </c>
      <c r="AV94" s="38">
        <f>BCA_Model_Annual!$R$18</f>
        <v>79</v>
      </c>
      <c r="AW94" s="23">
        <f t="shared" ref="AW94:AY95" si="302">AV94</f>
        <v>79</v>
      </c>
      <c r="AX94" s="23">
        <f t="shared" si="302"/>
        <v>79</v>
      </c>
      <c r="AY94" s="23">
        <f t="shared" si="302"/>
        <v>79</v>
      </c>
      <c r="AZ94" s="38">
        <f>BCA_Model_Annual!$S$18</f>
        <v>80</v>
      </c>
      <c r="BA94" s="23">
        <f t="shared" ref="BA94:BC95" si="303">AZ94</f>
        <v>80</v>
      </c>
      <c r="BB94" s="23">
        <f t="shared" si="303"/>
        <v>80</v>
      </c>
      <c r="BC94" s="23">
        <f t="shared" si="303"/>
        <v>80</v>
      </c>
      <c r="BD94" s="38">
        <f>BCA_Model_Annual!$T$18</f>
        <v>80</v>
      </c>
      <c r="BE94" s="23">
        <f t="shared" ref="BE94:BG95" si="304">BD94</f>
        <v>80</v>
      </c>
      <c r="BF94" s="23">
        <f t="shared" si="304"/>
        <v>80</v>
      </c>
      <c r="BG94" s="23">
        <f t="shared" si="304"/>
        <v>80</v>
      </c>
      <c r="BH94" s="38">
        <f>BCA_Model_Annual!$U$18</f>
        <v>80</v>
      </c>
      <c r="BI94" s="23">
        <f t="shared" ref="BI94:BK95" si="305">BH94</f>
        <v>80</v>
      </c>
      <c r="BJ94" s="23">
        <f t="shared" si="305"/>
        <v>80</v>
      </c>
      <c r="BK94" s="23">
        <f t="shared" si="305"/>
        <v>80</v>
      </c>
      <c r="BL94" s="38">
        <f>BCA_Model_Annual!$V$18</f>
        <v>80</v>
      </c>
      <c r="BM94" s="23">
        <f t="shared" ref="BM94:BO95" si="306">BL94</f>
        <v>80</v>
      </c>
      <c r="BN94" s="23">
        <f t="shared" si="306"/>
        <v>80</v>
      </c>
      <c r="BO94" s="23">
        <f t="shared" si="306"/>
        <v>80</v>
      </c>
      <c r="BP94" s="38">
        <f>BCA_Model_Annual!$W$18</f>
        <v>75</v>
      </c>
      <c r="BQ94" s="23">
        <f t="shared" ref="BQ94:BS95" si="307">BP94</f>
        <v>75</v>
      </c>
      <c r="BR94" s="23">
        <f t="shared" si="307"/>
        <v>75</v>
      </c>
      <c r="BS94" s="23">
        <f t="shared" si="307"/>
        <v>75</v>
      </c>
      <c r="BT94" s="23">
        <f t="shared" ref="BT94:CA95" si="308">BS94</f>
        <v>75</v>
      </c>
      <c r="BU94" s="23">
        <f t="shared" si="308"/>
        <v>75</v>
      </c>
      <c r="BV94" s="23">
        <f t="shared" si="308"/>
        <v>75</v>
      </c>
      <c r="BW94" s="23">
        <f t="shared" si="308"/>
        <v>75</v>
      </c>
      <c r="BX94" s="23">
        <f t="shared" si="308"/>
        <v>75</v>
      </c>
      <c r="BY94" s="23">
        <f t="shared" si="308"/>
        <v>75</v>
      </c>
      <c r="BZ94" s="23">
        <f t="shared" si="308"/>
        <v>75</v>
      </c>
      <c r="CA94" s="23">
        <f t="shared" si="308"/>
        <v>75</v>
      </c>
      <c r="CB94" s="23">
        <f t="shared" ref="CB94:CB95" si="309">CA94</f>
        <v>75</v>
      </c>
      <c r="CC94" s="23">
        <f t="shared" ref="CC94:CC95" si="310">CB94</f>
        <v>75</v>
      </c>
      <c r="CD94" s="23">
        <f t="shared" ref="CD94:CD95" si="311">CC94</f>
        <v>75</v>
      </c>
      <c r="CE94" s="23">
        <f t="shared" ref="CE94:CE95" si="312">CD94</f>
        <v>75</v>
      </c>
      <c r="CF94" s="23">
        <f>CE94</f>
        <v>75</v>
      </c>
      <c r="CG94" s="23">
        <f t="shared" ref="CG94:CG95" si="313">CF94</f>
        <v>75</v>
      </c>
      <c r="CH94" s="23">
        <f t="shared" ref="CH94:CH95" si="314">CG94</f>
        <v>75</v>
      </c>
      <c r="CI94" s="23">
        <f t="shared" ref="CI94:CI95" si="315">CH94</f>
        <v>75</v>
      </c>
      <c r="CJ94" s="566">
        <f>$R94</f>
        <v>75</v>
      </c>
      <c r="CK94" s="566">
        <f t="shared" ref="CK94:CM94" si="316">$R94</f>
        <v>75</v>
      </c>
      <c r="CL94" s="566">
        <f t="shared" si="316"/>
        <v>75</v>
      </c>
      <c r="CM94" s="566">
        <f t="shared" si="316"/>
        <v>75</v>
      </c>
    </row>
    <row r="95" spans="1:92" s="5" customFormat="1">
      <c r="A95" s="1" t="s">
        <v>12</v>
      </c>
      <c r="B95" s="315">
        <f>BCA_Model_Annual!L37+B163</f>
        <v>0.10685596989394458</v>
      </c>
      <c r="C95" s="315">
        <f>BCA_Model_Annual!M37+C163</f>
        <v>0.10436895322615844</v>
      </c>
      <c r="D95" s="315">
        <f>BCA_Model_Annual!N37+D163</f>
        <v>0.10216700531224755</v>
      </c>
      <c r="E95" s="315">
        <f>BCA_Model_Annual!O37+E163</f>
        <v>0.10128764877688373</v>
      </c>
      <c r="F95" s="315">
        <f>BCA_Model_Annual!P37+F163</f>
        <v>0.10099997796434632</v>
      </c>
      <c r="G95" s="315">
        <f>BCA_Model_Annual!Q37+G163</f>
        <v>9.9071103065110189E-2</v>
      </c>
      <c r="H95" s="315">
        <f>BCA_Model_Annual!R37+H163</f>
        <v>0.10019646614712756</v>
      </c>
      <c r="I95" s="315">
        <f>BCA_Model_Annual!S37+I163</f>
        <v>0.10177543747672996</v>
      </c>
      <c r="J95" s="315">
        <f>BCA_Model_Annual!T37+J163</f>
        <v>0.10090440732939769</v>
      </c>
      <c r="K95" s="315">
        <f>BCA_Model_Annual!U37+K163</f>
        <v>0.10966339685732572</v>
      </c>
      <c r="L95" s="315">
        <f>BCA_Model_Annual!V37+L163</f>
        <v>0.11861893462636267</v>
      </c>
      <c r="M95" s="315">
        <f>BCA_Model_Annual!W37+M163</f>
        <v>9.4421860450181416E-2</v>
      </c>
      <c r="N95" s="315">
        <f>BCA_Model_Annual!X37+N163</f>
        <v>4.9711145808311319E-2</v>
      </c>
      <c r="O95" s="315">
        <f>BCA_Model_Annual!Y37+O163</f>
        <v>0.103922153379438</v>
      </c>
      <c r="P95" s="315">
        <f>BCA_Model_Annual!Z37+P163</f>
        <v>0.10760196641460078</v>
      </c>
      <c r="Q95" s="315">
        <f>BCA_Model_Annual!AA37+Q163</f>
        <v>0.10183025384795949</v>
      </c>
      <c r="R95" s="315">
        <f>BCA_Model_Annual!AB37+R163</f>
        <v>0.10079662492957167</v>
      </c>
      <c r="S95" s="315">
        <f>BCA_Model_Annual!AC37+S163</f>
        <v>0.10608768637428512</v>
      </c>
      <c r="T95" s="315">
        <f>BCA_Model_Annual!AD37+T163</f>
        <v>0.10560691935863506</v>
      </c>
      <c r="U95" s="315">
        <f>BCA_Model_Annual!AE37+U163</f>
        <v>0.08</v>
      </c>
      <c r="V95" s="315">
        <f>BCA_Model_Annual!AF37+V163</f>
        <v>0.08</v>
      </c>
      <c r="X95" s="320">
        <f>BCA_Model_Annual!$L$37+X163</f>
        <v>0.10685596989394458</v>
      </c>
      <c r="Y95" s="321">
        <f t="shared" si="296"/>
        <v>0.10685596989394458</v>
      </c>
      <c r="Z95" s="321">
        <f t="shared" si="296"/>
        <v>0.10685596989394458</v>
      </c>
      <c r="AA95" s="321">
        <f t="shared" si="296"/>
        <v>0.10685596989394458</v>
      </c>
      <c r="AB95" s="320">
        <f>BCA_Model_Annual!$M$37+AB163</f>
        <v>0.10436895322615844</v>
      </c>
      <c r="AC95" s="321">
        <f t="shared" si="297"/>
        <v>0.10436895322615844</v>
      </c>
      <c r="AD95" s="321">
        <f t="shared" si="297"/>
        <v>0.10436895322615844</v>
      </c>
      <c r="AE95" s="321">
        <f t="shared" si="297"/>
        <v>0.10436895322615844</v>
      </c>
      <c r="AF95" s="320">
        <f>BCA_Model_Annual!$N$37+AF163</f>
        <v>0.10216700531224755</v>
      </c>
      <c r="AG95" s="321">
        <f t="shared" si="298"/>
        <v>0.10216700531224755</v>
      </c>
      <c r="AH95" s="321">
        <f t="shared" si="298"/>
        <v>0.10216700531224755</v>
      </c>
      <c r="AI95" s="321">
        <f t="shared" si="298"/>
        <v>0.10216700531224755</v>
      </c>
      <c r="AJ95" s="320">
        <f>BCA_Model_Annual!$O$37+AJ163</f>
        <v>0.10128764877688373</v>
      </c>
      <c r="AK95" s="321">
        <f t="shared" si="299"/>
        <v>0.10128764877688373</v>
      </c>
      <c r="AL95" s="321">
        <f t="shared" si="299"/>
        <v>0.10128764877688373</v>
      </c>
      <c r="AM95" s="321">
        <f t="shared" si="299"/>
        <v>0.10128764877688373</v>
      </c>
      <c r="AN95" s="320">
        <f>BCA_Model_Annual!$P$37+AN163</f>
        <v>0.10099997796434632</v>
      </c>
      <c r="AO95" s="321">
        <f t="shared" si="300"/>
        <v>0.10099997796434632</v>
      </c>
      <c r="AP95" s="321">
        <f t="shared" si="300"/>
        <v>0.10099997796434632</v>
      </c>
      <c r="AQ95" s="321">
        <f t="shared" si="300"/>
        <v>0.10099997796434632</v>
      </c>
      <c r="AR95" s="320">
        <f>BCA_Model_Annual!$Q$37+AR163</f>
        <v>9.9071103065110189E-2</v>
      </c>
      <c r="AS95" s="321">
        <f t="shared" si="301"/>
        <v>9.9071103065110189E-2</v>
      </c>
      <c r="AT95" s="321">
        <f t="shared" si="301"/>
        <v>9.9071103065110189E-2</v>
      </c>
      <c r="AU95" s="321">
        <f t="shared" si="301"/>
        <v>9.9071103065110189E-2</v>
      </c>
      <c r="AV95" s="320">
        <f>BCA_Model_Annual!$R$37+AV163</f>
        <v>0.10019646614712756</v>
      </c>
      <c r="AW95" s="321">
        <f t="shared" si="302"/>
        <v>0.10019646614712756</v>
      </c>
      <c r="AX95" s="321">
        <f t="shared" si="302"/>
        <v>0.10019646614712756</v>
      </c>
      <c r="AY95" s="321">
        <f t="shared" si="302"/>
        <v>0.10019646614712756</v>
      </c>
      <c r="AZ95" s="320">
        <f>BCA_Model_Annual!$S$37+AZ163</f>
        <v>0.10177543747672996</v>
      </c>
      <c r="BA95" s="321">
        <f t="shared" si="303"/>
        <v>0.10177543747672996</v>
      </c>
      <c r="BB95" s="321">
        <f t="shared" si="303"/>
        <v>0.10177543747672996</v>
      </c>
      <c r="BC95" s="321">
        <f t="shared" si="303"/>
        <v>0.10177543747672996</v>
      </c>
      <c r="BD95" s="320">
        <f>BCA_Model_Annual!$T$37+BD163</f>
        <v>0.10090440732939769</v>
      </c>
      <c r="BE95" s="321">
        <f t="shared" si="304"/>
        <v>0.10090440732939769</v>
      </c>
      <c r="BF95" s="321">
        <f t="shared" si="304"/>
        <v>0.10090440732939769</v>
      </c>
      <c r="BG95" s="321">
        <f t="shared" si="304"/>
        <v>0.10090440732939769</v>
      </c>
      <c r="BH95" s="320">
        <f>BCA_Model_Annual!$U$37+BH163</f>
        <v>0.10966339685732572</v>
      </c>
      <c r="BI95" s="321">
        <f t="shared" si="305"/>
        <v>0.10966339685732572</v>
      </c>
      <c r="BJ95" s="321">
        <f t="shared" si="305"/>
        <v>0.10966339685732572</v>
      </c>
      <c r="BK95" s="321">
        <f t="shared" si="305"/>
        <v>0.10966339685732572</v>
      </c>
      <c r="BL95" s="320">
        <f>BCA_Model_Annual!$V$37+BL163</f>
        <v>0.11861893462636267</v>
      </c>
      <c r="BM95" s="321">
        <f t="shared" si="306"/>
        <v>0.11861893462636267</v>
      </c>
      <c r="BN95" s="321">
        <f t="shared" si="306"/>
        <v>0.11861893462636267</v>
      </c>
      <c r="BO95" s="321">
        <f t="shared" si="306"/>
        <v>0.11861893462636267</v>
      </c>
      <c r="BP95" s="320">
        <f>BCA_Model_Annual!$W$37+BP163</f>
        <v>9.4421860450181416E-2</v>
      </c>
      <c r="BQ95" s="321">
        <f t="shared" si="307"/>
        <v>9.4421860450181416E-2</v>
      </c>
      <c r="BR95" s="321">
        <f t="shared" si="307"/>
        <v>9.4421860450181416E-2</v>
      </c>
      <c r="BS95" s="321">
        <f t="shared" si="307"/>
        <v>9.4421860450181416E-2</v>
      </c>
      <c r="BT95" s="321">
        <f t="shared" si="308"/>
        <v>9.4421860450181416E-2</v>
      </c>
      <c r="BU95" s="321">
        <f t="shared" si="308"/>
        <v>9.4421860450181416E-2</v>
      </c>
      <c r="BV95" s="321">
        <f t="shared" si="308"/>
        <v>9.4421860450181416E-2</v>
      </c>
      <c r="BW95" s="321">
        <f t="shared" si="308"/>
        <v>9.4421860450181416E-2</v>
      </c>
      <c r="BX95" s="321">
        <f>O95</f>
        <v>0.103922153379438</v>
      </c>
      <c r="BY95" s="321">
        <f t="shared" si="308"/>
        <v>0.103922153379438</v>
      </c>
      <c r="BZ95" s="321">
        <f t="shared" si="308"/>
        <v>0.103922153379438</v>
      </c>
      <c r="CA95" s="319">
        <f t="shared" si="308"/>
        <v>0.103922153379438</v>
      </c>
      <c r="CB95" s="319">
        <f t="shared" si="309"/>
        <v>0.103922153379438</v>
      </c>
      <c r="CC95" s="319">
        <f t="shared" si="310"/>
        <v>0.103922153379438</v>
      </c>
      <c r="CD95" s="319">
        <f t="shared" si="311"/>
        <v>0.103922153379438</v>
      </c>
      <c r="CE95" s="319">
        <f t="shared" si="312"/>
        <v>0.103922153379438</v>
      </c>
      <c r="CF95" s="319">
        <f>CE95</f>
        <v>0.103922153379438</v>
      </c>
      <c r="CG95" s="319">
        <f t="shared" si="313"/>
        <v>0.103922153379438</v>
      </c>
      <c r="CH95" s="319">
        <f t="shared" si="314"/>
        <v>0.103922153379438</v>
      </c>
      <c r="CI95" s="319">
        <f t="shared" si="315"/>
        <v>0.103922153379438</v>
      </c>
      <c r="CJ95" s="567">
        <f>$Q95</f>
        <v>0.10183025384795949</v>
      </c>
      <c r="CK95" s="567">
        <f t="shared" ref="CK95:CM95" si="317">$Q95</f>
        <v>0.10183025384795949</v>
      </c>
      <c r="CL95" s="567">
        <f t="shared" si="317"/>
        <v>0.10183025384795949</v>
      </c>
      <c r="CM95" s="567">
        <f t="shared" si="317"/>
        <v>0.10183025384795949</v>
      </c>
    </row>
    <row r="96" spans="1:92" s="5" customFormat="1">
      <c r="A96" s="12" t="s">
        <v>510</v>
      </c>
      <c r="B96" s="108">
        <f>IF(B95&gt;0,(B94/(1+B95)),B94)</f>
        <v>74.083712994615709</v>
      </c>
      <c r="C96" s="108">
        <f t="shared" ref="C96:V96" si="318">IF(C95&gt;0,(C94/(1+C95)),B96)</f>
        <v>75.156042514174899</v>
      </c>
      <c r="D96" s="108">
        <f t="shared" si="318"/>
        <v>73.49158485927677</v>
      </c>
      <c r="E96" s="108">
        <f t="shared" si="318"/>
        <v>73.550266444884343</v>
      </c>
      <c r="F96" s="108">
        <f t="shared" si="318"/>
        <v>73.56948376126401</v>
      </c>
      <c r="G96" s="108">
        <f t="shared" si="318"/>
        <v>72.78873930621458</v>
      </c>
      <c r="H96" s="108">
        <f t="shared" si="318"/>
        <v>71.805356980155452</v>
      </c>
      <c r="I96" s="108">
        <f t="shared" si="318"/>
        <v>72.6100775882378</v>
      </c>
      <c r="J96" s="108">
        <f t="shared" si="318"/>
        <v>72.667526324166573</v>
      </c>
      <c r="K96" s="108">
        <f t="shared" si="318"/>
        <v>72.093934274634776</v>
      </c>
      <c r="L96" s="108">
        <f t="shared" si="318"/>
        <v>71.516758320134585</v>
      </c>
      <c r="M96" s="108">
        <f t="shared" si="318"/>
        <v>68.52933289284752</v>
      </c>
      <c r="N96" s="108">
        <f t="shared" si="318"/>
        <v>71.448226780756528</v>
      </c>
      <c r="O96" s="108">
        <f t="shared" si="318"/>
        <v>67.93957324835128</v>
      </c>
      <c r="P96" s="108">
        <f t="shared" si="318"/>
        <v>67.713855946627831</v>
      </c>
      <c r="Q96" s="108">
        <f t="shared" si="318"/>
        <v>68.068561140043983</v>
      </c>
      <c r="R96" s="108">
        <f t="shared" si="318"/>
        <v>68.13247633712399</v>
      </c>
      <c r="S96" s="108">
        <f t="shared" si="318"/>
        <v>67.806559031361488</v>
      </c>
      <c r="T96" s="108">
        <f t="shared" si="318"/>
        <v>67.836044336180223</v>
      </c>
      <c r="U96" s="108">
        <f t="shared" si="318"/>
        <v>69.444444444444443</v>
      </c>
      <c r="V96" s="108">
        <f t="shared" si="318"/>
        <v>69.444444444444443</v>
      </c>
      <c r="X96" s="314">
        <f t="shared" ref="X96:BS96" si="319">X94/(1+X95)</f>
        <v>74.083712994615709</v>
      </c>
      <c r="Y96" s="314">
        <f t="shared" si="319"/>
        <v>74.083712994615709</v>
      </c>
      <c r="Z96" s="314">
        <f t="shared" si="319"/>
        <v>74.083712994615709</v>
      </c>
      <c r="AA96" s="314">
        <f t="shared" si="319"/>
        <v>74.083712994615709</v>
      </c>
      <c r="AB96" s="314">
        <f t="shared" si="319"/>
        <v>75.156042514174899</v>
      </c>
      <c r="AC96" s="314">
        <f t="shared" si="319"/>
        <v>75.156042514174899</v>
      </c>
      <c r="AD96" s="314">
        <f t="shared" si="319"/>
        <v>75.156042514174899</v>
      </c>
      <c r="AE96" s="314">
        <f t="shared" si="319"/>
        <v>75.156042514174899</v>
      </c>
      <c r="AF96" s="314">
        <f t="shared" si="319"/>
        <v>73.49158485927677</v>
      </c>
      <c r="AG96" s="314">
        <f t="shared" si="319"/>
        <v>73.49158485927677</v>
      </c>
      <c r="AH96" s="314">
        <f t="shared" si="319"/>
        <v>73.49158485927677</v>
      </c>
      <c r="AI96" s="314">
        <f t="shared" si="319"/>
        <v>73.49158485927677</v>
      </c>
      <c r="AJ96" s="314">
        <f t="shared" si="319"/>
        <v>73.550266444884343</v>
      </c>
      <c r="AK96" s="314">
        <f t="shared" si="319"/>
        <v>73.550266444884343</v>
      </c>
      <c r="AL96" s="314">
        <f t="shared" si="319"/>
        <v>73.550266444884343</v>
      </c>
      <c r="AM96" s="314">
        <f t="shared" si="319"/>
        <v>73.550266444884343</v>
      </c>
      <c r="AN96" s="314">
        <f t="shared" si="319"/>
        <v>73.56948376126401</v>
      </c>
      <c r="AO96" s="314">
        <f t="shared" si="319"/>
        <v>73.56948376126401</v>
      </c>
      <c r="AP96" s="314">
        <f t="shared" si="319"/>
        <v>73.56948376126401</v>
      </c>
      <c r="AQ96" s="314">
        <f t="shared" si="319"/>
        <v>73.56948376126401</v>
      </c>
      <c r="AR96" s="314">
        <f t="shared" si="319"/>
        <v>72.78873930621458</v>
      </c>
      <c r="AS96" s="314">
        <f t="shared" si="319"/>
        <v>72.78873930621458</v>
      </c>
      <c r="AT96" s="314">
        <f t="shared" si="319"/>
        <v>72.78873930621458</v>
      </c>
      <c r="AU96" s="314">
        <f t="shared" si="319"/>
        <v>72.78873930621458</v>
      </c>
      <c r="AV96" s="314">
        <f t="shared" si="319"/>
        <v>71.805356980155452</v>
      </c>
      <c r="AW96" s="314">
        <f t="shared" si="319"/>
        <v>71.805356980155452</v>
      </c>
      <c r="AX96" s="314">
        <f t="shared" si="319"/>
        <v>71.805356980155452</v>
      </c>
      <c r="AY96" s="314">
        <f t="shared" si="319"/>
        <v>71.805356980155452</v>
      </c>
      <c r="AZ96" s="314">
        <f t="shared" si="319"/>
        <v>72.6100775882378</v>
      </c>
      <c r="BA96" s="314">
        <f t="shared" si="319"/>
        <v>72.6100775882378</v>
      </c>
      <c r="BB96" s="314">
        <f t="shared" si="319"/>
        <v>72.6100775882378</v>
      </c>
      <c r="BC96" s="314">
        <f t="shared" si="319"/>
        <v>72.6100775882378</v>
      </c>
      <c r="BD96" s="314">
        <f t="shared" si="319"/>
        <v>72.667526324166573</v>
      </c>
      <c r="BE96" s="314">
        <f t="shared" si="319"/>
        <v>72.667526324166573</v>
      </c>
      <c r="BF96" s="314">
        <f t="shared" si="319"/>
        <v>72.667526324166573</v>
      </c>
      <c r="BG96" s="314">
        <f t="shared" si="319"/>
        <v>72.667526324166573</v>
      </c>
      <c r="BH96" s="314">
        <f t="shared" si="319"/>
        <v>72.093934274634776</v>
      </c>
      <c r="BI96" s="314">
        <f t="shared" si="319"/>
        <v>72.093934274634776</v>
      </c>
      <c r="BJ96" s="314">
        <f t="shared" si="319"/>
        <v>72.093934274634776</v>
      </c>
      <c r="BK96" s="314">
        <f t="shared" si="319"/>
        <v>72.093934274634776</v>
      </c>
      <c r="BL96" s="314">
        <f t="shared" si="319"/>
        <v>71.516758320134585</v>
      </c>
      <c r="BM96" s="314">
        <f t="shared" si="319"/>
        <v>71.516758320134585</v>
      </c>
      <c r="BN96" s="314">
        <f t="shared" si="319"/>
        <v>71.516758320134585</v>
      </c>
      <c r="BO96" s="314">
        <f t="shared" si="319"/>
        <v>71.516758320134585</v>
      </c>
      <c r="BP96" s="314">
        <f t="shared" si="319"/>
        <v>68.52933289284752</v>
      </c>
      <c r="BQ96" s="314">
        <f t="shared" si="319"/>
        <v>68.52933289284752</v>
      </c>
      <c r="BR96" s="314">
        <f t="shared" si="319"/>
        <v>68.52933289284752</v>
      </c>
      <c r="BS96" s="314">
        <f t="shared" si="319"/>
        <v>68.52933289284752</v>
      </c>
      <c r="BT96" s="314">
        <f>BT94/(1+BT95)</f>
        <v>68.52933289284752</v>
      </c>
      <c r="BU96" s="314">
        <f>BU94/(1+BU95)</f>
        <v>68.52933289284752</v>
      </c>
      <c r="BV96" s="314">
        <f>BV94/(1+BV95)</f>
        <v>68.52933289284752</v>
      </c>
      <c r="BW96" s="314">
        <f>BW94/(1+BW95)</f>
        <v>68.52933289284752</v>
      </c>
      <c r="BX96" s="314">
        <f t="shared" ref="BX96:CA96" si="320">BX94/(1+BX95)</f>
        <v>67.93957324835128</v>
      </c>
      <c r="BY96" s="314">
        <f t="shared" si="320"/>
        <v>67.93957324835128</v>
      </c>
      <c r="BZ96" s="314">
        <f t="shared" si="320"/>
        <v>67.93957324835128</v>
      </c>
      <c r="CA96" s="314">
        <f t="shared" si="320"/>
        <v>67.93957324835128</v>
      </c>
      <c r="CB96" s="314">
        <f t="shared" ref="CB96:CE96" si="321">CB94/(1+CB95)</f>
        <v>67.93957324835128</v>
      </c>
      <c r="CC96" s="314">
        <f t="shared" si="321"/>
        <v>67.93957324835128</v>
      </c>
      <c r="CD96" s="314">
        <f t="shared" si="321"/>
        <v>67.93957324835128</v>
      </c>
      <c r="CE96" s="314">
        <f t="shared" si="321"/>
        <v>67.93957324835128</v>
      </c>
      <c r="CF96" s="314">
        <f t="shared" ref="CF96:CI96" si="322">CF94/(1+CF95)</f>
        <v>67.93957324835128</v>
      </c>
      <c r="CG96" s="314">
        <f t="shared" si="322"/>
        <v>67.93957324835128</v>
      </c>
      <c r="CH96" s="314">
        <f t="shared" si="322"/>
        <v>67.93957324835128</v>
      </c>
      <c r="CI96" s="314">
        <f t="shared" si="322"/>
        <v>67.93957324835128</v>
      </c>
      <c r="CJ96" s="108">
        <f t="shared" ref="CJ96" si="323">IF(CJ95&gt;0,(CJ94/(1+CJ95)),CI96)</f>
        <v>68.068561140043983</v>
      </c>
      <c r="CK96" s="108">
        <f t="shared" ref="CK96" si="324">IF(CK95&gt;0,(CK94/(1+CK95)),CJ96)</f>
        <v>68.068561140043983</v>
      </c>
      <c r="CL96" s="108">
        <f t="shared" ref="CL96" si="325">IF(CL95&gt;0,(CL94/(1+CL95)),CK96)</f>
        <v>68.068561140043983</v>
      </c>
      <c r="CM96" s="108">
        <f t="shared" ref="CM96" si="326">IF(CM95&gt;0,(CM94/(1+CM95)),CL96)</f>
        <v>68.068561140043983</v>
      </c>
    </row>
    <row r="97" spans="1:92" s="5" customFormat="1">
      <c r="A97" s="12"/>
      <c r="B97" s="308"/>
      <c r="C97" s="308"/>
      <c r="D97" s="308"/>
      <c r="E97" s="308"/>
      <c r="F97" s="308"/>
      <c r="G97" s="308"/>
      <c r="H97" s="308"/>
      <c r="I97" s="40"/>
      <c r="J97" s="40"/>
      <c r="K97" s="40"/>
      <c r="L97" s="40"/>
      <c r="M97" s="40"/>
      <c r="N97" s="308"/>
      <c r="O97" s="308"/>
      <c r="P97" s="308"/>
      <c r="Q97" s="308"/>
      <c r="R97" s="308"/>
      <c r="S97" s="308"/>
      <c r="T97" s="308"/>
      <c r="U97" s="308"/>
      <c r="V97" s="308"/>
      <c r="X97" s="308"/>
      <c r="Y97" s="308"/>
      <c r="Z97" s="308"/>
      <c r="AA97" s="308"/>
      <c r="AB97" s="308"/>
      <c r="AC97" s="308"/>
      <c r="AD97" s="308"/>
      <c r="AE97" s="308"/>
      <c r="AF97" s="308"/>
      <c r="AG97" s="308"/>
      <c r="AH97" s="308"/>
      <c r="AI97" s="308"/>
      <c r="AJ97" s="308"/>
      <c r="AK97" s="308"/>
      <c r="AL97" s="308"/>
      <c r="AM97" s="308"/>
      <c r="AN97" s="308"/>
      <c r="AO97" s="308"/>
      <c r="AP97" s="308"/>
      <c r="AQ97" s="308"/>
      <c r="AR97" s="308"/>
      <c r="AS97" s="308"/>
      <c r="AT97" s="308"/>
      <c r="AU97" s="318"/>
      <c r="AV97" s="308"/>
      <c r="AW97" s="308"/>
      <c r="AX97" s="308"/>
      <c r="AY97" s="318"/>
      <c r="AZ97" s="40"/>
      <c r="BA97" s="108"/>
      <c r="BB97" s="40"/>
      <c r="BC97" s="108"/>
      <c r="BD97" s="40"/>
      <c r="BE97" s="40"/>
      <c r="BF97" s="40"/>
      <c r="BG97" s="108"/>
      <c r="BH97" s="40"/>
      <c r="BI97" s="40"/>
      <c r="BJ97" s="40"/>
      <c r="BK97" s="108"/>
      <c r="BL97" s="40"/>
      <c r="BM97" s="308"/>
      <c r="BN97" s="308"/>
      <c r="BO97" s="318"/>
      <c r="BP97" s="314"/>
      <c r="BQ97" s="308"/>
      <c r="BR97" s="308"/>
      <c r="BS97" s="318"/>
      <c r="BT97" s="318"/>
      <c r="BU97" s="318"/>
      <c r="BV97" s="318"/>
      <c r="BW97" s="318"/>
      <c r="BX97" s="318"/>
      <c r="BY97" s="318"/>
      <c r="BZ97" s="318"/>
      <c r="CA97" s="318"/>
      <c r="CB97" s="318"/>
      <c r="CC97" s="318"/>
      <c r="CD97" s="318"/>
      <c r="CE97" s="318"/>
      <c r="CF97" s="318"/>
      <c r="CG97" s="318"/>
      <c r="CH97" s="318"/>
      <c r="CI97" s="318"/>
      <c r="CJ97" s="308"/>
      <c r="CK97" s="308"/>
      <c r="CL97" s="308"/>
      <c r="CM97" s="308"/>
    </row>
    <row r="98" spans="1:92" s="5" customFormat="1">
      <c r="A98" s="12" t="s">
        <v>1</v>
      </c>
      <c r="B98" s="43">
        <v>0</v>
      </c>
      <c r="C98" s="43">
        <v>0</v>
      </c>
      <c r="D98" s="43">
        <v>0</v>
      </c>
      <c r="E98" s="43">
        <v>0</v>
      </c>
      <c r="F98" s="43">
        <v>0</v>
      </c>
      <c r="G98" s="43">
        <v>0</v>
      </c>
      <c r="H98" s="43">
        <v>0</v>
      </c>
      <c r="I98" s="43">
        <v>0</v>
      </c>
      <c r="J98" s="43">
        <v>0</v>
      </c>
      <c r="K98" s="43">
        <v>0</v>
      </c>
      <c r="L98" s="72">
        <f>SUM(BL98:BO98)</f>
        <v>0</v>
      </c>
      <c r="M98" s="72">
        <f>SUM(BP98:BS98)</f>
        <v>0</v>
      </c>
      <c r="N98" s="72">
        <f>SUM(BT98:BW98)</f>
        <v>0</v>
      </c>
      <c r="O98" s="72">
        <f>SUM(BX98:CA98)</f>
        <v>0</v>
      </c>
      <c r="P98" s="72">
        <f>SUM(CB98:CE98)</f>
        <v>0</v>
      </c>
      <c r="Q98" s="72">
        <f>SUM(CF98:CI98)</f>
        <v>0</v>
      </c>
      <c r="R98" s="43">
        <v>0</v>
      </c>
      <c r="S98" s="43">
        <v>0</v>
      </c>
      <c r="T98" s="43">
        <v>0</v>
      </c>
      <c r="U98" s="43">
        <v>0</v>
      </c>
      <c r="V98" s="43">
        <v>0</v>
      </c>
      <c r="X98" s="82">
        <v>0</v>
      </c>
      <c r="Y98" s="82">
        <v>0</v>
      </c>
      <c r="Z98" s="82">
        <v>0</v>
      </c>
      <c r="AA98" s="82">
        <v>0</v>
      </c>
      <c r="AB98" s="82">
        <v>0</v>
      </c>
      <c r="AC98" s="82">
        <v>0</v>
      </c>
      <c r="AD98" s="82">
        <v>0</v>
      </c>
      <c r="AE98" s="82">
        <v>0</v>
      </c>
      <c r="AF98" s="82">
        <v>0</v>
      </c>
      <c r="AG98" s="82">
        <v>0</v>
      </c>
      <c r="AH98" s="82">
        <v>0</v>
      </c>
      <c r="AI98" s="82">
        <v>0</v>
      </c>
      <c r="AJ98" s="82">
        <v>0</v>
      </c>
      <c r="AK98" s="82">
        <v>0</v>
      </c>
      <c r="AL98" s="82">
        <v>0</v>
      </c>
      <c r="AM98" s="82">
        <v>0</v>
      </c>
      <c r="AN98" s="82">
        <v>0</v>
      </c>
      <c r="AO98" s="82">
        <v>0</v>
      </c>
      <c r="AP98" s="82">
        <v>0</v>
      </c>
      <c r="AQ98" s="82">
        <v>0</v>
      </c>
      <c r="AR98" s="82">
        <v>0</v>
      </c>
      <c r="AS98" s="82">
        <v>0</v>
      </c>
      <c r="AT98" s="82">
        <v>0</v>
      </c>
      <c r="AU98" s="82">
        <v>0</v>
      </c>
      <c r="AV98" s="82">
        <v>0</v>
      </c>
      <c r="AW98" s="82">
        <v>0</v>
      </c>
      <c r="AX98" s="82">
        <v>0</v>
      </c>
      <c r="AY98" s="82">
        <v>0</v>
      </c>
      <c r="AZ98" s="82">
        <v>0</v>
      </c>
      <c r="BA98" s="82">
        <v>0</v>
      </c>
      <c r="BB98" s="82">
        <v>0</v>
      </c>
      <c r="BC98" s="82">
        <v>0</v>
      </c>
      <c r="BD98" s="82">
        <v>0</v>
      </c>
      <c r="BE98" s="82">
        <v>0</v>
      </c>
      <c r="BF98" s="82">
        <v>0</v>
      </c>
      <c r="BG98" s="82">
        <v>0</v>
      </c>
      <c r="BH98" s="82">
        <v>0</v>
      </c>
      <c r="BI98" s="82">
        <v>0</v>
      </c>
      <c r="BJ98" s="82">
        <v>0</v>
      </c>
      <c r="BK98" s="82">
        <v>0</v>
      </c>
      <c r="BL98" s="82">
        <v>0</v>
      </c>
      <c r="BM98" s="82">
        <v>0</v>
      </c>
      <c r="BN98" s="82">
        <v>0</v>
      </c>
      <c r="BO98" s="82">
        <v>0</v>
      </c>
      <c r="BP98" s="82">
        <v>0</v>
      </c>
      <c r="BQ98" s="82">
        <v>0</v>
      </c>
      <c r="BR98" s="82">
        <v>0</v>
      </c>
      <c r="BS98" s="82">
        <v>0</v>
      </c>
      <c r="BT98" s="82">
        <v>0</v>
      </c>
      <c r="BU98" s="82">
        <v>0</v>
      </c>
      <c r="BV98" s="82">
        <v>0</v>
      </c>
      <c r="BW98" s="82">
        <v>0</v>
      </c>
      <c r="BX98" s="82">
        <v>0</v>
      </c>
      <c r="BY98" s="82">
        <v>0</v>
      </c>
      <c r="BZ98" s="82">
        <v>0</v>
      </c>
      <c r="CA98" s="82">
        <v>0</v>
      </c>
      <c r="CB98" s="82">
        <v>0</v>
      </c>
      <c r="CC98" s="82">
        <v>0</v>
      </c>
      <c r="CD98" s="82">
        <v>0</v>
      </c>
      <c r="CE98" s="82">
        <v>0</v>
      </c>
      <c r="CF98" s="82">
        <v>0</v>
      </c>
      <c r="CG98" s="82">
        <v>0</v>
      </c>
      <c r="CH98" s="82">
        <v>0</v>
      </c>
      <c r="CI98" s="82">
        <v>0</v>
      </c>
      <c r="CJ98" s="43">
        <v>0</v>
      </c>
      <c r="CK98" s="43">
        <v>0</v>
      </c>
      <c r="CL98" s="43">
        <v>0</v>
      </c>
      <c r="CM98" s="43">
        <v>0</v>
      </c>
    </row>
    <row r="99" spans="1:92" s="5" customFormat="1">
      <c r="A99" s="12"/>
      <c r="B99" s="308"/>
      <c r="C99" s="308"/>
      <c r="D99" s="308"/>
      <c r="E99" s="308"/>
      <c r="F99" s="308"/>
      <c r="G99" s="308"/>
      <c r="H99" s="308"/>
      <c r="I99" s="40"/>
      <c r="J99" s="40"/>
      <c r="K99" s="40"/>
      <c r="L99" s="40"/>
      <c r="M99" s="40"/>
      <c r="N99" s="308"/>
      <c r="O99" s="308"/>
      <c r="P99" s="308"/>
      <c r="Q99" s="308"/>
      <c r="R99" s="308"/>
      <c r="S99" s="308"/>
      <c r="T99" s="308"/>
      <c r="U99" s="308"/>
      <c r="V99" s="308"/>
      <c r="X99" s="308"/>
      <c r="Y99" s="308"/>
      <c r="Z99" s="308"/>
      <c r="AA99" s="308"/>
      <c r="AB99" s="308"/>
      <c r="AC99" s="308"/>
      <c r="AD99" s="308"/>
      <c r="AE99" s="308"/>
      <c r="AF99" s="308"/>
      <c r="AG99" s="308"/>
      <c r="AH99" s="308"/>
      <c r="AI99" s="308"/>
      <c r="AJ99" s="308"/>
      <c r="AK99" s="308"/>
      <c r="AL99" s="308"/>
      <c r="AM99" s="308"/>
      <c r="AN99" s="308"/>
      <c r="AO99" s="308"/>
      <c r="AP99" s="308"/>
      <c r="AQ99" s="308"/>
      <c r="AR99" s="308"/>
      <c r="AS99" s="308"/>
      <c r="AT99" s="308"/>
      <c r="AU99" s="308"/>
      <c r="AV99" s="308"/>
      <c r="AW99" s="308"/>
      <c r="AX99" s="308"/>
      <c r="AY99" s="308"/>
      <c r="AZ99" s="308"/>
      <c r="BA99" s="308"/>
      <c r="BB99" s="308"/>
      <c r="BC99" s="308"/>
      <c r="BD99" s="308"/>
      <c r="BE99" s="308"/>
      <c r="BF99" s="308"/>
      <c r="BG99" s="308"/>
      <c r="BH99" s="308"/>
      <c r="BI99" s="308"/>
      <c r="BJ99" s="308"/>
      <c r="BK99" s="308"/>
      <c r="BL99" s="308"/>
      <c r="BM99" s="308"/>
      <c r="BN99" s="308"/>
      <c r="BO99" s="308"/>
      <c r="BP99" s="308"/>
      <c r="BQ99" s="308"/>
      <c r="BR99" s="308"/>
      <c r="BS99" s="308"/>
      <c r="BT99" s="308"/>
      <c r="BU99" s="308"/>
      <c r="BV99" s="308"/>
      <c r="BW99" s="308"/>
      <c r="BX99" s="308"/>
      <c r="BY99" s="308"/>
      <c r="BZ99" s="308"/>
      <c r="CA99" s="308"/>
      <c r="CB99" s="308"/>
      <c r="CC99" s="308"/>
      <c r="CD99" s="308"/>
      <c r="CE99" s="308"/>
      <c r="CF99" s="308"/>
      <c r="CG99" s="308"/>
      <c r="CH99" s="308"/>
      <c r="CI99" s="308"/>
      <c r="CJ99" s="308"/>
      <c r="CK99" s="308"/>
      <c r="CL99" s="308"/>
      <c r="CM99" s="308"/>
    </row>
    <row r="100" spans="1:92" s="5" customFormat="1">
      <c r="A100" s="362" t="s">
        <v>547</v>
      </c>
      <c r="B100" s="363">
        <f t="shared" ref="B100:Q100" si="327">B92*B96+B98</f>
        <v>0</v>
      </c>
      <c r="C100" s="363">
        <f t="shared" si="327"/>
        <v>0</v>
      </c>
      <c r="D100" s="363">
        <f t="shared" si="327"/>
        <v>0</v>
      </c>
      <c r="E100" s="363">
        <f t="shared" si="327"/>
        <v>0</v>
      </c>
      <c r="F100" s="363">
        <f t="shared" si="327"/>
        <v>0</v>
      </c>
      <c r="G100" s="363">
        <f t="shared" si="327"/>
        <v>0</v>
      </c>
      <c r="H100" s="363">
        <f t="shared" si="327"/>
        <v>789.85892678171001</v>
      </c>
      <c r="I100" s="363">
        <f>I92*I96+I98</f>
        <v>1125.4562026176859</v>
      </c>
      <c r="J100" s="363">
        <f t="shared" si="327"/>
        <v>218.00257897249972</v>
      </c>
      <c r="K100" s="363">
        <f t="shared" si="327"/>
        <v>-937.22114557025213</v>
      </c>
      <c r="L100" s="363">
        <f t="shared" si="327"/>
        <v>143.03351664026917</v>
      </c>
      <c r="M100" s="363">
        <f t="shared" si="327"/>
        <v>274.11733157139008</v>
      </c>
      <c r="N100" s="363">
        <f t="shared" si="327"/>
        <v>0</v>
      </c>
      <c r="O100" s="363">
        <f t="shared" si="327"/>
        <v>0</v>
      </c>
      <c r="P100" s="363">
        <f t="shared" si="327"/>
        <v>0</v>
      </c>
      <c r="Q100" s="363">
        <f t="shared" si="327"/>
        <v>0</v>
      </c>
      <c r="R100" s="363">
        <f>R92*R96+R98</f>
        <v>0</v>
      </c>
      <c r="S100" s="363">
        <f>S92*S96+S98</f>
        <v>0</v>
      </c>
      <c r="T100" s="363">
        <f>T92*T96+T98</f>
        <v>0</v>
      </c>
      <c r="U100" s="363">
        <f>U92*U96+U98</f>
        <v>0</v>
      </c>
      <c r="V100" s="363">
        <f>V92*V96+V98</f>
        <v>0</v>
      </c>
      <c r="X100" s="363">
        <f>X92*X96+X98</f>
        <v>0</v>
      </c>
      <c r="Y100" s="363">
        <f t="shared" ref="Y100:BS100" si="328">Y92*Y96+Y98</f>
        <v>0</v>
      </c>
      <c r="Z100" s="363">
        <f t="shared" si="328"/>
        <v>0</v>
      </c>
      <c r="AA100" s="363">
        <f t="shared" si="328"/>
        <v>0</v>
      </c>
      <c r="AB100" s="363">
        <f t="shared" si="328"/>
        <v>0</v>
      </c>
      <c r="AC100" s="363">
        <f t="shared" si="328"/>
        <v>0</v>
      </c>
      <c r="AD100" s="363">
        <f t="shared" si="328"/>
        <v>0</v>
      </c>
      <c r="AE100" s="363">
        <f t="shared" si="328"/>
        <v>0</v>
      </c>
      <c r="AF100" s="363">
        <f t="shared" si="328"/>
        <v>0</v>
      </c>
      <c r="AG100" s="363">
        <f t="shared" si="328"/>
        <v>0</v>
      </c>
      <c r="AH100" s="363">
        <f t="shared" si="328"/>
        <v>0</v>
      </c>
      <c r="AI100" s="363">
        <f t="shared" si="328"/>
        <v>0</v>
      </c>
      <c r="AJ100" s="363">
        <f t="shared" si="328"/>
        <v>0</v>
      </c>
      <c r="AK100" s="363">
        <f t="shared" si="328"/>
        <v>0</v>
      </c>
      <c r="AL100" s="363">
        <f t="shared" si="328"/>
        <v>0</v>
      </c>
      <c r="AM100" s="363">
        <f t="shared" si="328"/>
        <v>0</v>
      </c>
      <c r="AN100" s="363">
        <f t="shared" si="328"/>
        <v>0</v>
      </c>
      <c r="AO100" s="363">
        <f t="shared" si="328"/>
        <v>0</v>
      </c>
      <c r="AP100" s="363">
        <f t="shared" si="328"/>
        <v>0</v>
      </c>
      <c r="AQ100" s="363">
        <f t="shared" si="328"/>
        <v>0</v>
      </c>
      <c r="AR100" s="363">
        <f t="shared" si="328"/>
        <v>0</v>
      </c>
      <c r="AS100" s="363">
        <f t="shared" si="328"/>
        <v>0</v>
      </c>
      <c r="AT100" s="363">
        <f t="shared" si="328"/>
        <v>0</v>
      </c>
      <c r="AU100" s="363">
        <f t="shared" si="328"/>
        <v>0</v>
      </c>
      <c r="AV100" s="363">
        <f t="shared" si="328"/>
        <v>359.02678490077727</v>
      </c>
      <c r="AW100" s="363">
        <f t="shared" si="328"/>
        <v>143.6107139603109</v>
      </c>
      <c r="AX100" s="363">
        <f t="shared" si="328"/>
        <v>71.805356980155452</v>
      </c>
      <c r="AY100" s="363">
        <f t="shared" si="328"/>
        <v>215.41607094046634</v>
      </c>
      <c r="AZ100" s="363">
        <f t="shared" si="328"/>
        <v>290.4403103529512</v>
      </c>
      <c r="BA100" s="363">
        <f t="shared" si="328"/>
        <v>217.8302327647134</v>
      </c>
      <c r="BB100" s="363">
        <f t="shared" si="328"/>
        <v>399.3554267353079</v>
      </c>
      <c r="BC100" s="363">
        <f t="shared" si="328"/>
        <v>217.8302327647134</v>
      </c>
      <c r="BD100" s="363">
        <f t="shared" si="328"/>
        <v>254.33634213458299</v>
      </c>
      <c r="BE100" s="363">
        <f t="shared" si="328"/>
        <v>181.66881581041645</v>
      </c>
      <c r="BF100" s="363">
        <f t="shared" si="328"/>
        <v>254.33634213458299</v>
      </c>
      <c r="BG100" s="363">
        <f t="shared" si="328"/>
        <v>-472.33892110708274</v>
      </c>
      <c r="BH100" s="363">
        <f t="shared" si="328"/>
        <v>-324.42270423585649</v>
      </c>
      <c r="BI100" s="363">
        <f t="shared" si="328"/>
        <v>-180.23483568658693</v>
      </c>
      <c r="BJ100" s="363">
        <f t="shared" si="328"/>
        <v>-180.23483568658693</v>
      </c>
      <c r="BK100" s="363">
        <f t="shared" si="328"/>
        <v>-252.32876996122172</v>
      </c>
      <c r="BL100" s="363">
        <f t="shared" si="328"/>
        <v>0</v>
      </c>
      <c r="BM100" s="363">
        <f t="shared" si="328"/>
        <v>0</v>
      </c>
      <c r="BN100" s="363">
        <f t="shared" si="328"/>
        <v>214.55027496040375</v>
      </c>
      <c r="BO100" s="363">
        <f t="shared" si="328"/>
        <v>-71.516758320134585</v>
      </c>
      <c r="BP100" s="363">
        <f t="shared" si="328"/>
        <v>274.11733157139008</v>
      </c>
      <c r="BQ100" s="363">
        <f t="shared" si="328"/>
        <v>68.52933289284752</v>
      </c>
      <c r="BR100" s="363">
        <f t="shared" si="328"/>
        <v>-137.05866578569504</v>
      </c>
      <c r="BS100" s="363">
        <f t="shared" si="328"/>
        <v>68.52933289284752</v>
      </c>
      <c r="BT100" s="363">
        <f>BT92*BT96+BT98</f>
        <v>0</v>
      </c>
      <c r="BU100" s="363">
        <f>BU92*BU96+BU98</f>
        <v>0</v>
      </c>
      <c r="BV100" s="363">
        <f>BV92*BV96+BV98</f>
        <v>0</v>
      </c>
      <c r="BW100" s="363">
        <f>BW92*BW96+BW98</f>
        <v>0</v>
      </c>
      <c r="BX100" s="363">
        <f t="shared" ref="BX100:CE100" si="329">BX92*BX96+BX98</f>
        <v>0</v>
      </c>
      <c r="BY100" s="363">
        <f t="shared" si="329"/>
        <v>0</v>
      </c>
      <c r="BZ100" s="363">
        <f t="shared" si="329"/>
        <v>0</v>
      </c>
      <c r="CA100" s="363">
        <f t="shared" si="329"/>
        <v>0</v>
      </c>
      <c r="CB100" s="363">
        <f t="shared" si="329"/>
        <v>0</v>
      </c>
      <c r="CC100" s="363">
        <f t="shared" si="329"/>
        <v>0</v>
      </c>
      <c r="CD100" s="363">
        <f t="shared" si="329"/>
        <v>0</v>
      </c>
      <c r="CE100" s="363">
        <f t="shared" si="329"/>
        <v>0</v>
      </c>
      <c r="CF100" s="363">
        <f t="shared" ref="CF100:CM100" si="330">CF92*CF96+CF98</f>
        <v>0</v>
      </c>
      <c r="CG100" s="363">
        <f t="shared" si="330"/>
        <v>0</v>
      </c>
      <c r="CH100" s="363">
        <f t="shared" si="330"/>
        <v>0</v>
      </c>
      <c r="CI100" s="363">
        <f t="shared" si="330"/>
        <v>0</v>
      </c>
      <c r="CJ100" s="363">
        <f t="shared" si="330"/>
        <v>0</v>
      </c>
      <c r="CK100" s="363">
        <f t="shared" si="330"/>
        <v>0</v>
      </c>
      <c r="CL100" s="363">
        <f t="shared" si="330"/>
        <v>0</v>
      </c>
      <c r="CM100" s="363">
        <f t="shared" si="330"/>
        <v>0</v>
      </c>
    </row>
    <row r="101" spans="1:92" s="5" customFormat="1">
      <c r="A101" s="12"/>
      <c r="B101" s="308"/>
      <c r="C101" s="308"/>
      <c r="D101" s="308"/>
      <c r="E101" s="308"/>
      <c r="F101" s="308"/>
      <c r="G101" s="308"/>
      <c r="H101" s="308"/>
      <c r="I101" s="40"/>
      <c r="J101" s="40"/>
      <c r="K101" s="40"/>
      <c r="L101" s="40"/>
      <c r="M101" s="40"/>
      <c r="N101" s="308"/>
      <c r="O101" s="308"/>
      <c r="P101" s="308"/>
      <c r="Q101" s="308"/>
      <c r="R101" s="308"/>
      <c r="S101" s="308"/>
      <c r="T101" s="308"/>
      <c r="U101" s="308"/>
      <c r="V101" s="308"/>
      <c r="X101" s="314"/>
      <c r="Y101" s="314"/>
      <c r="Z101" s="314"/>
      <c r="AA101" s="314"/>
      <c r="AB101" s="314"/>
      <c r="AC101" s="314"/>
      <c r="AD101" s="314"/>
      <c r="AE101" s="314"/>
      <c r="AF101" s="314"/>
      <c r="AG101" s="314"/>
      <c r="AH101" s="314"/>
      <c r="AI101" s="314"/>
      <c r="AJ101" s="314"/>
      <c r="AK101" s="314"/>
      <c r="AL101" s="314"/>
      <c r="AM101" s="314"/>
      <c r="AN101" s="314"/>
      <c r="AO101" s="314"/>
      <c r="AP101" s="314"/>
      <c r="AQ101" s="314"/>
      <c r="AR101" s="314"/>
      <c r="AS101" s="314"/>
      <c r="AT101" s="314"/>
      <c r="AU101" s="314"/>
      <c r="AV101" s="314"/>
      <c r="AW101" s="314"/>
      <c r="AX101" s="314"/>
      <c r="AY101" s="314"/>
      <c r="AZ101" s="314"/>
      <c r="BA101" s="314"/>
      <c r="BB101" s="314"/>
      <c r="BC101" s="314"/>
      <c r="BD101" s="314"/>
      <c r="BE101" s="314"/>
      <c r="BF101" s="314"/>
      <c r="BG101" s="314"/>
      <c r="BH101" s="314"/>
      <c r="BI101" s="314"/>
      <c r="BJ101" s="314"/>
      <c r="BK101" s="314"/>
      <c r="BL101" s="314"/>
      <c r="BM101" s="314"/>
      <c r="BN101" s="314"/>
      <c r="BO101" s="314"/>
      <c r="BP101" s="314"/>
      <c r="BQ101" s="314"/>
      <c r="BR101" s="314"/>
      <c r="BS101" s="314"/>
      <c r="BT101" s="314"/>
      <c r="BU101" s="314"/>
      <c r="BV101" s="314"/>
      <c r="BW101" s="314"/>
      <c r="BX101" s="314"/>
      <c r="BY101" s="314"/>
      <c r="BZ101" s="314"/>
      <c r="CA101" s="314"/>
      <c r="CB101" s="314"/>
      <c r="CC101" s="314"/>
      <c r="CD101" s="314"/>
      <c r="CE101" s="314"/>
      <c r="CF101" s="314"/>
      <c r="CG101" s="314"/>
      <c r="CH101" s="314"/>
      <c r="CI101" s="314"/>
      <c r="CJ101" s="308"/>
      <c r="CK101" s="308"/>
      <c r="CL101" s="308"/>
      <c r="CM101" s="308"/>
    </row>
    <row r="102" spans="1:92">
      <c r="A102" s="16">
        <v>777</v>
      </c>
      <c r="B102" s="60"/>
      <c r="C102" s="60"/>
      <c r="D102" s="60"/>
      <c r="E102" s="60"/>
      <c r="F102" s="60"/>
      <c r="G102" s="60"/>
      <c r="H102" s="60"/>
      <c r="I102" s="60"/>
      <c r="J102" s="60"/>
      <c r="K102" s="60"/>
      <c r="L102" s="60"/>
      <c r="M102" s="60"/>
      <c r="N102" s="60"/>
      <c r="O102" s="60"/>
      <c r="P102" s="60"/>
      <c r="Q102" s="60"/>
      <c r="R102" s="60"/>
      <c r="S102" s="60"/>
      <c r="T102" s="60"/>
      <c r="U102" s="60"/>
      <c r="V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317"/>
      <c r="AV102" s="60"/>
      <c r="AW102" s="60"/>
      <c r="AX102" s="60"/>
      <c r="AY102" s="317"/>
      <c r="AZ102" s="60"/>
      <c r="BA102" s="60"/>
      <c r="BB102" s="60"/>
      <c r="BC102" s="317"/>
      <c r="BD102" s="60"/>
      <c r="BE102" s="60"/>
      <c r="BF102" s="60"/>
      <c r="BG102" s="317"/>
      <c r="BH102" s="60"/>
      <c r="BI102" s="60"/>
      <c r="BJ102" s="60"/>
      <c r="BK102" s="317"/>
      <c r="BL102" s="60"/>
      <c r="BM102" s="60"/>
      <c r="BN102" s="60"/>
      <c r="BO102" s="317"/>
      <c r="BP102" s="60"/>
      <c r="BQ102" s="60"/>
      <c r="BR102" s="60"/>
      <c r="BS102" s="317"/>
      <c r="BT102" s="317"/>
      <c r="BU102" s="317"/>
      <c r="BV102" s="317"/>
      <c r="BW102" s="317"/>
      <c r="BX102" s="317"/>
      <c r="BY102" s="317"/>
      <c r="BZ102" s="317"/>
      <c r="CA102" s="317"/>
      <c r="CB102" s="317"/>
      <c r="CC102" s="317"/>
      <c r="CD102" s="317"/>
      <c r="CE102" s="317"/>
      <c r="CF102" s="317"/>
      <c r="CG102" s="317"/>
      <c r="CH102" s="317"/>
      <c r="CI102" s="317"/>
      <c r="CJ102" s="60"/>
      <c r="CK102" s="60"/>
      <c r="CL102" s="60"/>
      <c r="CM102" s="60"/>
      <c r="CN102" s="5"/>
    </row>
    <row r="103" spans="1:92">
      <c r="A103" s="14"/>
      <c r="B103" s="78"/>
      <c r="C103" s="78"/>
      <c r="D103" s="78"/>
      <c r="E103" s="78"/>
      <c r="F103" s="78"/>
      <c r="G103" s="78"/>
      <c r="H103" s="78"/>
      <c r="I103" s="78"/>
      <c r="J103" s="78"/>
      <c r="K103" s="78"/>
      <c r="L103" s="78"/>
      <c r="M103" s="78"/>
      <c r="N103" s="78"/>
      <c r="O103" s="78"/>
      <c r="P103" s="78"/>
      <c r="Q103" s="78"/>
      <c r="R103" s="78"/>
      <c r="S103" s="78"/>
      <c r="T103" s="78"/>
      <c r="U103" s="78"/>
      <c r="V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96"/>
      <c r="AV103" s="78"/>
      <c r="AW103" s="78"/>
      <c r="AX103" s="78"/>
      <c r="AY103" s="96"/>
      <c r="AZ103" s="78"/>
      <c r="BA103" s="78"/>
      <c r="BB103" s="78"/>
      <c r="BC103" s="96"/>
      <c r="BD103" s="78"/>
      <c r="BE103" s="78"/>
      <c r="BF103" s="78"/>
      <c r="BG103" s="96"/>
      <c r="BH103" s="78"/>
      <c r="BI103" s="78"/>
      <c r="BJ103" s="78"/>
      <c r="BK103" s="96"/>
      <c r="BL103" s="78"/>
      <c r="BM103" s="78"/>
      <c r="BN103" s="78"/>
      <c r="BO103" s="96"/>
      <c r="BP103" s="78"/>
      <c r="BQ103" s="78"/>
      <c r="BR103" s="78"/>
      <c r="BS103" s="96"/>
      <c r="BT103" s="96"/>
      <c r="BU103" s="96"/>
      <c r="BV103" s="96"/>
      <c r="BW103" s="96"/>
      <c r="BX103" s="96"/>
      <c r="BY103" s="96"/>
      <c r="BZ103" s="96"/>
      <c r="CA103" s="96"/>
      <c r="CB103" s="96"/>
      <c r="CC103" s="96"/>
      <c r="CD103" s="96"/>
      <c r="CE103" s="96"/>
      <c r="CF103" s="96"/>
      <c r="CG103" s="96"/>
      <c r="CH103" s="96"/>
      <c r="CI103" s="96"/>
      <c r="CJ103" s="78"/>
      <c r="CK103" s="78"/>
      <c r="CL103" s="78"/>
      <c r="CM103" s="78"/>
      <c r="CN103" s="5"/>
    </row>
    <row r="104" spans="1:92">
      <c r="A104" s="1" t="s">
        <v>479</v>
      </c>
      <c r="B104" s="72">
        <f>SUM(X104:AA104)</f>
        <v>72</v>
      </c>
      <c r="C104" s="72">
        <f>SUM(AB104:AE104)</f>
        <v>78</v>
      </c>
      <c r="D104" s="72">
        <f>SUM(AF104:AI104)</f>
        <v>84</v>
      </c>
      <c r="E104" s="72">
        <f>SUM(AJ104:AM104)</f>
        <v>99.600000000000009</v>
      </c>
      <c r="F104" s="72">
        <f>SUM(AN104:AQ104)</f>
        <v>99.600000000000009</v>
      </c>
      <c r="G104" s="72">
        <f>SUM(AR104:AU104)</f>
        <v>99.600000000000009</v>
      </c>
      <c r="H104" s="72">
        <f>SUM(AV104:AY104)</f>
        <v>99.600000000000009</v>
      </c>
      <c r="I104" s="72">
        <f>SUM(AZ104:BC104)</f>
        <v>72</v>
      </c>
      <c r="J104" s="72">
        <f>SUM(BD104:BG104)</f>
        <v>60</v>
      </c>
      <c r="K104" s="72">
        <f>SUM(BH104:BK104)</f>
        <v>60</v>
      </c>
      <c r="L104" s="72">
        <f>SUM(BL104:BO104)</f>
        <v>20</v>
      </c>
      <c r="M104" s="72">
        <f>SUM(BP104:BS104)</f>
        <v>24</v>
      </c>
      <c r="N104" s="72">
        <f>SUM(BT104:BW104)</f>
        <v>24</v>
      </c>
      <c r="O104" s="72">
        <f>SUM(BX104:CA104)</f>
        <v>26</v>
      </c>
      <c r="P104" s="72">
        <f>SUM(CB104:CE104)</f>
        <v>14</v>
      </c>
      <c r="Q104" s="72">
        <f>SUM(CF104:CI104)</f>
        <v>32</v>
      </c>
      <c r="R104" s="562">
        <f t="shared" ref="R104" si="331">SUM(CJ104:CM104)</f>
        <v>36</v>
      </c>
      <c r="S104" s="43">
        <f>4*12</f>
        <v>48</v>
      </c>
      <c r="T104" s="43">
        <f>4*12</f>
        <v>48</v>
      </c>
      <c r="U104" s="43">
        <f>4*12</f>
        <v>48</v>
      </c>
      <c r="V104" s="43">
        <f>4*12</f>
        <v>48</v>
      </c>
      <c r="X104" s="43">
        <f>7*3</f>
        <v>21</v>
      </c>
      <c r="Y104" s="43">
        <f>7*3</f>
        <v>21</v>
      </c>
      <c r="Z104" s="43">
        <f>5*3</f>
        <v>15</v>
      </c>
      <c r="AA104" s="43">
        <f>5*3</f>
        <v>15</v>
      </c>
      <c r="AB104" s="43">
        <f>5*3</f>
        <v>15</v>
      </c>
      <c r="AC104" s="43">
        <f>7*3</f>
        <v>21</v>
      </c>
      <c r="AD104" s="43">
        <f t="shared" ref="AD104:AI104" si="332">7*3</f>
        <v>21</v>
      </c>
      <c r="AE104" s="43">
        <f t="shared" si="332"/>
        <v>21</v>
      </c>
      <c r="AF104" s="43">
        <f t="shared" si="332"/>
        <v>21</v>
      </c>
      <c r="AG104" s="43">
        <f t="shared" si="332"/>
        <v>21</v>
      </c>
      <c r="AH104" s="43">
        <f t="shared" si="332"/>
        <v>21</v>
      </c>
      <c r="AI104" s="43">
        <f t="shared" si="332"/>
        <v>21</v>
      </c>
      <c r="AJ104" s="43">
        <f>8.3*3</f>
        <v>24.900000000000002</v>
      </c>
      <c r="AK104" s="43">
        <f t="shared" ref="AK104:AY104" si="333">8.3*3</f>
        <v>24.900000000000002</v>
      </c>
      <c r="AL104" s="43">
        <f t="shared" si="333"/>
        <v>24.900000000000002</v>
      </c>
      <c r="AM104" s="43">
        <f t="shared" si="333"/>
        <v>24.900000000000002</v>
      </c>
      <c r="AN104" s="43">
        <f t="shared" si="333"/>
        <v>24.900000000000002</v>
      </c>
      <c r="AO104" s="43">
        <f t="shared" si="333"/>
        <v>24.900000000000002</v>
      </c>
      <c r="AP104" s="43">
        <f t="shared" si="333"/>
        <v>24.900000000000002</v>
      </c>
      <c r="AQ104" s="43">
        <f t="shared" si="333"/>
        <v>24.900000000000002</v>
      </c>
      <c r="AR104" s="43">
        <f t="shared" si="333"/>
        <v>24.900000000000002</v>
      </c>
      <c r="AS104" s="43">
        <f t="shared" si="333"/>
        <v>24.900000000000002</v>
      </c>
      <c r="AT104" s="43">
        <f t="shared" si="333"/>
        <v>24.900000000000002</v>
      </c>
      <c r="AU104" s="43">
        <f t="shared" si="333"/>
        <v>24.900000000000002</v>
      </c>
      <c r="AV104" s="43">
        <f t="shared" si="333"/>
        <v>24.900000000000002</v>
      </c>
      <c r="AW104" s="43">
        <f t="shared" si="333"/>
        <v>24.900000000000002</v>
      </c>
      <c r="AX104" s="43">
        <f t="shared" si="333"/>
        <v>24.900000000000002</v>
      </c>
      <c r="AY104" s="43">
        <f t="shared" si="333"/>
        <v>24.900000000000002</v>
      </c>
      <c r="AZ104" s="43">
        <f>7*3</f>
        <v>21</v>
      </c>
      <c r="BA104" s="43">
        <f>7*3</f>
        <v>21</v>
      </c>
      <c r="BB104" s="43">
        <f>5*3</f>
        <v>15</v>
      </c>
      <c r="BC104" s="43">
        <f t="shared" ref="BC104:BK104" si="334">5*3</f>
        <v>15</v>
      </c>
      <c r="BD104" s="43">
        <f t="shared" si="334"/>
        <v>15</v>
      </c>
      <c r="BE104" s="43">
        <f t="shared" si="334"/>
        <v>15</v>
      </c>
      <c r="BF104" s="43">
        <f t="shared" si="334"/>
        <v>15</v>
      </c>
      <c r="BG104" s="43">
        <f t="shared" si="334"/>
        <v>15</v>
      </c>
      <c r="BH104" s="43">
        <f t="shared" si="334"/>
        <v>15</v>
      </c>
      <c r="BI104" s="43">
        <f t="shared" si="334"/>
        <v>15</v>
      </c>
      <c r="BJ104" s="43">
        <f t="shared" si="334"/>
        <v>15</v>
      </c>
      <c r="BK104" s="43">
        <f t="shared" si="334"/>
        <v>15</v>
      </c>
      <c r="BL104" s="43">
        <v>6</v>
      </c>
      <c r="BM104" s="43">
        <v>4</v>
      </c>
      <c r="BN104" s="43">
        <v>5</v>
      </c>
      <c r="BO104" s="43">
        <v>5</v>
      </c>
      <c r="BP104" s="43">
        <f>2*3</f>
        <v>6</v>
      </c>
      <c r="BQ104" s="43">
        <f>2*3</f>
        <v>6</v>
      </c>
      <c r="BR104" s="43">
        <f>2*3</f>
        <v>6</v>
      </c>
      <c r="BS104" s="43">
        <f>2*3</f>
        <v>6</v>
      </c>
      <c r="BT104" s="43">
        <v>3</v>
      </c>
      <c r="BU104" s="43">
        <v>3</v>
      </c>
      <c r="BV104" s="43">
        <f>3*3</f>
        <v>9</v>
      </c>
      <c r="BW104" s="43">
        <f>3*3</f>
        <v>9</v>
      </c>
      <c r="BX104" s="43">
        <v>4</v>
      </c>
      <c r="BY104" s="43">
        <v>5</v>
      </c>
      <c r="BZ104" s="43">
        <v>8</v>
      </c>
      <c r="CA104" s="43">
        <v>9</v>
      </c>
      <c r="CB104" s="43">
        <v>0</v>
      </c>
      <c r="CC104" s="43">
        <v>7</v>
      </c>
      <c r="CD104" s="43">
        <v>4</v>
      </c>
      <c r="CE104" s="43">
        <v>3</v>
      </c>
      <c r="CF104" s="43">
        <v>7</v>
      </c>
      <c r="CG104" s="43">
        <v>13</v>
      </c>
      <c r="CH104" s="43">
        <v>9</v>
      </c>
      <c r="CI104" s="43">
        <v>3</v>
      </c>
      <c r="CJ104" s="43">
        <v>9</v>
      </c>
      <c r="CK104" s="43">
        <v>9</v>
      </c>
      <c r="CL104" s="43">
        <v>9</v>
      </c>
      <c r="CM104" s="43">
        <v>9</v>
      </c>
      <c r="CN104" s="5"/>
    </row>
    <row r="105" spans="1:92">
      <c r="A105" s="1" t="s">
        <v>515</v>
      </c>
      <c r="B105" s="72">
        <f>SUM(X105:AA105)</f>
        <v>74</v>
      </c>
      <c r="C105" s="72">
        <f>SUM(AB105:AE105)</f>
        <v>73</v>
      </c>
      <c r="D105" s="72">
        <f>SUM(AF105:AI105)</f>
        <v>83</v>
      </c>
      <c r="E105" s="72">
        <f>SUM(AJ105:AM105)</f>
        <v>98</v>
      </c>
      <c r="F105" s="72">
        <f>SUM(AN105:AQ105)</f>
        <v>99</v>
      </c>
      <c r="G105" s="72">
        <f>SUM(AR105:AU105)</f>
        <v>98</v>
      </c>
      <c r="H105" s="72">
        <f>SUM(AV105:AY105)</f>
        <v>99</v>
      </c>
      <c r="I105" s="72">
        <f>SUM(AZ105:BC105)</f>
        <v>74</v>
      </c>
      <c r="J105" s="72">
        <f>SUM(BD105:BG105)</f>
        <v>48</v>
      </c>
      <c r="K105" s="72">
        <f>SUM(BH105:BK105)</f>
        <v>45</v>
      </c>
      <c r="L105" s="38">
        <f>BCA_Model_Annual!V7</f>
        <v>26</v>
      </c>
      <c r="M105" s="38">
        <f>BCA_Model_Annual!W7</f>
        <v>24</v>
      </c>
      <c r="N105" s="38">
        <f>BCA_Model_Annual!X7</f>
        <v>24</v>
      </c>
      <c r="O105" s="38">
        <f>BCA_Model_Annual!Y7</f>
        <v>26</v>
      </c>
      <c r="P105" s="38">
        <f>BCA_Model_Annual!Z7</f>
        <v>14</v>
      </c>
      <c r="Q105" s="38">
        <f>BCA_Model_Annual!AA7</f>
        <v>35</v>
      </c>
      <c r="R105" s="38">
        <f>BCA_Model_Annual!AB7</f>
        <v>36</v>
      </c>
      <c r="S105" s="38">
        <f>BCA_Model_Annual!AC7</f>
        <v>48</v>
      </c>
      <c r="T105" s="38">
        <f>BCA_Model_Annual!AD7</f>
        <v>48</v>
      </c>
      <c r="U105" s="38">
        <f>BCA_Model_Annual!AE7</f>
        <v>48</v>
      </c>
      <c r="V105" s="38">
        <f>BCA_Model_Annual!AF7</f>
        <v>48</v>
      </c>
      <c r="X105" s="43">
        <v>19</v>
      </c>
      <c r="Y105" s="43">
        <v>16</v>
      </c>
      <c r="Z105" s="43">
        <v>21</v>
      </c>
      <c r="AA105" s="43">
        <v>18</v>
      </c>
      <c r="AB105" s="43">
        <v>13</v>
      </c>
      <c r="AC105" s="43">
        <v>19</v>
      </c>
      <c r="AD105" s="43">
        <v>21</v>
      </c>
      <c r="AE105" s="43">
        <v>20</v>
      </c>
      <c r="AF105" s="43">
        <v>20</v>
      </c>
      <c r="AG105" s="43">
        <v>22</v>
      </c>
      <c r="AH105" s="43">
        <v>20</v>
      </c>
      <c r="AI105" s="43">
        <v>21</v>
      </c>
      <c r="AJ105" s="43">
        <v>24</v>
      </c>
      <c r="AK105" s="43">
        <v>23</v>
      </c>
      <c r="AL105" s="43">
        <v>26</v>
      </c>
      <c r="AM105" s="43">
        <v>25</v>
      </c>
      <c r="AN105" s="43">
        <v>24</v>
      </c>
      <c r="AO105" s="43">
        <v>24</v>
      </c>
      <c r="AP105" s="43">
        <v>27</v>
      </c>
      <c r="AQ105" s="43">
        <v>24</v>
      </c>
      <c r="AR105" s="38">
        <f>BCA_Deliveries_Qtr!B7</f>
        <v>24</v>
      </c>
      <c r="AS105" s="38">
        <f>BCA_Deliveries_Qtr!C7</f>
        <v>26</v>
      </c>
      <c r="AT105" s="38">
        <f>BCA_Deliveries_Qtr!D7</f>
        <v>27</v>
      </c>
      <c r="AU105" s="38">
        <f>BCA_Deliveries_Qtr!E7</f>
        <v>21</v>
      </c>
      <c r="AV105" s="38">
        <f>BCA_Deliveries_Qtr!G7</f>
        <v>23</v>
      </c>
      <c r="AW105" s="38">
        <f>BCA_Deliveries_Qtr!H7</f>
        <v>28</v>
      </c>
      <c r="AX105" s="38">
        <f>BCA_Deliveries_Qtr!I7</f>
        <v>22</v>
      </c>
      <c r="AY105" s="38">
        <f>BCA_Deliveries_Qtr!J7</f>
        <v>26</v>
      </c>
      <c r="AZ105" s="38">
        <f>BCA_Deliveries_Qtr!L7</f>
        <v>21</v>
      </c>
      <c r="BA105" s="38">
        <f>BCA_Deliveries_Qtr!M7</f>
        <v>21</v>
      </c>
      <c r="BB105" s="38">
        <f>BCA_Deliveries_Qtr!N7</f>
        <v>16</v>
      </c>
      <c r="BC105" s="38">
        <f>BCA_Deliveries_Qtr!O7</f>
        <v>16</v>
      </c>
      <c r="BD105" s="38">
        <f>BCA_Deliveries_Qtr!Q7</f>
        <v>12</v>
      </c>
      <c r="BE105" s="38">
        <f>BCA_Deliveries_Qtr!R7</f>
        <v>13</v>
      </c>
      <c r="BF105" s="38">
        <f>BCA_Deliveries_Qtr!S7</f>
        <v>12</v>
      </c>
      <c r="BG105" s="38">
        <f>BCA_Deliveries_Qtr!T7</f>
        <v>11</v>
      </c>
      <c r="BH105" s="38">
        <f>BCA_Deliveries_Qtr!V7</f>
        <v>10</v>
      </c>
      <c r="BI105" s="38">
        <f>BCA_Deliveries_Qtr!W7</f>
        <v>12</v>
      </c>
      <c r="BJ105" s="38">
        <f>BCA_Deliveries_Qtr!X7</f>
        <v>11</v>
      </c>
      <c r="BK105" s="38">
        <f>BCA_Deliveries_Qtr!Y7</f>
        <v>12</v>
      </c>
      <c r="BL105" s="38">
        <f>BCA_Deliveries_Qtr!AA7</f>
        <v>6</v>
      </c>
      <c r="BM105" s="38">
        <f>BCA_Deliveries_Qtr!AB7</f>
        <v>4</v>
      </c>
      <c r="BN105" s="38">
        <f>BCA_Deliveries_Qtr!AC7</f>
        <v>5</v>
      </c>
      <c r="BO105" s="38">
        <f>BCA_Deliveries_Qtr!AD7</f>
        <v>11</v>
      </c>
      <c r="BP105" s="38">
        <f>BCA_Deliveries_Qtr!AF7</f>
        <v>6</v>
      </c>
      <c r="BQ105" s="38">
        <f>BCA_Deliveries_Qtr!AG7</f>
        <v>8</v>
      </c>
      <c r="BR105" s="38">
        <f>BCA_Deliveries_Qtr!AH7</f>
        <v>6</v>
      </c>
      <c r="BS105" s="38">
        <f>BCA_Deliveries_Qtr!AI7</f>
        <v>4</v>
      </c>
      <c r="BT105" s="38">
        <f>BCA_Deliveries_Qtr!AK7</f>
        <v>3</v>
      </c>
      <c r="BU105" s="38">
        <f>BCA_Deliveries_Qtr!AL7</f>
        <v>9</v>
      </c>
      <c r="BV105" s="38">
        <f>BCA_Deliveries_Qtr!AM7</f>
        <v>6</v>
      </c>
      <c r="BW105" s="38">
        <f>BCA_Deliveries_Qtr!AN7</f>
        <v>6</v>
      </c>
      <c r="BX105" s="38">
        <f>BCA_Deliveries_Qtr!AP7</f>
        <v>4</v>
      </c>
      <c r="BY105" s="38">
        <f>BCA_Deliveries_Qtr!AQ7</f>
        <v>5</v>
      </c>
      <c r="BZ105" s="38">
        <f>BCA_Deliveries_Qtr!AR7</f>
        <v>8</v>
      </c>
      <c r="CA105" s="38">
        <f>BCA_Deliveries_Qtr!AS7</f>
        <v>9</v>
      </c>
      <c r="CB105" s="38">
        <f>BCA_Deliveries_Qtr!AU7</f>
        <v>0</v>
      </c>
      <c r="CC105" s="38">
        <f>BCA_Deliveries_Qtr!AV7</f>
        <v>7</v>
      </c>
      <c r="CD105" s="38">
        <f>BCA_Deliveries_Qtr!AW7</f>
        <v>4</v>
      </c>
      <c r="CE105" s="38">
        <f>BCA_Deliveries_Qtr!AX7</f>
        <v>3</v>
      </c>
      <c r="CF105" s="38">
        <f>BCA_Deliveries_Qtr!AZ7</f>
        <v>7</v>
      </c>
      <c r="CG105" s="38">
        <f>BCA_Deliveries_Qtr!BA7</f>
        <v>13</v>
      </c>
      <c r="CH105" s="38">
        <f>BCA_Deliveries_Qtr!BB7</f>
        <v>9</v>
      </c>
      <c r="CI105" s="38">
        <f>BCA_Deliveries_Qtr!BC7</f>
        <v>6</v>
      </c>
      <c r="CJ105" s="566">
        <f>$R105/4</f>
        <v>9</v>
      </c>
      <c r="CK105" s="566">
        <f t="shared" ref="CK105:CM105" si="335">$R105/4</f>
        <v>9</v>
      </c>
      <c r="CL105" s="566">
        <f t="shared" si="335"/>
        <v>9</v>
      </c>
      <c r="CM105" s="566">
        <f t="shared" si="335"/>
        <v>9</v>
      </c>
      <c r="CN105" s="5"/>
    </row>
    <row r="106" spans="1:92" s="5" customFormat="1">
      <c r="A106" s="12" t="s">
        <v>468</v>
      </c>
      <c r="B106" s="108">
        <f t="shared" ref="B106:Q106" si="336">B104-B105</f>
        <v>-2</v>
      </c>
      <c r="C106" s="108">
        <f t="shared" si="336"/>
        <v>5</v>
      </c>
      <c r="D106" s="108">
        <f t="shared" si="336"/>
        <v>1</v>
      </c>
      <c r="E106" s="108">
        <f t="shared" si="336"/>
        <v>1.6000000000000085</v>
      </c>
      <c r="F106" s="108">
        <f t="shared" si="336"/>
        <v>0.60000000000000853</v>
      </c>
      <c r="G106" s="108">
        <f t="shared" si="336"/>
        <v>1.6000000000000085</v>
      </c>
      <c r="H106" s="108">
        <f t="shared" si="336"/>
        <v>0.60000000000000853</v>
      </c>
      <c r="I106" s="108">
        <f t="shared" si="336"/>
        <v>-2</v>
      </c>
      <c r="J106" s="108">
        <f t="shared" si="336"/>
        <v>12</v>
      </c>
      <c r="K106" s="108">
        <f t="shared" si="336"/>
        <v>15</v>
      </c>
      <c r="L106" s="108">
        <f t="shared" si="336"/>
        <v>-6</v>
      </c>
      <c r="M106" s="108">
        <f t="shared" si="336"/>
        <v>0</v>
      </c>
      <c r="N106" s="308">
        <f t="shared" si="336"/>
        <v>0</v>
      </c>
      <c r="O106" s="308">
        <f t="shared" si="336"/>
        <v>0</v>
      </c>
      <c r="P106" s="308">
        <f t="shared" si="336"/>
        <v>0</v>
      </c>
      <c r="Q106" s="308">
        <f t="shared" si="336"/>
        <v>-3</v>
      </c>
      <c r="R106" s="308">
        <f>R104-R105</f>
        <v>0</v>
      </c>
      <c r="S106" s="308">
        <f>S104-S105</f>
        <v>0</v>
      </c>
      <c r="T106" s="308">
        <f>T104-T105</f>
        <v>0</v>
      </c>
      <c r="U106" s="308">
        <f>U104-U105</f>
        <v>0</v>
      </c>
      <c r="V106" s="308">
        <f>V104-V105</f>
        <v>0</v>
      </c>
      <c r="X106" s="108">
        <f t="shared" ref="X106:BS106" si="337">X104-X105</f>
        <v>2</v>
      </c>
      <c r="Y106" s="108">
        <f t="shared" si="337"/>
        <v>5</v>
      </c>
      <c r="Z106" s="108">
        <f t="shared" si="337"/>
        <v>-6</v>
      </c>
      <c r="AA106" s="108">
        <f t="shared" si="337"/>
        <v>-3</v>
      </c>
      <c r="AB106" s="108">
        <f t="shared" si="337"/>
        <v>2</v>
      </c>
      <c r="AC106" s="108">
        <f t="shared" si="337"/>
        <v>2</v>
      </c>
      <c r="AD106" s="108">
        <f t="shared" si="337"/>
        <v>0</v>
      </c>
      <c r="AE106" s="108">
        <f t="shared" si="337"/>
        <v>1</v>
      </c>
      <c r="AF106" s="108">
        <f t="shared" si="337"/>
        <v>1</v>
      </c>
      <c r="AG106" s="108">
        <f t="shared" si="337"/>
        <v>-1</v>
      </c>
      <c r="AH106" s="108">
        <f t="shared" si="337"/>
        <v>1</v>
      </c>
      <c r="AI106" s="108">
        <f t="shared" si="337"/>
        <v>0</v>
      </c>
      <c r="AJ106" s="108">
        <f t="shared" si="337"/>
        <v>0.90000000000000213</v>
      </c>
      <c r="AK106" s="108">
        <f t="shared" si="337"/>
        <v>1.9000000000000021</v>
      </c>
      <c r="AL106" s="108">
        <f t="shared" si="337"/>
        <v>-1.0999999999999979</v>
      </c>
      <c r="AM106" s="108">
        <f t="shared" si="337"/>
        <v>-9.9999999999997868E-2</v>
      </c>
      <c r="AN106" s="108">
        <f t="shared" si="337"/>
        <v>0.90000000000000213</v>
      </c>
      <c r="AO106" s="108">
        <f t="shared" si="337"/>
        <v>0.90000000000000213</v>
      </c>
      <c r="AP106" s="108">
        <f t="shared" si="337"/>
        <v>-2.0999999999999979</v>
      </c>
      <c r="AQ106" s="108">
        <f t="shared" si="337"/>
        <v>0.90000000000000213</v>
      </c>
      <c r="AR106" s="108">
        <f t="shared" si="337"/>
        <v>0.90000000000000213</v>
      </c>
      <c r="AS106" s="108">
        <f t="shared" si="337"/>
        <v>-1.0999999999999979</v>
      </c>
      <c r="AT106" s="108">
        <f t="shared" si="337"/>
        <v>-2.0999999999999979</v>
      </c>
      <c r="AU106" s="108">
        <f t="shared" si="337"/>
        <v>3.9000000000000021</v>
      </c>
      <c r="AV106" s="108">
        <f t="shared" si="337"/>
        <v>1.9000000000000021</v>
      </c>
      <c r="AW106" s="108">
        <f t="shared" si="337"/>
        <v>-3.0999999999999979</v>
      </c>
      <c r="AX106" s="108">
        <f t="shared" si="337"/>
        <v>2.9000000000000021</v>
      </c>
      <c r="AY106" s="108">
        <f t="shared" si="337"/>
        <v>-1.0999999999999979</v>
      </c>
      <c r="AZ106" s="108">
        <f t="shared" si="337"/>
        <v>0</v>
      </c>
      <c r="BA106" s="108">
        <f t="shared" si="337"/>
        <v>0</v>
      </c>
      <c r="BB106" s="108">
        <f t="shared" si="337"/>
        <v>-1</v>
      </c>
      <c r="BC106" s="108">
        <f t="shared" si="337"/>
        <v>-1</v>
      </c>
      <c r="BD106" s="108">
        <f t="shared" si="337"/>
        <v>3</v>
      </c>
      <c r="BE106" s="108">
        <f t="shared" si="337"/>
        <v>2</v>
      </c>
      <c r="BF106" s="108">
        <f t="shared" si="337"/>
        <v>3</v>
      </c>
      <c r="BG106" s="108">
        <f t="shared" si="337"/>
        <v>4</v>
      </c>
      <c r="BH106" s="108">
        <f t="shared" si="337"/>
        <v>5</v>
      </c>
      <c r="BI106" s="108">
        <f t="shared" si="337"/>
        <v>3</v>
      </c>
      <c r="BJ106" s="108">
        <f t="shared" si="337"/>
        <v>4</v>
      </c>
      <c r="BK106" s="108">
        <f t="shared" si="337"/>
        <v>3</v>
      </c>
      <c r="BL106" s="108">
        <f t="shared" si="337"/>
        <v>0</v>
      </c>
      <c r="BM106" s="108">
        <f t="shared" si="337"/>
        <v>0</v>
      </c>
      <c r="BN106" s="108">
        <f t="shared" si="337"/>
        <v>0</v>
      </c>
      <c r="BO106" s="108">
        <f t="shared" si="337"/>
        <v>-6</v>
      </c>
      <c r="BP106" s="108">
        <f t="shared" si="337"/>
        <v>0</v>
      </c>
      <c r="BQ106" s="108">
        <f t="shared" si="337"/>
        <v>-2</v>
      </c>
      <c r="BR106" s="108">
        <f t="shared" si="337"/>
        <v>0</v>
      </c>
      <c r="BS106" s="108">
        <f t="shared" si="337"/>
        <v>2</v>
      </c>
      <c r="BT106" s="108">
        <f>BT104-BT105</f>
        <v>0</v>
      </c>
      <c r="BU106" s="108">
        <f>BU104-BU105</f>
        <v>-6</v>
      </c>
      <c r="BV106" s="108">
        <f>BV104-BV105</f>
        <v>3</v>
      </c>
      <c r="BW106" s="108">
        <f>BW104-BW105</f>
        <v>3</v>
      </c>
      <c r="BX106" s="108">
        <f t="shared" ref="BX106:CE106" si="338">BX104-BX105</f>
        <v>0</v>
      </c>
      <c r="BY106" s="108">
        <f t="shared" si="338"/>
        <v>0</v>
      </c>
      <c r="BZ106" s="108">
        <f t="shared" si="338"/>
        <v>0</v>
      </c>
      <c r="CA106" s="108">
        <f t="shared" si="338"/>
        <v>0</v>
      </c>
      <c r="CB106" s="108">
        <f t="shared" si="338"/>
        <v>0</v>
      </c>
      <c r="CC106" s="108">
        <f t="shared" si="338"/>
        <v>0</v>
      </c>
      <c r="CD106" s="108">
        <f t="shared" si="338"/>
        <v>0</v>
      </c>
      <c r="CE106" s="108">
        <f t="shared" si="338"/>
        <v>0</v>
      </c>
      <c r="CF106" s="108">
        <f t="shared" ref="CF106:CM106" si="339">CF104-CF105</f>
        <v>0</v>
      </c>
      <c r="CG106" s="108">
        <f t="shared" si="339"/>
        <v>0</v>
      </c>
      <c r="CH106" s="108">
        <f t="shared" si="339"/>
        <v>0</v>
      </c>
      <c r="CI106" s="108">
        <f t="shared" si="339"/>
        <v>-3</v>
      </c>
      <c r="CJ106" s="308">
        <f t="shared" si="339"/>
        <v>0</v>
      </c>
      <c r="CK106" s="308">
        <f t="shared" si="339"/>
        <v>0</v>
      </c>
      <c r="CL106" s="308">
        <f t="shared" si="339"/>
        <v>0</v>
      </c>
      <c r="CM106" s="308">
        <f t="shared" si="339"/>
        <v>0</v>
      </c>
    </row>
    <row r="107" spans="1:92" s="5" customFormat="1">
      <c r="A107" s="12"/>
      <c r="B107" s="308"/>
      <c r="C107" s="308"/>
      <c r="D107" s="308"/>
      <c r="E107" s="308"/>
      <c r="F107" s="308"/>
      <c r="G107" s="308"/>
      <c r="H107" s="308"/>
      <c r="I107" s="40"/>
      <c r="J107" s="40"/>
      <c r="K107" s="40"/>
      <c r="L107" s="40"/>
      <c r="M107" s="40"/>
      <c r="N107" s="308"/>
      <c r="O107" s="308"/>
      <c r="P107" s="308"/>
      <c r="Q107" s="308"/>
      <c r="R107" s="308"/>
      <c r="S107" s="308"/>
      <c r="T107" s="308"/>
      <c r="U107" s="308"/>
      <c r="V107" s="308"/>
      <c r="X107" s="308"/>
      <c r="Y107" s="308"/>
      <c r="Z107" s="308"/>
      <c r="AA107" s="308"/>
      <c r="AB107" s="308"/>
      <c r="AC107" s="308"/>
      <c r="AD107" s="308"/>
      <c r="AE107" s="308"/>
      <c r="AF107" s="308"/>
      <c r="AG107" s="308"/>
      <c r="AH107" s="308"/>
      <c r="AI107" s="308"/>
      <c r="AJ107" s="308"/>
      <c r="AK107" s="308"/>
      <c r="AL107" s="308"/>
      <c r="AM107" s="308"/>
      <c r="AN107" s="308"/>
      <c r="AO107" s="308"/>
      <c r="AP107" s="308"/>
      <c r="AQ107" s="308"/>
      <c r="AR107" s="308"/>
      <c r="AS107" s="308"/>
      <c r="AT107" s="308"/>
      <c r="AU107" s="318"/>
      <c r="AV107" s="308"/>
      <c r="AW107" s="308"/>
      <c r="AX107" s="308"/>
      <c r="AY107" s="318"/>
      <c r="AZ107" s="40"/>
      <c r="BA107" s="108"/>
      <c r="BB107" s="40"/>
      <c r="BC107" s="108"/>
      <c r="BD107" s="40"/>
      <c r="BE107" s="40"/>
      <c r="BF107" s="40"/>
      <c r="BG107" s="108"/>
      <c r="BH107" s="40"/>
      <c r="BI107" s="40"/>
      <c r="BJ107" s="40"/>
      <c r="BK107" s="108"/>
      <c r="BL107" s="40"/>
      <c r="BM107" s="308"/>
      <c r="BN107" s="308"/>
      <c r="BO107" s="318"/>
      <c r="BP107" s="314"/>
      <c r="BQ107" s="308"/>
      <c r="BR107" s="308"/>
      <c r="BS107" s="318"/>
      <c r="BT107" s="318"/>
      <c r="BU107" s="318"/>
      <c r="BV107" s="318"/>
      <c r="BW107" s="318"/>
      <c r="BX107" s="318"/>
      <c r="BY107" s="318"/>
      <c r="BZ107" s="318"/>
      <c r="CA107" s="318"/>
      <c r="CB107" s="318"/>
      <c r="CC107" s="318"/>
      <c r="CD107" s="318"/>
      <c r="CE107" s="318"/>
      <c r="CF107" s="318"/>
      <c r="CG107" s="318"/>
      <c r="CH107" s="318"/>
      <c r="CI107" s="318"/>
      <c r="CJ107" s="308"/>
      <c r="CK107" s="308"/>
      <c r="CL107" s="308"/>
      <c r="CM107" s="308"/>
    </row>
    <row r="108" spans="1:92" s="5" customFormat="1">
      <c r="A108" s="1" t="s">
        <v>509</v>
      </c>
      <c r="B108" s="38">
        <f>BCA_Model_Annual!L19</f>
        <v>147.64864864864865</v>
      </c>
      <c r="C108" s="38">
        <f>BCA_Model_Annual!M19</f>
        <v>156.53424657534248</v>
      </c>
      <c r="D108" s="38">
        <f>BCA_Model_Annual!N19</f>
        <v>154.28915662650601</v>
      </c>
      <c r="E108" s="38">
        <f>BCA_Model_Annual!O19</f>
        <v>155.70408163265307</v>
      </c>
      <c r="F108" s="38">
        <f>BCA_Model_Annual!P19</f>
        <v>157.09090909090909</v>
      </c>
      <c r="G108" s="38">
        <f>BCA_Model_Annual!Q19</f>
        <v>158.12244897959184</v>
      </c>
      <c r="H108" s="38">
        <f>BCA_Model_Annual!R19</f>
        <v>159.77777777777777</v>
      </c>
      <c r="I108" s="38">
        <f>BCA_Model_Annual!S19</f>
        <v>160.44594594594594</v>
      </c>
      <c r="J108" s="38">
        <f>BCA_Model_Annual!T19</f>
        <v>156</v>
      </c>
      <c r="K108" s="38">
        <f>BCA_Model_Annual!U19</f>
        <v>150.86666666666667</v>
      </c>
      <c r="L108" s="38">
        <f>BCA_Model_Annual!V19</f>
        <v>162.375</v>
      </c>
      <c r="M108" s="38">
        <f>BCA_Model_Annual!W19</f>
        <v>160</v>
      </c>
      <c r="N108" s="38">
        <f>BCA_Model_Annual!X19</f>
        <v>160</v>
      </c>
      <c r="O108" s="38">
        <f>BCA_Model_Annual!Y19</f>
        <v>160</v>
      </c>
      <c r="P108" s="38">
        <f>BCA_Model_Annual!Z19</f>
        <v>160</v>
      </c>
      <c r="Q108" s="38">
        <f>BCA_Model_Annual!AA19</f>
        <v>160</v>
      </c>
      <c r="R108" s="38">
        <f>BCA_Model_Annual!AB19</f>
        <v>160</v>
      </c>
      <c r="S108" s="38">
        <f>BCA_Model_Annual!AC19</f>
        <v>160</v>
      </c>
      <c r="T108" s="38">
        <f>BCA_Model_Annual!AD19</f>
        <v>160</v>
      </c>
      <c r="U108" s="38">
        <f>BCA_Model_Annual!AE19</f>
        <v>160</v>
      </c>
      <c r="V108" s="38">
        <f>BCA_Model_Annual!AF19</f>
        <v>160</v>
      </c>
      <c r="X108" s="38">
        <f>BCA_Model_Annual!$L$19</f>
        <v>147.64864864864865</v>
      </c>
      <c r="Y108" s="23">
        <f t="shared" ref="Y108:AA109" si="340">X108</f>
        <v>147.64864864864865</v>
      </c>
      <c r="Z108" s="23">
        <f t="shared" si="340"/>
        <v>147.64864864864865</v>
      </c>
      <c r="AA108" s="23">
        <f t="shared" si="340"/>
        <v>147.64864864864865</v>
      </c>
      <c r="AB108" s="38">
        <f>BCA_Model_Annual!$M$19</f>
        <v>156.53424657534248</v>
      </c>
      <c r="AC108" s="23">
        <f t="shared" ref="AC108:AE109" si="341">AB108</f>
        <v>156.53424657534248</v>
      </c>
      <c r="AD108" s="23">
        <f t="shared" si="341"/>
        <v>156.53424657534248</v>
      </c>
      <c r="AE108" s="23">
        <f t="shared" si="341"/>
        <v>156.53424657534248</v>
      </c>
      <c r="AF108" s="38">
        <f>BCA_Model_Annual!$N$19</f>
        <v>154.28915662650601</v>
      </c>
      <c r="AG108" s="23">
        <f t="shared" ref="AG108:AI109" si="342">AF108</f>
        <v>154.28915662650601</v>
      </c>
      <c r="AH108" s="23">
        <f t="shared" si="342"/>
        <v>154.28915662650601</v>
      </c>
      <c r="AI108" s="23">
        <f t="shared" si="342"/>
        <v>154.28915662650601</v>
      </c>
      <c r="AJ108" s="38">
        <f>BCA_Model_Annual!$O$19</f>
        <v>155.70408163265307</v>
      </c>
      <c r="AK108" s="23">
        <f t="shared" ref="AK108:AM109" si="343">AJ108</f>
        <v>155.70408163265307</v>
      </c>
      <c r="AL108" s="23">
        <f t="shared" si="343"/>
        <v>155.70408163265307</v>
      </c>
      <c r="AM108" s="23">
        <f t="shared" si="343"/>
        <v>155.70408163265307</v>
      </c>
      <c r="AN108" s="38">
        <f>BCA_Model_Annual!$P$19</f>
        <v>157.09090909090909</v>
      </c>
      <c r="AO108" s="23">
        <f t="shared" ref="AO108:AQ109" si="344">AN108</f>
        <v>157.09090909090909</v>
      </c>
      <c r="AP108" s="23">
        <f t="shared" si="344"/>
        <v>157.09090909090909</v>
      </c>
      <c r="AQ108" s="23">
        <f t="shared" si="344"/>
        <v>157.09090909090909</v>
      </c>
      <c r="AR108" s="38">
        <f>BCA_Model_Annual!$Q$19</f>
        <v>158.12244897959184</v>
      </c>
      <c r="AS108" s="23">
        <f t="shared" ref="AS108:AU109" si="345">AR108</f>
        <v>158.12244897959184</v>
      </c>
      <c r="AT108" s="23">
        <f t="shared" si="345"/>
        <v>158.12244897959184</v>
      </c>
      <c r="AU108" s="23">
        <f t="shared" si="345"/>
        <v>158.12244897959184</v>
      </c>
      <c r="AV108" s="38">
        <f>BCA_Model_Annual!$R$19</f>
        <v>159.77777777777777</v>
      </c>
      <c r="AW108" s="23">
        <f t="shared" ref="AW108:AY109" si="346">AV108</f>
        <v>159.77777777777777</v>
      </c>
      <c r="AX108" s="23">
        <f t="shared" si="346"/>
        <v>159.77777777777777</v>
      </c>
      <c r="AY108" s="23">
        <f t="shared" si="346"/>
        <v>159.77777777777777</v>
      </c>
      <c r="AZ108" s="38">
        <f>BCA_Model_Annual!$S$19</f>
        <v>160.44594594594594</v>
      </c>
      <c r="BA108" s="23">
        <f t="shared" ref="BA108:BC109" si="347">AZ108</f>
        <v>160.44594594594594</v>
      </c>
      <c r="BB108" s="23">
        <f t="shared" si="347"/>
        <v>160.44594594594594</v>
      </c>
      <c r="BC108" s="23">
        <f t="shared" si="347"/>
        <v>160.44594594594594</v>
      </c>
      <c r="BD108" s="38">
        <f>BCA_Model_Annual!$T$19</f>
        <v>156</v>
      </c>
      <c r="BE108" s="23">
        <f t="shared" ref="BE108:BG109" si="348">BD108</f>
        <v>156</v>
      </c>
      <c r="BF108" s="23">
        <f t="shared" si="348"/>
        <v>156</v>
      </c>
      <c r="BG108" s="23">
        <f t="shared" si="348"/>
        <v>156</v>
      </c>
      <c r="BH108" s="38">
        <f>BCA_Model_Annual!$U$19</f>
        <v>150.86666666666667</v>
      </c>
      <c r="BI108" s="23">
        <f t="shared" ref="BI108:BK109" si="349">BH108</f>
        <v>150.86666666666667</v>
      </c>
      <c r="BJ108" s="23">
        <f t="shared" si="349"/>
        <v>150.86666666666667</v>
      </c>
      <c r="BK108" s="23">
        <f t="shared" si="349"/>
        <v>150.86666666666667</v>
      </c>
      <c r="BL108" s="38">
        <f>BCA_Model_Annual!$V$19</f>
        <v>162.375</v>
      </c>
      <c r="BM108" s="23">
        <f t="shared" ref="BM108:BO109" si="350">BL108</f>
        <v>162.375</v>
      </c>
      <c r="BN108" s="23">
        <f t="shared" si="350"/>
        <v>162.375</v>
      </c>
      <c r="BO108" s="23">
        <f t="shared" si="350"/>
        <v>162.375</v>
      </c>
      <c r="BP108" s="38">
        <f>BCA_Model_Annual!$W$19</f>
        <v>160</v>
      </c>
      <c r="BQ108" s="23">
        <f t="shared" ref="BQ108:BS109" si="351">BP108</f>
        <v>160</v>
      </c>
      <c r="BR108" s="23">
        <f t="shared" si="351"/>
        <v>160</v>
      </c>
      <c r="BS108" s="23">
        <f t="shared" si="351"/>
        <v>160</v>
      </c>
      <c r="BT108" s="23">
        <f t="shared" ref="BT108:CA109" si="352">BS108</f>
        <v>160</v>
      </c>
      <c r="BU108" s="23">
        <f t="shared" si="352"/>
        <v>160</v>
      </c>
      <c r="BV108" s="23">
        <f t="shared" si="352"/>
        <v>160</v>
      </c>
      <c r="BW108" s="23">
        <f t="shared" si="352"/>
        <v>160</v>
      </c>
      <c r="BX108" s="23">
        <f t="shared" si="352"/>
        <v>160</v>
      </c>
      <c r="BY108" s="23">
        <f t="shared" si="352"/>
        <v>160</v>
      </c>
      <c r="BZ108" s="23">
        <f t="shared" si="352"/>
        <v>160</v>
      </c>
      <c r="CA108" s="23">
        <f t="shared" si="352"/>
        <v>160</v>
      </c>
      <c r="CB108" s="23">
        <f t="shared" ref="CB108:CB109" si="353">CA108</f>
        <v>160</v>
      </c>
      <c r="CC108" s="23">
        <f t="shared" ref="CC108:CC109" si="354">CB108</f>
        <v>160</v>
      </c>
      <c r="CD108" s="23">
        <f t="shared" ref="CD108:CD109" si="355">CC108</f>
        <v>160</v>
      </c>
      <c r="CE108" s="23">
        <f t="shared" ref="CE108:CE109" si="356">CD108</f>
        <v>160</v>
      </c>
      <c r="CF108" s="23">
        <f>Q108</f>
        <v>160</v>
      </c>
      <c r="CG108" s="23">
        <f t="shared" ref="CG108:CG109" si="357">CF108</f>
        <v>160</v>
      </c>
      <c r="CH108" s="23">
        <f t="shared" ref="CH108:CH109" si="358">CG108</f>
        <v>160</v>
      </c>
      <c r="CI108" s="23">
        <f t="shared" ref="CI108:CI109" si="359">CH108</f>
        <v>160</v>
      </c>
      <c r="CJ108" s="566">
        <f>$R108</f>
        <v>160</v>
      </c>
      <c r="CK108" s="566">
        <f t="shared" ref="CK108:CM108" si="360">$R108</f>
        <v>160</v>
      </c>
      <c r="CL108" s="566">
        <f t="shared" si="360"/>
        <v>160</v>
      </c>
      <c r="CM108" s="566">
        <f t="shared" si="360"/>
        <v>160</v>
      </c>
    </row>
    <row r="109" spans="1:92" s="5" customFormat="1">
      <c r="A109" s="1" t="s">
        <v>12</v>
      </c>
      <c r="B109" s="315">
        <f>BCA_Model_Annual!L38+B163</f>
        <v>0.10685596989394458</v>
      </c>
      <c r="C109" s="315">
        <f>BCA_Model_Annual!M38+C163</f>
        <v>0.10436895322615844</v>
      </c>
      <c r="D109" s="315">
        <f>BCA_Model_Annual!N38+D163</f>
        <v>0.10216700531224755</v>
      </c>
      <c r="E109" s="315">
        <f>BCA_Model_Annual!O38+E163</f>
        <v>0.10128764877688373</v>
      </c>
      <c r="F109" s="315">
        <f>BCA_Model_Annual!P38+F163</f>
        <v>0.10099997796434632</v>
      </c>
      <c r="G109" s="315">
        <f>BCA_Model_Annual!Q38+G163</f>
        <v>9.9071103065110189E-2</v>
      </c>
      <c r="H109" s="315">
        <f>BCA_Model_Annual!R38+H163</f>
        <v>0.10019646614712756</v>
      </c>
      <c r="I109" s="315">
        <f>BCA_Model_Annual!S38+I163</f>
        <v>8.1775437476729967E-2</v>
      </c>
      <c r="J109" s="315">
        <f>BCA_Model_Annual!T38+J163</f>
        <v>8.0904407329397687E-2</v>
      </c>
      <c r="K109" s="315">
        <f>BCA_Model_Annual!U38+K163</f>
        <v>6.9663396857325727E-2</v>
      </c>
      <c r="L109" s="315">
        <f>BCA_Model_Annual!V38+L163</f>
        <v>6.8618934626362676E-2</v>
      </c>
      <c r="M109" s="315">
        <f>BCA_Model_Annual!W38+M163</f>
        <v>3.4421860450181418E-2</v>
      </c>
      <c r="N109" s="315">
        <f>BCA_Model_Annual!X38+N163</f>
        <v>2.9711145808311315E-2</v>
      </c>
      <c r="O109" s="315">
        <f>BCA_Model_Annual!Y38+O163</f>
        <v>2.3922153379438003E-2</v>
      </c>
      <c r="P109" s="315">
        <f>BCA_Model_Annual!Z38+P163</f>
        <v>2.7601966414600779E-2</v>
      </c>
      <c r="Q109" s="315">
        <f>BCA_Model_Annual!AA38+Q163</f>
        <v>2.1830253847959492E-2</v>
      </c>
      <c r="R109" s="315">
        <f>BCA_Model_Annual!AB38+R163</f>
        <v>2.0796624929571673E-2</v>
      </c>
      <c r="S109" s="315">
        <f>BCA_Model_Annual!AC38+S163</f>
        <v>2.6087686374285123E-2</v>
      </c>
      <c r="T109" s="315">
        <f>BCA_Model_Annual!AD38+T163</f>
        <v>2.5606919358635055E-2</v>
      </c>
      <c r="U109" s="315">
        <f>BCA_Model_Annual!AE38+U163</f>
        <v>0</v>
      </c>
      <c r="V109" s="315">
        <f>BCA_Model_Annual!AF38+V163</f>
        <v>0</v>
      </c>
      <c r="X109" s="320">
        <f>BCA_Model_Annual!$L$38+X163</f>
        <v>0.10685596989394458</v>
      </c>
      <c r="Y109" s="321">
        <f t="shared" si="340"/>
        <v>0.10685596989394458</v>
      </c>
      <c r="Z109" s="321">
        <f t="shared" si="340"/>
        <v>0.10685596989394458</v>
      </c>
      <c r="AA109" s="321">
        <f t="shared" si="340"/>
        <v>0.10685596989394458</v>
      </c>
      <c r="AB109" s="320">
        <f>BCA_Model_Annual!$M$38+AB163</f>
        <v>0.10436895322615844</v>
      </c>
      <c r="AC109" s="321">
        <f t="shared" si="341"/>
        <v>0.10436895322615844</v>
      </c>
      <c r="AD109" s="321">
        <f t="shared" si="341"/>
        <v>0.10436895322615844</v>
      </c>
      <c r="AE109" s="321">
        <f t="shared" si="341"/>
        <v>0.10436895322615844</v>
      </c>
      <c r="AF109" s="320">
        <f>BCA_Model_Annual!$N$38+AF163</f>
        <v>0.10216700531224755</v>
      </c>
      <c r="AG109" s="321">
        <f t="shared" si="342"/>
        <v>0.10216700531224755</v>
      </c>
      <c r="AH109" s="321">
        <f t="shared" si="342"/>
        <v>0.10216700531224755</v>
      </c>
      <c r="AI109" s="321">
        <f t="shared" si="342"/>
        <v>0.10216700531224755</v>
      </c>
      <c r="AJ109" s="320">
        <f>BCA_Model_Annual!$O$38+AJ163</f>
        <v>0.10128764877688373</v>
      </c>
      <c r="AK109" s="321">
        <f t="shared" si="343"/>
        <v>0.10128764877688373</v>
      </c>
      <c r="AL109" s="321">
        <f t="shared" si="343"/>
        <v>0.10128764877688373</v>
      </c>
      <c r="AM109" s="321">
        <f t="shared" si="343"/>
        <v>0.10128764877688373</v>
      </c>
      <c r="AN109" s="320">
        <f>BCA_Model_Annual!$P$38+AN163</f>
        <v>0.10099997796434632</v>
      </c>
      <c r="AO109" s="321">
        <f t="shared" si="344"/>
        <v>0.10099997796434632</v>
      </c>
      <c r="AP109" s="321">
        <f t="shared" si="344"/>
        <v>0.10099997796434632</v>
      </c>
      <c r="AQ109" s="321">
        <f t="shared" si="344"/>
        <v>0.10099997796434632</v>
      </c>
      <c r="AR109" s="320">
        <f>BCA_Model_Annual!$Q$38+AR163</f>
        <v>9.9071103065110189E-2</v>
      </c>
      <c r="AS109" s="321">
        <f t="shared" si="345"/>
        <v>9.9071103065110189E-2</v>
      </c>
      <c r="AT109" s="321">
        <f t="shared" si="345"/>
        <v>9.9071103065110189E-2</v>
      </c>
      <c r="AU109" s="321">
        <f t="shared" si="345"/>
        <v>9.9071103065110189E-2</v>
      </c>
      <c r="AV109" s="320">
        <f>BCA_Model_Annual!$R$38+AV163</f>
        <v>0.10019646614712756</v>
      </c>
      <c r="AW109" s="321">
        <f t="shared" si="346"/>
        <v>0.10019646614712756</v>
      </c>
      <c r="AX109" s="321">
        <f t="shared" si="346"/>
        <v>0.10019646614712756</v>
      </c>
      <c r="AY109" s="321">
        <f t="shared" si="346"/>
        <v>0.10019646614712756</v>
      </c>
      <c r="AZ109" s="320">
        <f>BCA_Model_Annual!$S$38+AZ163</f>
        <v>8.1775437476729967E-2</v>
      </c>
      <c r="BA109" s="321">
        <f t="shared" si="347"/>
        <v>8.1775437476729967E-2</v>
      </c>
      <c r="BB109" s="321">
        <f t="shared" si="347"/>
        <v>8.1775437476729967E-2</v>
      </c>
      <c r="BC109" s="321">
        <f t="shared" si="347"/>
        <v>8.1775437476729967E-2</v>
      </c>
      <c r="BD109" s="320">
        <f>BCA_Model_Annual!$T$38+BD163</f>
        <v>8.0904407329397687E-2</v>
      </c>
      <c r="BE109" s="321">
        <f t="shared" si="348"/>
        <v>8.0904407329397687E-2</v>
      </c>
      <c r="BF109" s="321">
        <f t="shared" si="348"/>
        <v>8.0904407329397687E-2</v>
      </c>
      <c r="BG109" s="321">
        <f t="shared" si="348"/>
        <v>8.0904407329397687E-2</v>
      </c>
      <c r="BH109" s="320">
        <f>BCA_Model_Annual!$U$38+BH163</f>
        <v>6.9663396857325727E-2</v>
      </c>
      <c r="BI109" s="321">
        <f t="shared" si="349"/>
        <v>6.9663396857325727E-2</v>
      </c>
      <c r="BJ109" s="321">
        <f t="shared" si="349"/>
        <v>6.9663396857325727E-2</v>
      </c>
      <c r="BK109" s="321">
        <f t="shared" si="349"/>
        <v>6.9663396857325727E-2</v>
      </c>
      <c r="BL109" s="320">
        <f>BCA_Model_Annual!$V$38+BL163</f>
        <v>6.8618934626362676E-2</v>
      </c>
      <c r="BM109" s="321">
        <f t="shared" si="350"/>
        <v>6.8618934626362676E-2</v>
      </c>
      <c r="BN109" s="321">
        <f t="shared" si="350"/>
        <v>6.8618934626362676E-2</v>
      </c>
      <c r="BO109" s="321">
        <f t="shared" si="350"/>
        <v>6.8618934626362676E-2</v>
      </c>
      <c r="BP109" s="320">
        <f>BCA_Model_Annual!$W$38+BP163</f>
        <v>3.4421860450181418E-2</v>
      </c>
      <c r="BQ109" s="321">
        <f t="shared" si="351"/>
        <v>3.4421860450181418E-2</v>
      </c>
      <c r="BR109" s="321">
        <f t="shared" si="351"/>
        <v>3.4421860450181418E-2</v>
      </c>
      <c r="BS109" s="321">
        <f>BR109</f>
        <v>3.4421860450181418E-2</v>
      </c>
      <c r="BT109" s="321">
        <f t="shared" si="352"/>
        <v>3.4421860450181418E-2</v>
      </c>
      <c r="BU109" s="321">
        <f t="shared" si="352"/>
        <v>3.4421860450181418E-2</v>
      </c>
      <c r="BV109" s="321">
        <f t="shared" si="352"/>
        <v>3.4421860450181418E-2</v>
      </c>
      <c r="BW109" s="321">
        <f t="shared" si="352"/>
        <v>3.4421860450181418E-2</v>
      </c>
      <c r="BX109" s="321">
        <f>O109</f>
        <v>2.3922153379438003E-2</v>
      </c>
      <c r="BY109" s="321">
        <f t="shared" si="352"/>
        <v>2.3922153379438003E-2</v>
      </c>
      <c r="BZ109" s="321">
        <f t="shared" si="352"/>
        <v>2.3922153379438003E-2</v>
      </c>
      <c r="CA109" s="319">
        <f t="shared" si="352"/>
        <v>2.3922153379438003E-2</v>
      </c>
      <c r="CB109" s="321">
        <f t="shared" si="353"/>
        <v>2.3922153379438003E-2</v>
      </c>
      <c r="CC109" s="321">
        <f t="shared" si="354"/>
        <v>2.3922153379438003E-2</v>
      </c>
      <c r="CD109" s="321">
        <f t="shared" si="355"/>
        <v>2.3922153379438003E-2</v>
      </c>
      <c r="CE109" s="321">
        <f t="shared" si="356"/>
        <v>2.3922153379438003E-2</v>
      </c>
      <c r="CF109" s="321">
        <f>Q109</f>
        <v>2.1830253847959492E-2</v>
      </c>
      <c r="CG109" s="321">
        <f t="shared" si="357"/>
        <v>2.1830253847959492E-2</v>
      </c>
      <c r="CH109" s="321">
        <f t="shared" si="358"/>
        <v>2.1830253847959492E-2</v>
      </c>
      <c r="CI109" s="321">
        <f t="shared" si="359"/>
        <v>2.1830253847959492E-2</v>
      </c>
      <c r="CJ109" s="567">
        <f>$Q109</f>
        <v>2.1830253847959492E-2</v>
      </c>
      <c r="CK109" s="567">
        <f t="shared" ref="CK109:CM109" si="361">$Q109</f>
        <v>2.1830253847959492E-2</v>
      </c>
      <c r="CL109" s="567">
        <f t="shared" si="361"/>
        <v>2.1830253847959492E-2</v>
      </c>
      <c r="CM109" s="567">
        <f t="shared" si="361"/>
        <v>2.1830253847959492E-2</v>
      </c>
    </row>
    <row r="110" spans="1:92" s="5" customFormat="1">
      <c r="A110" s="12" t="s">
        <v>510</v>
      </c>
      <c r="B110" s="108">
        <f>IF(B109&gt;0,(B108/(1+B109)),B108)</f>
        <v>133.39463549426026</v>
      </c>
      <c r="C110" s="108">
        <f t="shared" ref="C110:V110" si="362">IF(C109&gt;0,(C108/(1+C109)),B110)</f>
        <v>141.74089747639491</v>
      </c>
      <c r="D110" s="108">
        <f t="shared" si="362"/>
        <v>139.98709440843348</v>
      </c>
      <c r="E110" s="108">
        <f t="shared" si="362"/>
        <v>141.38366284737847</v>
      </c>
      <c r="F110" s="108">
        <f t="shared" si="362"/>
        <v>142.68021093093625</v>
      </c>
      <c r="G110" s="108">
        <f t="shared" si="362"/>
        <v>143.86917146544658</v>
      </c>
      <c r="H110" s="108">
        <f t="shared" si="362"/>
        <v>145.22658697252254</v>
      </c>
      <c r="I110" s="108">
        <f t="shared" si="362"/>
        <v>148.3172388533709</v>
      </c>
      <c r="J110" s="108">
        <f t="shared" si="362"/>
        <v>144.32358582516184</v>
      </c>
      <c r="K110" s="108">
        <f t="shared" si="362"/>
        <v>141.04125382799242</v>
      </c>
      <c r="L110" s="108">
        <f t="shared" si="362"/>
        <v>151.94845864936281</v>
      </c>
      <c r="M110" s="108">
        <f t="shared" si="362"/>
        <v>154.67577215582804</v>
      </c>
      <c r="N110" s="108">
        <f t="shared" si="362"/>
        <v>155.38338169040782</v>
      </c>
      <c r="O110" s="108">
        <f t="shared" si="362"/>
        <v>156.26187935471722</v>
      </c>
      <c r="P110" s="108">
        <f t="shared" si="362"/>
        <v>155.70231006685881</v>
      </c>
      <c r="Q110" s="108">
        <f t="shared" si="362"/>
        <v>156.58177999474927</v>
      </c>
      <c r="R110" s="108">
        <f t="shared" si="362"/>
        <v>156.74033014268534</v>
      </c>
      <c r="S110" s="108">
        <f t="shared" si="362"/>
        <v>155.93209247580518</v>
      </c>
      <c r="T110" s="108">
        <f t="shared" si="362"/>
        <v>156.00518773806272</v>
      </c>
      <c r="U110" s="108">
        <f t="shared" si="362"/>
        <v>156.00518773806272</v>
      </c>
      <c r="V110" s="108">
        <f t="shared" si="362"/>
        <v>156.00518773806272</v>
      </c>
      <c r="X110" s="314">
        <f t="shared" ref="X110:BS110" si="363">X108/(1+X109)</f>
        <v>133.39463549426026</v>
      </c>
      <c r="Y110" s="314">
        <f t="shared" si="363"/>
        <v>133.39463549426026</v>
      </c>
      <c r="Z110" s="314">
        <f t="shared" si="363"/>
        <v>133.39463549426026</v>
      </c>
      <c r="AA110" s="314">
        <f t="shared" si="363"/>
        <v>133.39463549426026</v>
      </c>
      <c r="AB110" s="314">
        <f t="shared" si="363"/>
        <v>141.74089747639491</v>
      </c>
      <c r="AC110" s="314">
        <f t="shared" si="363"/>
        <v>141.74089747639491</v>
      </c>
      <c r="AD110" s="314">
        <f t="shared" si="363"/>
        <v>141.74089747639491</v>
      </c>
      <c r="AE110" s="314">
        <f t="shared" si="363"/>
        <v>141.74089747639491</v>
      </c>
      <c r="AF110" s="314">
        <f t="shared" si="363"/>
        <v>139.98709440843348</v>
      </c>
      <c r="AG110" s="314">
        <f t="shared" si="363"/>
        <v>139.98709440843348</v>
      </c>
      <c r="AH110" s="314">
        <f t="shared" si="363"/>
        <v>139.98709440843348</v>
      </c>
      <c r="AI110" s="314">
        <f t="shared" si="363"/>
        <v>139.98709440843348</v>
      </c>
      <c r="AJ110" s="314">
        <f t="shared" si="363"/>
        <v>141.38366284737847</v>
      </c>
      <c r="AK110" s="314">
        <f t="shared" si="363"/>
        <v>141.38366284737847</v>
      </c>
      <c r="AL110" s="314">
        <f t="shared" si="363"/>
        <v>141.38366284737847</v>
      </c>
      <c r="AM110" s="314">
        <f t="shared" si="363"/>
        <v>141.38366284737847</v>
      </c>
      <c r="AN110" s="314">
        <f t="shared" si="363"/>
        <v>142.68021093093625</v>
      </c>
      <c r="AO110" s="314">
        <f t="shared" si="363"/>
        <v>142.68021093093625</v>
      </c>
      <c r="AP110" s="314">
        <f t="shared" si="363"/>
        <v>142.68021093093625</v>
      </c>
      <c r="AQ110" s="314">
        <f t="shared" si="363"/>
        <v>142.68021093093625</v>
      </c>
      <c r="AR110" s="314">
        <f t="shared" si="363"/>
        <v>143.86917146544658</v>
      </c>
      <c r="AS110" s="314">
        <f t="shared" si="363"/>
        <v>143.86917146544658</v>
      </c>
      <c r="AT110" s="314">
        <f t="shared" si="363"/>
        <v>143.86917146544658</v>
      </c>
      <c r="AU110" s="314">
        <f t="shared" si="363"/>
        <v>143.86917146544658</v>
      </c>
      <c r="AV110" s="314">
        <f t="shared" si="363"/>
        <v>145.22658697252254</v>
      </c>
      <c r="AW110" s="314">
        <f t="shared" si="363"/>
        <v>145.22658697252254</v>
      </c>
      <c r="AX110" s="314">
        <f t="shared" si="363"/>
        <v>145.22658697252254</v>
      </c>
      <c r="AY110" s="314">
        <f t="shared" si="363"/>
        <v>145.22658697252254</v>
      </c>
      <c r="AZ110" s="314">
        <f t="shared" si="363"/>
        <v>148.3172388533709</v>
      </c>
      <c r="BA110" s="314">
        <f t="shared" si="363"/>
        <v>148.3172388533709</v>
      </c>
      <c r="BB110" s="314">
        <f t="shared" si="363"/>
        <v>148.3172388533709</v>
      </c>
      <c r="BC110" s="314">
        <f t="shared" si="363"/>
        <v>148.3172388533709</v>
      </c>
      <c r="BD110" s="314">
        <f t="shared" si="363"/>
        <v>144.32358582516184</v>
      </c>
      <c r="BE110" s="314">
        <f t="shared" si="363"/>
        <v>144.32358582516184</v>
      </c>
      <c r="BF110" s="314">
        <f t="shared" si="363"/>
        <v>144.32358582516184</v>
      </c>
      <c r="BG110" s="314">
        <f t="shared" si="363"/>
        <v>144.32358582516184</v>
      </c>
      <c r="BH110" s="314">
        <f t="shared" si="363"/>
        <v>141.04125382799242</v>
      </c>
      <c r="BI110" s="314">
        <f t="shared" si="363"/>
        <v>141.04125382799242</v>
      </c>
      <c r="BJ110" s="314">
        <f t="shared" si="363"/>
        <v>141.04125382799242</v>
      </c>
      <c r="BK110" s="314">
        <f t="shared" si="363"/>
        <v>141.04125382799242</v>
      </c>
      <c r="BL110" s="314">
        <f t="shared" si="363"/>
        <v>151.94845864936281</v>
      </c>
      <c r="BM110" s="314">
        <f t="shared" si="363"/>
        <v>151.94845864936281</v>
      </c>
      <c r="BN110" s="314">
        <f t="shared" si="363"/>
        <v>151.94845864936281</v>
      </c>
      <c r="BO110" s="314">
        <f t="shared" si="363"/>
        <v>151.94845864936281</v>
      </c>
      <c r="BP110" s="314">
        <f t="shared" si="363"/>
        <v>154.67577215582804</v>
      </c>
      <c r="BQ110" s="314">
        <f t="shared" si="363"/>
        <v>154.67577215582804</v>
      </c>
      <c r="BR110" s="314">
        <f t="shared" si="363"/>
        <v>154.67577215582804</v>
      </c>
      <c r="BS110" s="314">
        <f t="shared" si="363"/>
        <v>154.67577215582804</v>
      </c>
      <c r="BT110" s="314">
        <f>BT108/(1+BT109)</f>
        <v>154.67577215582804</v>
      </c>
      <c r="BU110" s="314">
        <f>BU108/(1+BU109)</f>
        <v>154.67577215582804</v>
      </c>
      <c r="BV110" s="314">
        <f>BV108/(1+BV109)</f>
        <v>154.67577215582804</v>
      </c>
      <c r="BW110" s="314">
        <f>BW108/(1+BW109)</f>
        <v>154.67577215582804</v>
      </c>
      <c r="BX110" s="314">
        <f t="shared" ref="BX110:CA110" si="364">BX108/(1+BX109)</f>
        <v>156.26187935471722</v>
      </c>
      <c r="BY110" s="314">
        <f t="shared" si="364"/>
        <v>156.26187935471722</v>
      </c>
      <c r="BZ110" s="314">
        <f t="shared" si="364"/>
        <v>156.26187935471722</v>
      </c>
      <c r="CA110" s="314">
        <f t="shared" si="364"/>
        <v>156.26187935471722</v>
      </c>
      <c r="CB110" s="314">
        <f t="shared" ref="CB110:CE110" si="365">CB108/(1+CB109)</f>
        <v>156.26187935471722</v>
      </c>
      <c r="CC110" s="314">
        <f t="shared" si="365"/>
        <v>156.26187935471722</v>
      </c>
      <c r="CD110" s="314">
        <f t="shared" si="365"/>
        <v>156.26187935471722</v>
      </c>
      <c r="CE110" s="314">
        <f t="shared" si="365"/>
        <v>156.26187935471722</v>
      </c>
      <c r="CF110" s="314">
        <f t="shared" ref="CF110:CI110" si="366">CF108/(1+CF109)</f>
        <v>156.58177999474927</v>
      </c>
      <c r="CG110" s="314">
        <f t="shared" si="366"/>
        <v>156.58177999474927</v>
      </c>
      <c r="CH110" s="314">
        <f t="shared" si="366"/>
        <v>156.58177999474927</v>
      </c>
      <c r="CI110" s="314">
        <f t="shared" si="366"/>
        <v>156.58177999474927</v>
      </c>
      <c r="CJ110" s="108">
        <f t="shared" ref="CJ110" si="367">IF(CJ109&gt;0,(CJ108/(1+CJ109)),CI110)</f>
        <v>156.58177999474927</v>
      </c>
      <c r="CK110" s="108">
        <f t="shared" ref="CK110" si="368">IF(CK109&gt;0,(CK108/(1+CK109)),CJ110)</f>
        <v>156.58177999474927</v>
      </c>
      <c r="CL110" s="108">
        <f t="shared" ref="CL110" si="369">IF(CL109&gt;0,(CL108/(1+CL109)),CK110)</f>
        <v>156.58177999474927</v>
      </c>
      <c r="CM110" s="108">
        <f t="shared" ref="CM110" si="370">IF(CM109&gt;0,(CM108/(1+CM109)),CL110)</f>
        <v>156.58177999474927</v>
      </c>
    </row>
    <row r="111" spans="1:92" s="5" customFormat="1">
      <c r="A111" s="12"/>
      <c r="B111" s="308"/>
      <c r="C111" s="308"/>
      <c r="D111" s="308"/>
      <c r="E111" s="308"/>
      <c r="F111" s="308"/>
      <c r="G111" s="308"/>
      <c r="H111" s="308"/>
      <c r="I111" s="40"/>
      <c r="J111" s="40"/>
      <c r="K111" s="40"/>
      <c r="L111" s="40"/>
      <c r="M111" s="40"/>
      <c r="N111" s="308"/>
      <c r="O111" s="308"/>
      <c r="P111" s="308"/>
      <c r="Q111" s="308"/>
      <c r="R111" s="308"/>
      <c r="S111" s="308"/>
      <c r="T111" s="308"/>
      <c r="U111" s="308"/>
      <c r="V111" s="308"/>
      <c r="X111" s="308"/>
      <c r="Y111" s="308"/>
      <c r="Z111" s="308"/>
      <c r="AA111" s="308"/>
      <c r="AB111" s="308"/>
      <c r="AC111" s="308"/>
      <c r="AD111" s="308"/>
      <c r="AE111" s="308"/>
      <c r="AF111" s="308"/>
      <c r="AG111" s="308"/>
      <c r="AH111" s="308"/>
      <c r="AI111" s="308"/>
      <c r="AJ111" s="308"/>
      <c r="AK111" s="308"/>
      <c r="AL111" s="308"/>
      <c r="AM111" s="308"/>
      <c r="AN111" s="308"/>
      <c r="AO111" s="308"/>
      <c r="AP111" s="308"/>
      <c r="AQ111" s="308"/>
      <c r="AR111" s="308"/>
      <c r="AS111" s="308"/>
      <c r="AT111" s="308"/>
      <c r="AU111" s="318"/>
      <c r="AV111" s="308"/>
      <c r="AW111" s="308"/>
      <c r="AX111" s="308"/>
      <c r="AY111" s="318"/>
      <c r="AZ111" s="40"/>
      <c r="BA111" s="108"/>
      <c r="BB111" s="40"/>
      <c r="BC111" s="108"/>
      <c r="BD111" s="40"/>
      <c r="BE111" s="40"/>
      <c r="BF111" s="40"/>
      <c r="BG111" s="108"/>
      <c r="BH111" s="40"/>
      <c r="BI111" s="40"/>
      <c r="BJ111" s="40"/>
      <c r="BK111" s="108"/>
      <c r="BL111" s="40"/>
      <c r="BM111" s="308"/>
      <c r="BN111" s="308"/>
      <c r="BO111" s="318"/>
      <c r="BP111" s="314"/>
      <c r="BQ111" s="308"/>
      <c r="BR111" s="308"/>
      <c r="BS111" s="318"/>
      <c r="BT111" s="318"/>
      <c r="BU111" s="318"/>
      <c r="BV111" s="318"/>
      <c r="BW111" s="318"/>
      <c r="BX111" s="318"/>
      <c r="BY111" s="318"/>
      <c r="BZ111" s="318"/>
      <c r="CA111" s="318"/>
      <c r="CB111" s="318"/>
      <c r="CC111" s="318"/>
      <c r="CD111" s="318"/>
      <c r="CE111" s="318"/>
      <c r="CF111" s="318"/>
      <c r="CG111" s="318"/>
      <c r="CH111" s="318"/>
      <c r="CI111" s="318"/>
      <c r="CJ111" s="308"/>
      <c r="CK111" s="308"/>
      <c r="CL111" s="308"/>
      <c r="CM111" s="308"/>
    </row>
    <row r="112" spans="1:92" s="5" customFormat="1">
      <c r="A112" s="12" t="s">
        <v>1</v>
      </c>
      <c r="B112" s="43">
        <v>0</v>
      </c>
      <c r="C112" s="43">
        <v>0</v>
      </c>
      <c r="D112" s="43">
        <v>0</v>
      </c>
      <c r="E112" s="43">
        <v>0</v>
      </c>
      <c r="F112" s="43">
        <v>0</v>
      </c>
      <c r="G112" s="43">
        <v>0</v>
      </c>
      <c r="H112" s="43">
        <v>0</v>
      </c>
      <c r="I112" s="43">
        <v>0</v>
      </c>
      <c r="J112" s="43">
        <v>0</v>
      </c>
      <c r="K112" s="43">
        <v>0</v>
      </c>
      <c r="L112" s="72">
        <f>SUM(BL112:BO112)</f>
        <v>1100</v>
      </c>
      <c r="M112" s="72">
        <f>SUM(BP112:BS112)</f>
        <v>1283</v>
      </c>
      <c r="N112" s="72">
        <f>SUM(BT112:BW112)</f>
        <v>1000</v>
      </c>
      <c r="O112" s="72">
        <f>SUM(BX112:CA112)</f>
        <v>1500</v>
      </c>
      <c r="P112" s="72">
        <f>SUM(CB112:CE112)</f>
        <v>2775</v>
      </c>
      <c r="Q112" s="72">
        <f>SUM(CF112:CI112)</f>
        <v>3500</v>
      </c>
      <c r="R112" s="562">
        <f t="shared" ref="R112" si="371">SUM(CJ112:CM112)</f>
        <v>2500</v>
      </c>
      <c r="S112" s="43">
        <v>1250</v>
      </c>
      <c r="T112" s="43">
        <v>500</v>
      </c>
      <c r="U112" s="43">
        <v>500</v>
      </c>
      <c r="V112" s="43">
        <v>500</v>
      </c>
      <c r="X112" s="82">
        <v>0</v>
      </c>
      <c r="Y112" s="82">
        <v>0</v>
      </c>
      <c r="Z112" s="82">
        <v>0</v>
      </c>
      <c r="AA112" s="82">
        <v>0</v>
      </c>
      <c r="AB112" s="82">
        <v>0</v>
      </c>
      <c r="AC112" s="82">
        <v>0</v>
      </c>
      <c r="AD112" s="82">
        <v>0</v>
      </c>
      <c r="AE112" s="82">
        <v>0</v>
      </c>
      <c r="AF112" s="82">
        <v>0</v>
      </c>
      <c r="AG112" s="82">
        <v>0</v>
      </c>
      <c r="AH112" s="82">
        <v>0</v>
      </c>
      <c r="AI112" s="82">
        <v>0</v>
      </c>
      <c r="AJ112" s="82">
        <v>0</v>
      </c>
      <c r="AK112" s="82">
        <v>0</v>
      </c>
      <c r="AL112" s="82">
        <v>0</v>
      </c>
      <c r="AM112" s="82">
        <v>0</v>
      </c>
      <c r="AN112" s="82">
        <v>0</v>
      </c>
      <c r="AO112" s="82">
        <v>0</v>
      </c>
      <c r="AP112" s="82">
        <v>0</v>
      </c>
      <c r="AQ112" s="82">
        <v>0</v>
      </c>
      <c r="AR112" s="82">
        <v>0</v>
      </c>
      <c r="AS112" s="82">
        <v>0</v>
      </c>
      <c r="AT112" s="82">
        <v>0</v>
      </c>
      <c r="AU112" s="82">
        <v>0</v>
      </c>
      <c r="AV112" s="82">
        <v>0</v>
      </c>
      <c r="AW112" s="82">
        <v>0</v>
      </c>
      <c r="AX112" s="82">
        <v>0</v>
      </c>
      <c r="AY112" s="82">
        <v>0</v>
      </c>
      <c r="AZ112" s="82">
        <v>0</v>
      </c>
      <c r="BA112" s="82">
        <v>0</v>
      </c>
      <c r="BB112" s="82">
        <v>0</v>
      </c>
      <c r="BC112" s="82">
        <v>0</v>
      </c>
      <c r="BD112" s="82">
        <v>0</v>
      </c>
      <c r="BE112" s="82">
        <v>0</v>
      </c>
      <c r="BF112" s="82">
        <v>0</v>
      </c>
      <c r="BG112" s="82">
        <v>0</v>
      </c>
      <c r="BH112" s="82">
        <v>0</v>
      </c>
      <c r="BI112" s="82">
        <v>0</v>
      </c>
      <c r="BJ112" s="82">
        <v>0</v>
      </c>
      <c r="BK112" s="82">
        <v>0</v>
      </c>
      <c r="BL112" s="82">
        <f>1100/4</f>
        <v>275</v>
      </c>
      <c r="BM112" s="82">
        <f>1100/4</f>
        <v>275</v>
      </c>
      <c r="BN112" s="82">
        <f>1100/4</f>
        <v>275</v>
      </c>
      <c r="BO112" s="82">
        <f>1100/4</f>
        <v>275</v>
      </c>
      <c r="BP112" s="82">
        <v>320</v>
      </c>
      <c r="BQ112" s="82">
        <v>320</v>
      </c>
      <c r="BR112" s="82">
        <v>320</v>
      </c>
      <c r="BS112" s="82">
        <v>323</v>
      </c>
      <c r="BT112" s="82">
        <f>1000/4</f>
        <v>250</v>
      </c>
      <c r="BU112" s="82">
        <f>1000/4</f>
        <v>250</v>
      </c>
      <c r="BV112" s="82">
        <f>1000/4</f>
        <v>250</v>
      </c>
      <c r="BW112" s="82">
        <f>1000/4</f>
        <v>250</v>
      </c>
      <c r="BX112" s="82">
        <v>375</v>
      </c>
      <c r="BY112" s="82">
        <v>375</v>
      </c>
      <c r="BZ112" s="82">
        <v>375</v>
      </c>
      <c r="CA112" s="82">
        <v>375</v>
      </c>
      <c r="CB112" s="82">
        <v>375</v>
      </c>
      <c r="CC112" s="82">
        <v>800</v>
      </c>
      <c r="CD112" s="82">
        <v>800</v>
      </c>
      <c r="CE112" s="82">
        <v>800</v>
      </c>
      <c r="CF112" s="82">
        <f>3500/4</f>
        <v>875</v>
      </c>
      <c r="CG112" s="82">
        <f t="shared" ref="CG112:CI112" si="372">3500/4</f>
        <v>875</v>
      </c>
      <c r="CH112" s="82">
        <f t="shared" si="372"/>
        <v>875</v>
      </c>
      <c r="CI112" s="82">
        <f t="shared" si="372"/>
        <v>875</v>
      </c>
      <c r="CJ112" s="525">
        <v>625</v>
      </c>
      <c r="CK112" s="525">
        <v>625</v>
      </c>
      <c r="CL112" s="525">
        <v>625</v>
      </c>
      <c r="CM112" s="525">
        <v>625</v>
      </c>
    </row>
    <row r="113" spans="1:92" s="5" customFormat="1">
      <c r="A113" s="12"/>
      <c r="B113" s="308"/>
      <c r="C113" s="308"/>
      <c r="D113" s="308"/>
      <c r="E113" s="308"/>
      <c r="F113" s="308"/>
      <c r="G113" s="308"/>
      <c r="H113" s="308"/>
      <c r="I113" s="40"/>
      <c r="J113" s="40"/>
      <c r="K113" s="40"/>
      <c r="L113" s="40"/>
      <c r="M113" s="40"/>
      <c r="N113" s="308"/>
      <c r="O113" s="308"/>
      <c r="P113" s="308"/>
      <c r="Q113" s="308" t="s">
        <v>605</v>
      </c>
      <c r="R113" s="308" t="s">
        <v>605</v>
      </c>
      <c r="S113" s="308"/>
      <c r="T113" s="308"/>
      <c r="U113" s="308"/>
      <c r="V113" s="308"/>
      <c r="X113" s="308"/>
      <c r="Y113" s="308"/>
      <c r="Z113" s="308"/>
      <c r="AA113" s="308"/>
      <c r="AB113" s="308"/>
      <c r="AC113" s="308"/>
      <c r="AD113" s="308"/>
      <c r="AE113" s="308"/>
      <c r="AF113" s="308"/>
      <c r="AG113" s="308"/>
      <c r="AH113" s="308"/>
      <c r="AI113" s="308"/>
      <c r="AJ113" s="308"/>
      <c r="AK113" s="308"/>
      <c r="AL113" s="308"/>
      <c r="AM113" s="308"/>
      <c r="AN113" s="308"/>
      <c r="AO113" s="308"/>
      <c r="AP113" s="308"/>
      <c r="AQ113" s="308"/>
      <c r="AR113" s="308"/>
      <c r="AS113" s="308"/>
      <c r="AT113" s="308"/>
      <c r="AU113" s="308"/>
      <c r="AV113" s="308"/>
      <c r="AW113" s="308"/>
      <c r="AX113" s="308"/>
      <c r="AY113" s="308"/>
      <c r="AZ113" s="308"/>
      <c r="BA113" s="308"/>
      <c r="BB113" s="308"/>
      <c r="BC113" s="308"/>
      <c r="BD113" s="308"/>
      <c r="BE113" s="308"/>
      <c r="BF113" s="308"/>
      <c r="BG113" s="308"/>
      <c r="BH113" s="308"/>
      <c r="BI113" s="308"/>
      <c r="BJ113" s="308"/>
      <c r="BK113" s="308"/>
      <c r="BL113" s="308"/>
      <c r="BM113" s="308"/>
      <c r="BN113" s="308"/>
      <c r="BO113" s="308"/>
      <c r="BP113" s="308"/>
      <c r="BQ113" s="308"/>
      <c r="BR113" s="308"/>
      <c r="BS113" s="308"/>
      <c r="BT113" s="308"/>
      <c r="BU113" s="308"/>
      <c r="BV113" s="308"/>
      <c r="BW113" s="308"/>
      <c r="BX113" s="308"/>
      <c r="BY113" s="308"/>
      <c r="BZ113" s="308"/>
      <c r="CA113" s="308"/>
      <c r="CB113" s="308"/>
      <c r="CC113" s="308"/>
      <c r="CD113" s="308"/>
      <c r="CE113" s="308"/>
      <c r="CF113" s="308"/>
      <c r="CG113" s="308"/>
      <c r="CH113" s="308"/>
      <c r="CI113" s="308"/>
      <c r="CJ113" s="308"/>
      <c r="CK113" s="308"/>
      <c r="CL113" s="308"/>
      <c r="CM113" s="308"/>
    </row>
    <row r="114" spans="1:92" s="5" customFormat="1">
      <c r="A114" s="362" t="s">
        <v>548</v>
      </c>
      <c r="B114" s="363">
        <f t="shared" ref="B114:Q114" si="373">B106*B110+B112</f>
        <v>-266.78927098852051</v>
      </c>
      <c r="C114" s="363">
        <f t="shared" si="373"/>
        <v>708.70448738197456</v>
      </c>
      <c r="D114" s="363">
        <f t="shared" si="373"/>
        <v>139.98709440843348</v>
      </c>
      <c r="E114" s="363">
        <f t="shared" si="373"/>
        <v>226.21386055580678</v>
      </c>
      <c r="F114" s="363">
        <f t="shared" si="373"/>
        <v>85.608126558562972</v>
      </c>
      <c r="G114" s="363">
        <f t="shared" si="373"/>
        <v>230.19067434471577</v>
      </c>
      <c r="H114" s="363">
        <f t="shared" si="373"/>
        <v>87.13595218351476</v>
      </c>
      <c r="I114" s="363">
        <f t="shared" si="373"/>
        <v>-296.63447770674179</v>
      </c>
      <c r="J114" s="363">
        <f t="shared" si="373"/>
        <v>1731.8830299019421</v>
      </c>
      <c r="K114" s="363">
        <f t="shared" si="373"/>
        <v>2115.6188074198863</v>
      </c>
      <c r="L114" s="363">
        <f t="shared" si="373"/>
        <v>188.30924810382317</v>
      </c>
      <c r="M114" s="363">
        <f t="shared" si="373"/>
        <v>1283</v>
      </c>
      <c r="N114" s="363">
        <f t="shared" si="373"/>
        <v>1000</v>
      </c>
      <c r="O114" s="363">
        <f t="shared" si="373"/>
        <v>1500</v>
      </c>
      <c r="P114" s="363">
        <f t="shared" si="373"/>
        <v>2775</v>
      </c>
      <c r="Q114" s="363">
        <f t="shared" si="373"/>
        <v>3030.2546600157521</v>
      </c>
      <c r="R114" s="363">
        <f>R106*R110+R112</f>
        <v>2500</v>
      </c>
      <c r="S114" s="363">
        <f>S106*S110+S112</f>
        <v>1250</v>
      </c>
      <c r="T114" s="363">
        <f>T106*T110+T112</f>
        <v>500</v>
      </c>
      <c r="U114" s="363">
        <f>U106*U110+U112</f>
        <v>500</v>
      </c>
      <c r="V114" s="363">
        <f>V106*V110+V112</f>
        <v>500</v>
      </c>
      <c r="X114" s="363">
        <f>X106*X110+X112</f>
        <v>266.78927098852051</v>
      </c>
      <c r="Y114" s="363">
        <f t="shared" ref="Y114:BS114" si="374">Y106*Y110+Y112</f>
        <v>666.97317747130126</v>
      </c>
      <c r="Z114" s="363">
        <f t="shared" si="374"/>
        <v>-800.3678129655616</v>
      </c>
      <c r="AA114" s="363">
        <f t="shared" si="374"/>
        <v>-400.1839064827808</v>
      </c>
      <c r="AB114" s="363">
        <f t="shared" si="374"/>
        <v>283.48179495278981</v>
      </c>
      <c r="AC114" s="363">
        <f t="shared" si="374"/>
        <v>283.48179495278981</v>
      </c>
      <c r="AD114" s="363">
        <f t="shared" si="374"/>
        <v>0</v>
      </c>
      <c r="AE114" s="363">
        <f t="shared" si="374"/>
        <v>141.74089747639491</v>
      </c>
      <c r="AF114" s="363">
        <f t="shared" si="374"/>
        <v>139.98709440843348</v>
      </c>
      <c r="AG114" s="363">
        <f t="shared" si="374"/>
        <v>-139.98709440843348</v>
      </c>
      <c r="AH114" s="363">
        <f t="shared" si="374"/>
        <v>139.98709440843348</v>
      </c>
      <c r="AI114" s="363">
        <f t="shared" si="374"/>
        <v>0</v>
      </c>
      <c r="AJ114" s="363">
        <f t="shared" si="374"/>
        <v>127.24529656264093</v>
      </c>
      <c r="AK114" s="363">
        <f t="shared" si="374"/>
        <v>268.62895941001938</v>
      </c>
      <c r="AL114" s="363">
        <f t="shared" si="374"/>
        <v>-155.52202913211602</v>
      </c>
      <c r="AM114" s="363">
        <f t="shared" si="374"/>
        <v>-14.138366284737547</v>
      </c>
      <c r="AN114" s="363">
        <f t="shared" si="374"/>
        <v>128.41218983784293</v>
      </c>
      <c r="AO114" s="363">
        <f t="shared" si="374"/>
        <v>128.41218983784293</v>
      </c>
      <c r="AP114" s="363">
        <f t="shared" si="374"/>
        <v>-299.62844295496581</v>
      </c>
      <c r="AQ114" s="363">
        <f t="shared" si="374"/>
        <v>128.41218983784293</v>
      </c>
      <c r="AR114" s="363">
        <f t="shared" si="374"/>
        <v>129.48225431890222</v>
      </c>
      <c r="AS114" s="363">
        <f t="shared" si="374"/>
        <v>-158.25608861199095</v>
      </c>
      <c r="AT114" s="363">
        <f t="shared" si="374"/>
        <v>-302.12526007743753</v>
      </c>
      <c r="AU114" s="363">
        <f t="shared" si="374"/>
        <v>561.08976871524203</v>
      </c>
      <c r="AV114" s="363">
        <f t="shared" si="374"/>
        <v>275.93051524779315</v>
      </c>
      <c r="AW114" s="363">
        <f t="shared" si="374"/>
        <v>-450.20241961481958</v>
      </c>
      <c r="AX114" s="363">
        <f t="shared" si="374"/>
        <v>421.15710222031566</v>
      </c>
      <c r="AY114" s="363">
        <f t="shared" si="374"/>
        <v>-159.7492456697745</v>
      </c>
      <c r="AZ114" s="363">
        <f t="shared" si="374"/>
        <v>0</v>
      </c>
      <c r="BA114" s="363">
        <f t="shared" si="374"/>
        <v>0</v>
      </c>
      <c r="BB114" s="363">
        <f t="shared" si="374"/>
        <v>-148.3172388533709</v>
      </c>
      <c r="BC114" s="363">
        <f t="shared" si="374"/>
        <v>-148.3172388533709</v>
      </c>
      <c r="BD114" s="363">
        <f t="shared" si="374"/>
        <v>432.97075747548553</v>
      </c>
      <c r="BE114" s="363">
        <f t="shared" si="374"/>
        <v>288.64717165032368</v>
      </c>
      <c r="BF114" s="363">
        <f t="shared" si="374"/>
        <v>432.97075747548553</v>
      </c>
      <c r="BG114" s="363">
        <f t="shared" si="374"/>
        <v>577.29434330064737</v>
      </c>
      <c r="BH114" s="363">
        <f t="shared" si="374"/>
        <v>705.20626913996216</v>
      </c>
      <c r="BI114" s="363">
        <f t="shared" si="374"/>
        <v>423.12376148397726</v>
      </c>
      <c r="BJ114" s="363">
        <f t="shared" si="374"/>
        <v>564.16501531196968</v>
      </c>
      <c r="BK114" s="363">
        <f t="shared" si="374"/>
        <v>423.12376148397726</v>
      </c>
      <c r="BL114" s="363">
        <f t="shared" si="374"/>
        <v>275</v>
      </c>
      <c r="BM114" s="363">
        <f t="shared" si="374"/>
        <v>275</v>
      </c>
      <c r="BN114" s="363">
        <f t="shared" si="374"/>
        <v>275</v>
      </c>
      <c r="BO114" s="363">
        <f t="shared" si="374"/>
        <v>-636.69075189617683</v>
      </c>
      <c r="BP114" s="363">
        <f t="shared" si="374"/>
        <v>320</v>
      </c>
      <c r="BQ114" s="363">
        <f t="shared" si="374"/>
        <v>10.648455688343915</v>
      </c>
      <c r="BR114" s="363">
        <f t="shared" si="374"/>
        <v>320</v>
      </c>
      <c r="BS114" s="363">
        <f t="shared" si="374"/>
        <v>632.35154431165608</v>
      </c>
      <c r="BT114" s="363">
        <f>BT106*BT110+BT112</f>
        <v>250</v>
      </c>
      <c r="BU114" s="363">
        <f>BU106*BU110+BU112</f>
        <v>-678.05463293496825</v>
      </c>
      <c r="BV114" s="363">
        <f>BV106*BV110+BV112</f>
        <v>714.02731646748407</v>
      </c>
      <c r="BW114" s="363">
        <f>BW106*BW110+BW112</f>
        <v>714.02731646748407</v>
      </c>
      <c r="BX114" s="363">
        <f t="shared" ref="BX114:CE114" si="375">BX106*BX110+BX112</f>
        <v>375</v>
      </c>
      <c r="BY114" s="363">
        <f t="shared" si="375"/>
        <v>375</v>
      </c>
      <c r="BZ114" s="363">
        <f t="shared" si="375"/>
        <v>375</v>
      </c>
      <c r="CA114" s="363">
        <f t="shared" si="375"/>
        <v>375</v>
      </c>
      <c r="CB114" s="363">
        <f t="shared" si="375"/>
        <v>375</v>
      </c>
      <c r="CC114" s="363">
        <f t="shared" si="375"/>
        <v>800</v>
      </c>
      <c r="CD114" s="363">
        <f t="shared" si="375"/>
        <v>800</v>
      </c>
      <c r="CE114" s="363">
        <f t="shared" si="375"/>
        <v>800</v>
      </c>
      <c r="CF114" s="363">
        <f t="shared" ref="CF114:CM114" si="376">CF106*CF110+CF112</f>
        <v>875</v>
      </c>
      <c r="CG114" s="363">
        <f t="shared" si="376"/>
        <v>875</v>
      </c>
      <c r="CH114" s="363">
        <f t="shared" si="376"/>
        <v>875</v>
      </c>
      <c r="CI114" s="363">
        <f t="shared" si="376"/>
        <v>405.25466001575217</v>
      </c>
      <c r="CJ114" s="363">
        <f t="shared" si="376"/>
        <v>625</v>
      </c>
      <c r="CK114" s="363">
        <f t="shared" si="376"/>
        <v>625</v>
      </c>
      <c r="CL114" s="363">
        <f t="shared" si="376"/>
        <v>625</v>
      </c>
      <c r="CM114" s="363">
        <f t="shared" si="376"/>
        <v>625</v>
      </c>
    </row>
    <row r="115" spans="1:92" s="5" customFormat="1">
      <c r="A115" s="12"/>
      <c r="B115" s="308"/>
      <c r="C115" s="308"/>
      <c r="D115" s="308"/>
      <c r="E115" s="308"/>
      <c r="F115" s="308"/>
      <c r="G115" s="308"/>
      <c r="H115" s="308"/>
      <c r="I115" s="40"/>
      <c r="J115" s="40"/>
      <c r="K115" s="40"/>
      <c r="L115" s="40"/>
      <c r="M115" s="40"/>
      <c r="N115" s="308"/>
      <c r="O115" s="308"/>
      <c r="P115" s="308"/>
      <c r="Q115" s="308"/>
      <c r="R115" s="308"/>
      <c r="S115" s="308"/>
      <c r="T115" s="308"/>
      <c r="U115" s="308"/>
      <c r="V115" s="308"/>
      <c r="X115" s="314"/>
      <c r="Y115" s="314"/>
      <c r="Z115" s="314"/>
      <c r="AA115" s="314"/>
      <c r="AB115" s="314"/>
      <c r="AC115" s="314"/>
      <c r="AD115" s="314"/>
      <c r="AE115" s="314"/>
      <c r="AF115" s="314"/>
      <c r="AG115" s="314"/>
      <c r="AH115" s="314"/>
      <c r="AI115" s="314"/>
      <c r="AJ115" s="314"/>
      <c r="AK115" s="314"/>
      <c r="AL115" s="314"/>
      <c r="AM115" s="314"/>
      <c r="AN115" s="314"/>
      <c r="AO115" s="314"/>
      <c r="AP115" s="314"/>
      <c r="AQ115" s="314"/>
      <c r="AR115" s="314"/>
      <c r="AS115" s="314"/>
      <c r="AT115" s="314"/>
      <c r="AU115" s="314"/>
      <c r="AV115" s="314"/>
      <c r="AW115" s="314"/>
      <c r="AX115" s="314"/>
      <c r="AY115" s="314"/>
      <c r="AZ115" s="314"/>
      <c r="BA115" s="314"/>
      <c r="BB115" s="314"/>
      <c r="BC115" s="314"/>
      <c r="BD115" s="314"/>
      <c r="BE115" s="314"/>
      <c r="BF115" s="314"/>
      <c r="BG115" s="314"/>
      <c r="BH115" s="314"/>
      <c r="BI115" s="314"/>
      <c r="BJ115" s="314"/>
      <c r="BK115" s="314"/>
      <c r="BL115" s="314"/>
      <c r="BM115" s="314"/>
      <c r="BN115" s="314"/>
      <c r="BO115" s="314"/>
      <c r="BP115" s="314"/>
      <c r="BQ115" s="314"/>
      <c r="BR115" s="314"/>
      <c r="BS115" s="314"/>
      <c r="BT115" s="314"/>
      <c r="BU115" s="314"/>
      <c r="BV115" s="314"/>
      <c r="BW115" s="314"/>
      <c r="BX115" s="314"/>
      <c r="BY115" s="314"/>
      <c r="BZ115" s="314"/>
      <c r="CA115" s="314"/>
      <c r="CB115" s="314"/>
      <c r="CC115" s="314"/>
      <c r="CD115" s="314"/>
      <c r="CE115" s="314"/>
      <c r="CF115" s="314"/>
      <c r="CG115" s="314"/>
      <c r="CH115" s="314"/>
      <c r="CI115" s="314"/>
      <c r="CJ115" s="308"/>
      <c r="CK115" s="308"/>
      <c r="CL115" s="308"/>
      <c r="CM115" s="308"/>
    </row>
    <row r="116" spans="1:92">
      <c r="A116" s="16" t="s">
        <v>560</v>
      </c>
      <c r="B116" s="60"/>
      <c r="C116" s="60"/>
      <c r="D116" s="60"/>
      <c r="E116" s="60"/>
      <c r="F116" s="60"/>
      <c r="G116" s="60"/>
      <c r="H116" s="60"/>
      <c r="I116" s="60"/>
      <c r="J116" s="60"/>
      <c r="K116" s="60"/>
      <c r="L116" s="60"/>
      <c r="M116" s="60"/>
      <c r="N116" s="60"/>
      <c r="O116" s="60"/>
      <c r="P116" s="60"/>
      <c r="Q116" s="60"/>
      <c r="R116" s="60"/>
      <c r="S116" s="60"/>
      <c r="T116" s="60"/>
      <c r="U116" s="60"/>
      <c r="V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317"/>
      <c r="AV116" s="60"/>
      <c r="AW116" s="60"/>
      <c r="AX116" s="60"/>
      <c r="AY116" s="317"/>
      <c r="AZ116" s="60"/>
      <c r="BA116" s="60"/>
      <c r="BB116" s="60"/>
      <c r="BC116" s="317"/>
      <c r="BD116" s="60"/>
      <c r="BE116" s="60"/>
      <c r="BF116" s="60"/>
      <c r="BG116" s="317"/>
      <c r="BH116" s="60"/>
      <c r="BI116" s="60"/>
      <c r="BJ116" s="60"/>
      <c r="BK116" s="317"/>
      <c r="BL116" s="60"/>
      <c r="BM116" s="60"/>
      <c r="BN116" s="60"/>
      <c r="BO116" s="317"/>
      <c r="BP116" s="60"/>
      <c r="BQ116" s="60"/>
      <c r="BR116" s="60"/>
      <c r="BS116" s="317"/>
      <c r="BT116" s="317"/>
      <c r="BU116" s="317"/>
      <c r="BV116" s="317"/>
      <c r="BW116" s="317"/>
      <c r="BX116" s="317"/>
      <c r="BY116" s="317"/>
      <c r="BZ116" s="317"/>
      <c r="CA116" s="317"/>
      <c r="CB116" s="317"/>
      <c r="CC116" s="317"/>
      <c r="CD116" s="317"/>
      <c r="CE116" s="317"/>
      <c r="CF116" s="317"/>
      <c r="CG116" s="317"/>
      <c r="CH116" s="317"/>
      <c r="CI116" s="317"/>
      <c r="CJ116" s="60"/>
      <c r="CK116" s="60"/>
      <c r="CL116" s="60"/>
      <c r="CM116" s="60"/>
      <c r="CN116" s="5"/>
    </row>
    <row r="117" spans="1:92">
      <c r="A117" s="14"/>
      <c r="B117" s="78"/>
      <c r="C117" s="78"/>
      <c r="D117" s="78"/>
      <c r="E117" s="78"/>
      <c r="F117" s="78"/>
      <c r="G117" s="78"/>
      <c r="H117" s="78"/>
      <c r="I117" s="78"/>
      <c r="J117" s="78"/>
      <c r="K117" s="78"/>
      <c r="L117" s="78"/>
      <c r="M117" s="78"/>
      <c r="N117" s="78"/>
      <c r="O117" s="78"/>
      <c r="P117" s="78"/>
      <c r="Q117" s="78"/>
      <c r="R117" s="78"/>
      <c r="S117" s="78"/>
      <c r="T117" s="78"/>
      <c r="U117" s="78"/>
      <c r="V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96"/>
      <c r="AV117" s="78"/>
      <c r="AW117" s="78"/>
      <c r="AX117" s="78"/>
      <c r="AY117" s="96"/>
      <c r="AZ117" s="78"/>
      <c r="BA117" s="78"/>
      <c r="BB117" s="78"/>
      <c r="BC117" s="96"/>
      <c r="BD117" s="78"/>
      <c r="BE117" s="78"/>
      <c r="BF117" s="78"/>
      <c r="BG117" s="96"/>
      <c r="BH117" s="78"/>
      <c r="BI117" s="78"/>
      <c r="BJ117" s="78"/>
      <c r="BK117" s="96"/>
      <c r="BL117" s="78"/>
      <c r="BM117" s="78"/>
      <c r="BN117" s="78"/>
      <c r="BO117" s="96"/>
      <c r="BP117" s="78"/>
      <c r="BQ117" s="78"/>
      <c r="BR117" s="78"/>
      <c r="BS117" s="96"/>
      <c r="BT117" s="96"/>
      <c r="BU117" s="96"/>
      <c r="BV117" s="96"/>
      <c r="BW117" s="96"/>
      <c r="BX117" s="96"/>
      <c r="BY117" s="96"/>
      <c r="BZ117" s="96"/>
      <c r="CA117" s="96"/>
      <c r="CB117" s="96"/>
      <c r="CC117" s="96"/>
      <c r="CD117" s="96"/>
      <c r="CE117" s="96"/>
      <c r="CF117" s="96"/>
      <c r="CG117" s="96"/>
      <c r="CH117" s="96"/>
      <c r="CI117" s="96"/>
      <c r="CJ117" s="78"/>
      <c r="CK117" s="78"/>
      <c r="CL117" s="78"/>
      <c r="CM117" s="78"/>
      <c r="CN117" s="5"/>
    </row>
    <row r="118" spans="1:92">
      <c r="A118" s="1" t="s">
        <v>559</v>
      </c>
      <c r="B118" s="72" t="s">
        <v>219</v>
      </c>
      <c r="C118" s="72">
        <f t="shared" ref="C118:J118" si="377">C122-C125</f>
        <v>-6991.9248849094847</v>
      </c>
      <c r="D118" s="72">
        <f t="shared" si="377"/>
        <v>418.10120610335071</v>
      </c>
      <c r="E118" s="72">
        <f t="shared" si="377"/>
        <v>2386.0919073686018</v>
      </c>
      <c r="F118" s="72">
        <f t="shared" si="377"/>
        <v>1453.7789388074589</v>
      </c>
      <c r="G118" s="72">
        <f t="shared" si="377"/>
        <v>2509.4936796189845</v>
      </c>
      <c r="H118" s="72">
        <f t="shared" si="377"/>
        <v>3987.0209391781095</v>
      </c>
      <c r="I118" s="72">
        <f t="shared" si="377"/>
        <v>-2530.8633890358133</v>
      </c>
      <c r="J118" s="72">
        <f t="shared" si="377"/>
        <v>-18626.979959385582</v>
      </c>
      <c r="K118" s="72">
        <f>K122-K125</f>
        <v>-811.84782273269229</v>
      </c>
      <c r="L118" s="72">
        <f t="shared" ref="L118:R118" si="378">L122-L125</f>
        <v>-8088.154258358285</v>
      </c>
      <c r="M118" s="72">
        <f t="shared" si="378"/>
        <v>-1252.7225394465931</v>
      </c>
      <c r="N118" s="72">
        <f t="shared" si="378"/>
        <v>-2491.0658447706974</v>
      </c>
      <c r="O118" s="72">
        <f t="shared" si="378"/>
        <v>-3244.8929142320217</v>
      </c>
      <c r="P118" s="72">
        <f t="shared" si="378"/>
        <v>1030.4099846808422</v>
      </c>
      <c r="Q118" s="72">
        <f t="shared" si="378"/>
        <v>6081.4509919643533</v>
      </c>
      <c r="R118" s="72">
        <f t="shared" ca="1" si="378"/>
        <v>0</v>
      </c>
      <c r="S118" s="43">
        <v>0</v>
      </c>
      <c r="T118" s="43">
        <v>0</v>
      </c>
      <c r="U118" s="43">
        <v>0</v>
      </c>
      <c r="V118" s="43">
        <v>0</v>
      </c>
      <c r="X118" s="72" t="s">
        <v>219</v>
      </c>
      <c r="Y118" s="72">
        <f t="shared" ref="Y118:BR118" si="379">(Y124-X124)-Y114-Y100-Y86-Y51-Y28</f>
        <v>945.6551569799974</v>
      </c>
      <c r="Z118" s="72">
        <f t="shared" si="379"/>
        <v>2318.2794919298467</v>
      </c>
      <c r="AA118" s="72">
        <f t="shared" si="379"/>
        <v>3042.8122409340795</v>
      </c>
      <c r="AB118" s="72">
        <f t="shared" si="379"/>
        <v>2033.5549204115346</v>
      </c>
      <c r="AC118" s="72">
        <f t="shared" si="379"/>
        <v>1879.9873194048319</v>
      </c>
      <c r="AD118" s="72">
        <f t="shared" si="379"/>
        <v>1602.8397420661622</v>
      </c>
      <c r="AE118" s="72">
        <f t="shared" si="379"/>
        <v>277.54290302695654</v>
      </c>
      <c r="AF118" s="72">
        <f t="shared" si="379"/>
        <v>-1146.7240284423349</v>
      </c>
      <c r="AG118" s="72">
        <f t="shared" si="379"/>
        <v>1202.4783837643681</v>
      </c>
      <c r="AH118" s="72">
        <f t="shared" si="379"/>
        <v>356.14443857461583</v>
      </c>
      <c r="AI118" s="72">
        <f t="shared" si="379"/>
        <v>-830</v>
      </c>
      <c r="AJ118" s="72">
        <f t="shared" si="379"/>
        <v>1139.8461683277628</v>
      </c>
      <c r="AK118" s="72">
        <f t="shared" si="379"/>
        <v>-2507.64420355842</v>
      </c>
      <c r="AL118" s="72">
        <f t="shared" si="379"/>
        <v>-610.46272671948327</v>
      </c>
      <c r="AM118" s="72">
        <f t="shared" si="379"/>
        <v>-407.83114541846135</v>
      </c>
      <c r="AN118" s="72">
        <f t="shared" si="379"/>
        <v>358.61221191199934</v>
      </c>
      <c r="AO118" s="72">
        <f t="shared" si="379"/>
        <v>-0.46099333752772509</v>
      </c>
      <c r="AP118" s="72">
        <f t="shared" si="379"/>
        <v>-185.51796754408826</v>
      </c>
      <c r="AQ118" s="72">
        <f t="shared" si="379"/>
        <v>-1626.412189837843</v>
      </c>
      <c r="AR118" s="72">
        <f t="shared" si="379"/>
        <v>528.01607608428185</v>
      </c>
      <c r="AS118" s="72">
        <f t="shared" si="379"/>
        <v>-25.343243549282761</v>
      </c>
      <c r="AT118" s="72">
        <f t="shared" si="379"/>
        <v>-680.87473992256241</v>
      </c>
      <c r="AU118" s="72">
        <f t="shared" si="379"/>
        <v>-2331.291772231421</v>
      </c>
      <c r="AV118" s="72">
        <f t="shared" si="379"/>
        <v>-829.32375022460064</v>
      </c>
      <c r="AW118" s="72">
        <f t="shared" si="379"/>
        <v>-1702.3350043302853</v>
      </c>
      <c r="AX118" s="72">
        <f t="shared" si="379"/>
        <v>-2051.4021992917073</v>
      </c>
      <c r="AY118" s="72">
        <f t="shared" si="379"/>
        <v>596.04001466848399</v>
      </c>
      <c r="AZ118" s="72">
        <f t="shared" si="379"/>
        <v>-369.45901409138196</v>
      </c>
      <c r="BA118" s="72">
        <f t="shared" si="379"/>
        <v>-402.21916439665893</v>
      </c>
      <c r="BB118" s="72">
        <f t="shared" si="379"/>
        <v>1045.8137209606571</v>
      </c>
      <c r="BC118" s="72">
        <f t="shared" si="379"/>
        <v>2256.7278465631971</v>
      </c>
      <c r="BD118" s="72">
        <f t="shared" si="379"/>
        <v>16702.892194271379</v>
      </c>
      <c r="BE118" s="72">
        <f t="shared" si="379"/>
        <v>-94.782967957875712</v>
      </c>
      <c r="BF118" s="72">
        <f t="shared" si="379"/>
        <v>147.09148815282174</v>
      </c>
      <c r="BG118" s="72">
        <f t="shared" si="379"/>
        <v>1871.7792449192611</v>
      </c>
      <c r="BH118" s="72">
        <f t="shared" si="379"/>
        <v>1044.2592376681678</v>
      </c>
      <c r="BI118" s="72">
        <f t="shared" si="379"/>
        <v>-214.12812119437422</v>
      </c>
      <c r="BJ118" s="72">
        <f t="shared" si="379"/>
        <v>546.84489250172464</v>
      </c>
      <c r="BK118" s="72">
        <f t="shared" si="379"/>
        <v>-565.128186242825</v>
      </c>
      <c r="BL118" s="72">
        <f t="shared" si="379"/>
        <v>5375.1662156215716</v>
      </c>
      <c r="BM118" s="72">
        <f t="shared" si="379"/>
        <v>4468.3329724972573</v>
      </c>
      <c r="BN118" s="72">
        <f t="shared" si="379"/>
        <v>2782.7832387909675</v>
      </c>
      <c r="BO118" s="72">
        <f t="shared" si="379"/>
        <v>-3350.1281685515123</v>
      </c>
      <c r="BP118" s="72">
        <f t="shared" si="379"/>
        <v>1136.4113436832208</v>
      </c>
      <c r="BQ118" s="72">
        <f t="shared" si="379"/>
        <v>-139.05331027584225</v>
      </c>
      <c r="BR118" s="72">
        <f t="shared" si="379"/>
        <v>-1003.651123197239</v>
      </c>
      <c r="BS118" s="72">
        <f>(BS124-BR124)-BS114-BS100-BS86-BS51-BS28</f>
        <v>6.0156292364545152</v>
      </c>
      <c r="BT118" s="72">
        <f>(BT124-BS124)-BT114-BT100-BT86-BT51-BT28</f>
        <v>1231.6944079663274</v>
      </c>
      <c r="BU118" s="72">
        <f t="shared" ref="BU118:BZ118" si="380">(BU124-BT124)-BU114-BU100-BU86-BU51-BU28</f>
        <v>1522.8371534437306</v>
      </c>
      <c r="BV118" s="72">
        <f t="shared" si="380"/>
        <v>470.78873146122498</v>
      </c>
      <c r="BW118" s="72">
        <f t="shared" si="380"/>
        <v>-875.56682409433051</v>
      </c>
      <c r="BX118" s="72">
        <f t="shared" si="380"/>
        <v>1171.7926814210921</v>
      </c>
      <c r="BY118" s="72">
        <f t="shared" si="380"/>
        <v>341.83010148578433</v>
      </c>
      <c r="BZ118" s="72">
        <f t="shared" si="380"/>
        <v>780.78152920210368</v>
      </c>
      <c r="CA118" s="525">
        <v>0</v>
      </c>
      <c r="CB118" s="82">
        <f>CA118</f>
        <v>0</v>
      </c>
      <c r="CC118" s="82">
        <f t="shared" ref="CC118:CE118" si="381">CB118</f>
        <v>0</v>
      </c>
      <c r="CD118" s="82">
        <f t="shared" si="381"/>
        <v>0</v>
      </c>
      <c r="CE118" s="82">
        <f t="shared" si="381"/>
        <v>0</v>
      </c>
      <c r="CF118" s="525">
        <f>CE118</f>
        <v>0</v>
      </c>
      <c r="CG118" s="525">
        <f t="shared" ref="CG118" si="382">CF118</f>
        <v>0</v>
      </c>
      <c r="CH118" s="525">
        <f t="shared" ref="CH118" si="383">CG118</f>
        <v>0</v>
      </c>
      <c r="CI118" s="525">
        <f t="shared" ref="CI118" si="384">CH118</f>
        <v>0</v>
      </c>
      <c r="CJ118" s="43">
        <f ca="1">$R118/4</f>
        <v>0</v>
      </c>
      <c r="CK118" s="43">
        <f t="shared" ref="CK118:CM118" ca="1" si="385">$R118/4</f>
        <v>0</v>
      </c>
      <c r="CL118" s="43">
        <f t="shared" ca="1" si="385"/>
        <v>0</v>
      </c>
      <c r="CM118" s="43">
        <f t="shared" ca="1" si="385"/>
        <v>0</v>
      </c>
      <c r="CN118" s="5"/>
    </row>
    <row r="119" spans="1:92" s="5" customFormat="1">
      <c r="A119" s="12"/>
      <c r="B119" s="308"/>
      <c r="C119" s="308"/>
      <c r="D119" s="308"/>
      <c r="E119" s="308"/>
      <c r="F119" s="308"/>
      <c r="G119" s="308"/>
      <c r="H119" s="308"/>
      <c r="I119" s="40"/>
      <c r="J119" s="40"/>
      <c r="K119" s="40"/>
      <c r="L119" s="40"/>
      <c r="M119" s="40"/>
      <c r="N119" s="308"/>
      <c r="O119" s="308"/>
      <c r="P119" s="308"/>
      <c r="Q119" s="308"/>
      <c r="R119" s="308"/>
      <c r="S119" s="308"/>
      <c r="T119" s="308"/>
      <c r="U119" s="308"/>
      <c r="V119" s="308"/>
      <c r="X119" s="314"/>
      <c r="Y119" s="314"/>
      <c r="Z119" s="314"/>
      <c r="AA119" s="314"/>
      <c r="AB119" s="314"/>
      <c r="AC119" s="314"/>
      <c r="AD119" s="314"/>
      <c r="AE119" s="314"/>
      <c r="AF119" s="314"/>
      <c r="AG119" s="314"/>
      <c r="AH119" s="314"/>
      <c r="AI119" s="314"/>
      <c r="AJ119" s="314"/>
      <c r="AK119" s="314"/>
      <c r="AL119" s="314"/>
      <c r="AM119" s="314"/>
      <c r="AN119" s="314"/>
      <c r="AO119" s="314"/>
      <c r="AP119" s="314"/>
      <c r="AQ119" s="314"/>
      <c r="AR119" s="314"/>
      <c r="AS119" s="314"/>
      <c r="AT119" s="314"/>
      <c r="AU119" s="314"/>
      <c r="AV119" s="314"/>
      <c r="AW119" s="314"/>
      <c r="AX119" s="314"/>
      <c r="AY119" s="314"/>
      <c r="AZ119" s="314"/>
      <c r="BA119" s="314"/>
      <c r="BB119" s="314"/>
      <c r="BC119" s="314"/>
      <c r="BD119" s="314"/>
      <c r="BE119" s="314"/>
      <c r="BF119" s="314"/>
      <c r="BG119" s="314"/>
      <c r="BH119" s="314"/>
      <c r="BI119" s="314"/>
      <c r="BJ119" s="314"/>
      <c r="BK119" s="314"/>
      <c r="BL119" s="314"/>
      <c r="BM119" s="314"/>
      <c r="BN119" s="314"/>
      <c r="BO119" s="314"/>
      <c r="BP119" s="314"/>
      <c r="BQ119" s="314"/>
      <c r="BR119" s="314"/>
      <c r="BS119" s="314"/>
      <c r="BT119" s="314"/>
      <c r="BU119" s="314"/>
      <c r="BV119" s="314"/>
      <c r="BW119" s="314"/>
      <c r="BX119" s="314"/>
      <c r="BY119" s="314"/>
      <c r="BZ119" s="314"/>
      <c r="CA119" s="314"/>
      <c r="CB119" s="314"/>
      <c r="CC119" s="314"/>
      <c r="CD119" s="314"/>
      <c r="CE119" s="314"/>
      <c r="CF119" s="314"/>
      <c r="CG119" s="314"/>
      <c r="CH119" s="314"/>
      <c r="CI119" s="314"/>
      <c r="CJ119" s="308"/>
      <c r="CK119" s="308"/>
      <c r="CL119" s="308"/>
      <c r="CM119" s="308"/>
    </row>
    <row r="120" spans="1:92">
      <c r="A120" s="387" t="s">
        <v>508</v>
      </c>
      <c r="B120" s="364"/>
      <c r="C120" s="364"/>
      <c r="D120" s="364"/>
      <c r="E120" s="364"/>
      <c r="F120" s="364"/>
      <c r="G120" s="364"/>
      <c r="H120" s="364"/>
      <c r="I120" s="364"/>
      <c r="J120" s="364"/>
      <c r="K120" s="364"/>
      <c r="L120" s="364"/>
      <c r="M120" s="364"/>
      <c r="N120" s="364"/>
      <c r="O120" s="364"/>
      <c r="P120" s="364"/>
      <c r="Q120" s="364"/>
      <c r="R120" s="364"/>
      <c r="S120" s="364"/>
      <c r="T120" s="364"/>
      <c r="U120" s="364"/>
      <c r="V120" s="364"/>
      <c r="X120" s="364"/>
      <c r="Y120" s="364"/>
      <c r="Z120" s="364"/>
      <c r="AA120" s="364"/>
      <c r="AB120" s="364"/>
      <c r="AC120" s="364"/>
      <c r="AD120" s="364"/>
      <c r="AE120" s="364"/>
      <c r="AF120" s="364"/>
      <c r="AG120" s="364"/>
      <c r="AH120" s="364"/>
      <c r="AI120" s="364"/>
      <c r="AJ120" s="364"/>
      <c r="AK120" s="364"/>
      <c r="AL120" s="364"/>
      <c r="AM120" s="364"/>
      <c r="AN120" s="364"/>
      <c r="AO120" s="364"/>
      <c r="AP120" s="364"/>
      <c r="AQ120" s="364"/>
      <c r="AR120" s="364"/>
      <c r="AS120" s="364"/>
      <c r="AT120" s="364"/>
      <c r="AU120" s="365"/>
      <c r="AV120" s="364"/>
      <c r="AW120" s="364"/>
      <c r="AX120" s="364"/>
      <c r="AY120" s="365"/>
      <c r="AZ120" s="364"/>
      <c r="BA120" s="364"/>
      <c r="BB120" s="364"/>
      <c r="BC120" s="365"/>
      <c r="BD120" s="364"/>
      <c r="BE120" s="364"/>
      <c r="BF120" s="364"/>
      <c r="BG120" s="365"/>
      <c r="BH120" s="364"/>
      <c r="BI120" s="364"/>
      <c r="BJ120" s="364"/>
      <c r="BK120" s="365"/>
      <c r="BL120" s="364"/>
      <c r="BM120" s="364"/>
      <c r="BN120" s="364"/>
      <c r="BO120" s="365"/>
      <c r="BP120" s="364"/>
      <c r="BQ120" s="364"/>
      <c r="BR120" s="364"/>
      <c r="BS120" s="365"/>
      <c r="BT120" s="365"/>
      <c r="BU120" s="365"/>
      <c r="BV120" s="365"/>
      <c r="BW120" s="365"/>
      <c r="BX120" s="365"/>
      <c r="BY120" s="365"/>
      <c r="BZ120" s="365"/>
      <c r="CA120" s="365"/>
      <c r="CB120" s="365"/>
      <c r="CC120" s="365"/>
      <c r="CD120" s="365"/>
      <c r="CE120" s="365"/>
      <c r="CF120" s="365"/>
      <c r="CG120" s="365"/>
      <c r="CH120" s="365"/>
      <c r="CI120" s="365"/>
      <c r="CJ120" s="364"/>
      <c r="CK120" s="364"/>
      <c r="CL120" s="364"/>
      <c r="CM120" s="364"/>
      <c r="CN120" s="5"/>
    </row>
    <row r="121" spans="1:92" s="5" customFormat="1">
      <c r="A121" s="1"/>
      <c r="B121" s="72"/>
      <c r="C121" s="72"/>
      <c r="D121" s="72"/>
      <c r="E121" s="72"/>
      <c r="F121" s="72"/>
      <c r="G121" s="72"/>
      <c r="H121" s="72"/>
      <c r="I121" s="72"/>
      <c r="J121" s="72"/>
      <c r="K121" s="72"/>
      <c r="L121" s="72"/>
      <c r="M121" s="72"/>
      <c r="N121" s="72"/>
      <c r="O121" s="72"/>
      <c r="P121" s="72"/>
      <c r="Q121" s="72"/>
      <c r="R121" s="72"/>
      <c r="S121" s="72"/>
      <c r="T121" s="72"/>
      <c r="U121" s="72"/>
      <c r="V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c r="AW121" s="72"/>
      <c r="AX121" s="72"/>
      <c r="AY121" s="72"/>
      <c r="AZ121" s="72"/>
      <c r="BA121" s="72"/>
      <c r="BB121" s="72"/>
      <c r="BC121" s="72"/>
      <c r="BD121" s="72"/>
      <c r="BE121" s="72"/>
      <c r="BF121" s="72"/>
      <c r="BG121" s="72"/>
      <c r="BH121" s="72"/>
      <c r="BI121" s="72"/>
      <c r="BJ121" s="72"/>
      <c r="BK121" s="72"/>
      <c r="BL121" s="72"/>
      <c r="BM121" s="72"/>
      <c r="BN121" s="72"/>
      <c r="BO121" s="72"/>
      <c r="BP121" s="72"/>
      <c r="BQ121" s="72"/>
      <c r="BR121" s="72"/>
      <c r="BS121" s="72"/>
      <c r="BT121" s="72"/>
      <c r="BU121" s="72"/>
      <c r="BV121" s="72"/>
      <c r="BW121" s="72"/>
      <c r="BX121" s="72"/>
      <c r="BY121" s="72"/>
      <c r="BZ121" s="72"/>
      <c r="CA121" s="72"/>
      <c r="CB121" s="72"/>
      <c r="CC121" s="72"/>
      <c r="CD121" s="72"/>
      <c r="CE121" s="72"/>
      <c r="CF121" s="72"/>
      <c r="CG121" s="72"/>
      <c r="CH121" s="72"/>
      <c r="CI121" s="72"/>
      <c r="CJ121" s="72"/>
      <c r="CK121" s="72"/>
      <c r="CL121" s="72"/>
      <c r="CM121" s="72"/>
    </row>
    <row r="122" spans="1:92" s="5" customFormat="1">
      <c r="A122" s="1" t="s">
        <v>558</v>
      </c>
      <c r="B122" s="72">
        <f t="shared" ref="B122:Q122" si="386">B28+B51+B86+B100+B114</f>
        <v>-196.27593318332603</v>
      </c>
      <c r="C122" s="72">
        <f t="shared" si="386"/>
        <v>931.07511509051517</v>
      </c>
      <c r="D122" s="72">
        <f t="shared" si="386"/>
        <v>5929.1012061033507</v>
      </c>
      <c r="E122" s="72">
        <f t="shared" si="386"/>
        <v>7547.0919073686018</v>
      </c>
      <c r="F122" s="72">
        <f t="shared" si="386"/>
        <v>5297.7789388074589</v>
      </c>
      <c r="G122" s="72">
        <f t="shared" si="386"/>
        <v>3010.4936796189845</v>
      </c>
      <c r="H122" s="72">
        <f t="shared" si="386"/>
        <v>-70.97906082189057</v>
      </c>
      <c r="I122" s="72">
        <f t="shared" si="386"/>
        <v>-1385.863389035813</v>
      </c>
      <c r="J122" s="72">
        <f t="shared" si="386"/>
        <v>-403.97995938558392</v>
      </c>
      <c r="K122" s="72">
        <f t="shared" si="386"/>
        <v>13243.152177267308</v>
      </c>
      <c r="L122" s="72">
        <f t="shared" si="386"/>
        <v>-2995.154258358285</v>
      </c>
      <c r="M122" s="72">
        <f t="shared" si="386"/>
        <v>-4144.7225394465931</v>
      </c>
      <c r="N122" s="72">
        <f t="shared" si="386"/>
        <v>-3163.0658447706974</v>
      </c>
      <c r="O122" s="72">
        <f>O28+O51+O86+O100+O114</f>
        <v>-1654.8929142320217</v>
      </c>
      <c r="P122" s="72">
        <f t="shared" si="386"/>
        <v>8839.4099846808422</v>
      </c>
      <c r="Q122" s="72">
        <f t="shared" si="386"/>
        <v>3210.4509919643529</v>
      </c>
      <c r="R122" s="72">
        <f ca="1">R28+R51+R86+R100+R114</f>
        <v>-1910.75</v>
      </c>
      <c r="S122" s="72">
        <f>S28+S51+S86+S100+S114</f>
        <v>-910</v>
      </c>
      <c r="T122" s="72">
        <f>T28+T51+T86+T100+T114</f>
        <v>-1660</v>
      </c>
      <c r="U122" s="72">
        <f>U28+U51+U86+U100+U114</f>
        <v>-1660</v>
      </c>
      <c r="V122" s="72">
        <f>V28+V51+V86+V100+V114</f>
        <v>-1660</v>
      </c>
      <c r="X122" s="72">
        <f t="shared" ref="X122:BS122" si="387">X28+X51+X86+X100+X114</f>
        <v>566.47095666059704</v>
      </c>
      <c r="Y122" s="72">
        <f t="shared" si="387"/>
        <v>649.3448430200026</v>
      </c>
      <c r="Z122" s="72">
        <f t="shared" si="387"/>
        <v>-994.27949192984647</v>
      </c>
      <c r="AA122" s="72">
        <f t="shared" si="387"/>
        <v>-417.8122409340794</v>
      </c>
      <c r="AB122" s="72">
        <f t="shared" si="387"/>
        <v>561.44507958846555</v>
      </c>
      <c r="AC122" s="72">
        <f t="shared" si="387"/>
        <v>302.01268059516821</v>
      </c>
      <c r="AD122" s="72">
        <f t="shared" si="387"/>
        <v>-203.83974206616222</v>
      </c>
      <c r="AE122" s="72">
        <f t="shared" si="387"/>
        <v>1469.4570969730435</v>
      </c>
      <c r="AF122" s="72">
        <f t="shared" si="387"/>
        <v>1644.7240284423349</v>
      </c>
      <c r="AG122" s="72">
        <f t="shared" si="387"/>
        <v>1092.5216162356323</v>
      </c>
      <c r="AH122" s="72">
        <f t="shared" si="387"/>
        <v>1427.8555614253842</v>
      </c>
      <c r="AI122" s="72">
        <f t="shared" si="387"/>
        <v>1764</v>
      </c>
      <c r="AJ122" s="72">
        <f t="shared" si="387"/>
        <v>1906.1538316722374</v>
      </c>
      <c r="AK122" s="72">
        <f t="shared" si="387"/>
        <v>1944.64420355842</v>
      </c>
      <c r="AL122" s="72">
        <f t="shared" si="387"/>
        <v>1616.4627267194833</v>
      </c>
      <c r="AM122" s="72">
        <f t="shared" si="387"/>
        <v>2079.8311454184613</v>
      </c>
      <c r="AN122" s="72">
        <f t="shared" si="387"/>
        <v>1670.3877880880007</v>
      </c>
      <c r="AO122" s="72">
        <f t="shared" si="387"/>
        <v>1310.4609933375277</v>
      </c>
      <c r="AP122" s="72">
        <f t="shared" si="387"/>
        <v>992.51796754408838</v>
      </c>
      <c r="AQ122" s="72">
        <f t="shared" si="387"/>
        <v>1324.412189837843</v>
      </c>
      <c r="AR122" s="72">
        <f t="shared" si="387"/>
        <v>1217.9839239157184</v>
      </c>
      <c r="AS122" s="72">
        <f t="shared" si="387"/>
        <v>551.34324354928276</v>
      </c>
      <c r="AT122" s="72">
        <f t="shared" si="387"/>
        <v>276.87473992256247</v>
      </c>
      <c r="AU122" s="72">
        <f t="shared" si="387"/>
        <v>964.29177223142119</v>
      </c>
      <c r="AV122" s="72">
        <f t="shared" si="387"/>
        <v>838.32375022460064</v>
      </c>
      <c r="AW122" s="72">
        <f t="shared" si="387"/>
        <v>-1381.6649956697147</v>
      </c>
      <c r="AX122" s="72">
        <f t="shared" si="387"/>
        <v>549.40219929170735</v>
      </c>
      <c r="AY122" s="72">
        <f t="shared" si="387"/>
        <v>-77.040014668483963</v>
      </c>
      <c r="AZ122" s="72">
        <f t="shared" si="387"/>
        <v>417.45901409138202</v>
      </c>
      <c r="BA122" s="72">
        <f t="shared" si="387"/>
        <v>-391.78083560334107</v>
      </c>
      <c r="BB122" s="72">
        <f t="shared" si="387"/>
        <v>-467.81372096065707</v>
      </c>
      <c r="BC122" s="72">
        <f t="shared" si="387"/>
        <v>-943.7278465631972</v>
      </c>
      <c r="BD122" s="72">
        <f t="shared" si="387"/>
        <v>256.10780572862336</v>
      </c>
      <c r="BE122" s="72">
        <f t="shared" si="387"/>
        <v>41.782967957875655</v>
      </c>
      <c r="BF122" s="72">
        <f t="shared" si="387"/>
        <v>640.90851184717826</v>
      </c>
      <c r="BG122" s="72">
        <f t="shared" si="387"/>
        <v>-1342.7792449192611</v>
      </c>
      <c r="BH122" s="72">
        <f t="shared" si="387"/>
        <v>1757.740762331832</v>
      </c>
      <c r="BI122" s="72">
        <f t="shared" si="387"/>
        <v>3337.1281211943742</v>
      </c>
      <c r="BJ122" s="72">
        <f t="shared" si="387"/>
        <v>4240.1551074982754</v>
      </c>
      <c r="BK122" s="72">
        <f t="shared" si="387"/>
        <v>3908.128186242825</v>
      </c>
      <c r="BL122" s="72">
        <f t="shared" si="387"/>
        <v>-1977.1662156215721</v>
      </c>
      <c r="BM122" s="72">
        <f t="shared" si="387"/>
        <v>-743.33297249725774</v>
      </c>
      <c r="BN122" s="72">
        <f t="shared" si="387"/>
        <v>433.2167612090326</v>
      </c>
      <c r="BO122" s="72">
        <f t="shared" si="387"/>
        <v>-1895.8718314484872</v>
      </c>
      <c r="BP122" s="72">
        <f t="shared" si="387"/>
        <v>-183.41134368322071</v>
      </c>
      <c r="BQ122" s="72">
        <f t="shared" si="387"/>
        <v>-729.94668972415775</v>
      </c>
      <c r="BR122" s="72">
        <f>BR28+BR51+BR86+BR100+BR114</f>
        <v>1101.651123197239</v>
      </c>
      <c r="BS122" s="72">
        <f t="shared" si="387"/>
        <v>-3080.0156292364545</v>
      </c>
      <c r="BT122" s="72">
        <f>BT28+BT51+BT86+BT100+BT114</f>
        <v>-235.69440796632739</v>
      </c>
      <c r="BU122" s="72">
        <f>BU28+BU51+BU86+BU100+BU114</f>
        <v>-1424.8371534437306</v>
      </c>
      <c r="BV122" s="72">
        <f>BV28+BV51+BV86+BV100+BV114</f>
        <v>-610.78873146122487</v>
      </c>
      <c r="BW122" s="72">
        <f>BW28+BW51+BW86+BW100+BW114</f>
        <v>-750.43317590566949</v>
      </c>
      <c r="BX122" s="72">
        <f t="shared" ref="BX122:CA122" si="388">BX28+BX51+BX86+BX100+BX114</f>
        <v>-819.79268142109208</v>
      </c>
      <c r="BY122" s="72">
        <f t="shared" ref="BY122" si="389">BY28+BY51+BY86+BY100+BY114</f>
        <v>-522.83010148578433</v>
      </c>
      <c r="BZ122" s="72">
        <f t="shared" si="388"/>
        <v>-130.78152920210368</v>
      </c>
      <c r="CA122" s="72">
        <f t="shared" si="388"/>
        <v>-533.1773355910716</v>
      </c>
      <c r="CB122" s="72">
        <f t="shared" ref="CB122:CE122" si="390">CB28+CB51+CB86+CB100+CB114</f>
        <v>2127.6649120353695</v>
      </c>
      <c r="CC122" s="72">
        <f t="shared" si="390"/>
        <v>2135.9267607483534</v>
      </c>
      <c r="CD122" s="72">
        <f t="shared" si="390"/>
        <v>1963.5979198945111</v>
      </c>
      <c r="CE122" s="72">
        <f t="shared" si="390"/>
        <v>2597.4720044424585</v>
      </c>
      <c r="CF122" s="72">
        <f t="shared" ref="CF122:CI122" si="391">CF28+CF51+CF86+CF100+CF114</f>
        <v>505.0574971427227</v>
      </c>
      <c r="CG122" s="72">
        <f t="shared" si="391"/>
        <v>839.46722962631975</v>
      </c>
      <c r="CH122" s="72">
        <f t="shared" si="391"/>
        <v>1129.4234570314102</v>
      </c>
      <c r="CI122" s="72">
        <f t="shared" si="391"/>
        <v>736.50280816390023</v>
      </c>
      <c r="CJ122" s="72">
        <f t="shared" ref="CJ122:CM122" ca="1" si="392">CJ28+CJ51+CJ86+CJ100+CJ114</f>
        <v>-14.6875</v>
      </c>
      <c r="CK122" s="72">
        <f t="shared" ca="1" si="392"/>
        <v>-262.6875</v>
      </c>
      <c r="CL122" s="72">
        <f t="shared" ca="1" si="392"/>
        <v>-810.6875</v>
      </c>
      <c r="CM122" s="72">
        <f t="shared" ca="1" si="392"/>
        <v>-822.6875</v>
      </c>
    </row>
    <row r="123" spans="1:92" s="5" customFormat="1">
      <c r="A123" s="12"/>
      <c r="B123" s="308"/>
      <c r="C123" s="308"/>
      <c r="D123" s="308"/>
      <c r="E123" s="308"/>
      <c r="F123" s="308"/>
      <c r="G123" s="308"/>
      <c r="H123" s="308"/>
      <c r="I123" s="40"/>
      <c r="J123" s="40"/>
      <c r="K123" s="40"/>
      <c r="L123" s="40"/>
      <c r="M123" s="40"/>
      <c r="N123" s="308"/>
      <c r="O123" s="308"/>
      <c r="P123" s="308"/>
      <c r="Q123" s="308"/>
      <c r="R123" s="308"/>
      <c r="S123" s="308"/>
      <c r="T123" s="308"/>
      <c r="U123" s="308"/>
      <c r="V123" s="308"/>
      <c r="X123" s="308"/>
      <c r="Y123" s="308"/>
      <c r="Z123" s="308"/>
      <c r="AA123" s="308"/>
      <c r="AB123" s="308"/>
      <c r="AC123" s="308"/>
      <c r="AD123" s="308"/>
      <c r="AE123" s="308"/>
      <c r="AF123" s="308"/>
      <c r="AG123" s="308"/>
      <c r="AH123" s="308"/>
      <c r="AI123" s="308"/>
      <c r="AJ123" s="308"/>
      <c r="AK123" s="308"/>
      <c r="AL123" s="308"/>
      <c r="AM123" s="308"/>
      <c r="AN123" s="308"/>
      <c r="AO123" s="308"/>
      <c r="AP123" s="308"/>
      <c r="AQ123" s="308"/>
      <c r="AR123" s="308"/>
      <c r="AS123" s="308"/>
      <c r="AT123" s="308"/>
      <c r="AU123" s="318"/>
      <c r="AV123" s="308"/>
      <c r="AW123" s="308"/>
      <c r="AX123" s="308"/>
      <c r="AY123" s="318"/>
      <c r="AZ123" s="40"/>
      <c r="BA123" s="108"/>
      <c r="BB123" s="40"/>
      <c r="BC123" s="108"/>
      <c r="BD123" s="40"/>
      <c r="BE123" s="40"/>
      <c r="BF123" s="40"/>
      <c r="BG123" s="108"/>
      <c r="BH123" s="40"/>
      <c r="BI123" s="40"/>
      <c r="BJ123" s="40"/>
      <c r="BK123" s="108"/>
      <c r="BL123" s="40"/>
      <c r="BM123" s="308"/>
      <c r="BN123" s="308"/>
      <c r="BO123" s="318"/>
      <c r="BP123" s="314"/>
      <c r="BQ123" s="308"/>
      <c r="BR123" s="308"/>
      <c r="BS123" s="318"/>
      <c r="BT123" s="318"/>
      <c r="BU123" s="318"/>
      <c r="BV123" s="318"/>
      <c r="BW123" s="318"/>
      <c r="BX123" s="318"/>
      <c r="BY123" s="318"/>
      <c r="BZ123" s="318"/>
      <c r="CA123" s="318"/>
      <c r="CB123" s="318"/>
      <c r="CC123" s="318"/>
      <c r="CD123" s="318"/>
      <c r="CE123" s="318"/>
      <c r="CF123" s="318"/>
      <c r="CG123" s="318"/>
      <c r="CH123" s="318"/>
      <c r="CI123" s="318"/>
      <c r="CJ123" s="318"/>
      <c r="CK123" s="318"/>
      <c r="CL123" s="318"/>
      <c r="CM123" s="318"/>
    </row>
    <row r="124" spans="1:92" s="5" customFormat="1">
      <c r="A124" s="12" t="s">
        <v>11</v>
      </c>
      <c r="B124" s="179">
        <f>Balance_Sheet_Annual!L12</f>
        <v>24317</v>
      </c>
      <c r="C124" s="179">
        <f>Balance_Sheet_Annual!M12</f>
        <v>32240</v>
      </c>
      <c r="D124" s="179">
        <f>Balance_Sheet_Annual!N12</f>
        <v>37751</v>
      </c>
      <c r="E124" s="179">
        <f>Balance_Sheet_Annual!O12</f>
        <v>42912</v>
      </c>
      <c r="F124" s="179">
        <f>Balance_Sheet_Annual!P12</f>
        <v>46756</v>
      </c>
      <c r="G124" s="179">
        <f>Balance_Sheet_Annual!Q12</f>
        <v>47257</v>
      </c>
      <c r="H124" s="179">
        <f>Balance_Sheet_Annual!R12</f>
        <v>43199</v>
      </c>
      <c r="I124" s="179">
        <f>Balance_Sheet_Annual!S12</f>
        <v>44344</v>
      </c>
      <c r="J124" s="179">
        <f>Balance_Sheet_Annual!T12</f>
        <v>62567</v>
      </c>
      <c r="K124" s="179">
        <f>Balance_Sheet_Annual!U12</f>
        <v>76622</v>
      </c>
      <c r="L124" s="179">
        <f>Balance_Sheet_Annual!V12</f>
        <v>81715</v>
      </c>
      <c r="M124" s="179">
        <f>+BS124</f>
        <v>78823</v>
      </c>
      <c r="N124" s="179">
        <f>BW124</f>
        <v>78151</v>
      </c>
      <c r="O124" s="179">
        <f>CA124</f>
        <v>79741</v>
      </c>
      <c r="P124" s="179">
        <f>CE124</f>
        <v>87550</v>
      </c>
      <c r="Q124" s="179">
        <f>CI124</f>
        <v>84679</v>
      </c>
      <c r="R124" s="108">
        <f ca="1">Q124+R122</f>
        <v>82768.25</v>
      </c>
      <c r="S124" s="108">
        <f ca="1">R124+S122</f>
        <v>81858.25</v>
      </c>
      <c r="T124" s="108">
        <f ca="1">S124+T122</f>
        <v>80198.25</v>
      </c>
      <c r="U124" s="108">
        <f ca="1">T124+U122</f>
        <v>78538.25</v>
      </c>
      <c r="V124" s="108">
        <f ca="1">U124+V122</f>
        <v>76878.25</v>
      </c>
      <c r="X124" s="322">
        <v>18773</v>
      </c>
      <c r="Y124" s="322">
        <v>20368</v>
      </c>
      <c r="Z124" s="322">
        <v>21692</v>
      </c>
      <c r="AA124" s="323">
        <f>Balance_Sheet_Annual!$L$12</f>
        <v>24317</v>
      </c>
      <c r="AB124" s="322">
        <v>26912</v>
      </c>
      <c r="AC124" s="322">
        <v>29094</v>
      </c>
      <c r="AD124" s="322">
        <v>30493</v>
      </c>
      <c r="AE124" s="323">
        <f>Balance_Sheet_Annual!$M$12</f>
        <v>32240</v>
      </c>
      <c r="AF124" s="322">
        <v>32738</v>
      </c>
      <c r="AG124" s="322">
        <v>35033</v>
      </c>
      <c r="AH124" s="322">
        <v>36817</v>
      </c>
      <c r="AI124" s="323">
        <f>Balance_Sheet_Annual!$N$12</f>
        <v>37751</v>
      </c>
      <c r="AJ124" s="322">
        <v>40797</v>
      </c>
      <c r="AK124" s="322">
        <v>40234</v>
      </c>
      <c r="AL124" s="322">
        <v>41240</v>
      </c>
      <c r="AM124" s="323">
        <f>Balance_Sheet_Annual!$O$12</f>
        <v>42912</v>
      </c>
      <c r="AN124" s="322">
        <v>44941</v>
      </c>
      <c r="AO124" s="322">
        <v>46251</v>
      </c>
      <c r="AP124" s="322">
        <v>47058</v>
      </c>
      <c r="AQ124" s="323">
        <f>Balance_Sheet_Annual!$P$12</f>
        <v>46756</v>
      </c>
      <c r="AR124" s="179">
        <f>Balance_Sheet_Qtr!B12</f>
        <v>48502</v>
      </c>
      <c r="AS124" s="179">
        <f>Balance_Sheet_Qtr!C12</f>
        <v>49028</v>
      </c>
      <c r="AT124" s="179">
        <f>Balance_Sheet_Qtr!D12</f>
        <v>48624</v>
      </c>
      <c r="AU124" s="179">
        <f>Balance_Sheet_Qtr!E12</f>
        <v>47257</v>
      </c>
      <c r="AV124" s="179">
        <f>Balance_Sheet_Qtr!G12</f>
        <v>47266</v>
      </c>
      <c r="AW124" s="179">
        <f>Balance_Sheet_Qtr!H12</f>
        <v>44182</v>
      </c>
      <c r="AX124" s="179">
        <f>Balance_Sheet_Qtr!I12</f>
        <v>42680</v>
      </c>
      <c r="AY124" s="179">
        <f>Balance_Sheet_Qtr!J12</f>
        <v>43199</v>
      </c>
      <c r="AZ124" s="179">
        <f>Balance_Sheet_Qtr!L12</f>
        <v>43247</v>
      </c>
      <c r="BA124" s="179">
        <f>Balance_Sheet_Qtr!M12</f>
        <v>42453</v>
      </c>
      <c r="BB124" s="179">
        <f>Balance_Sheet_Qtr!N12</f>
        <v>43031</v>
      </c>
      <c r="BC124" s="179">
        <f>Balance_Sheet_Qtr!O12</f>
        <v>44344</v>
      </c>
      <c r="BD124" s="179">
        <f>Balance_Sheet_Qtr!Q12</f>
        <v>61303</v>
      </c>
      <c r="BE124" s="179">
        <f>Balance_Sheet_Qtr!R12</f>
        <v>61250</v>
      </c>
      <c r="BF124" s="179">
        <f>Balance_Sheet_Qtr!S12</f>
        <v>62038</v>
      </c>
      <c r="BG124" s="179">
        <f>Balance_Sheet_Qtr!T12</f>
        <v>62567</v>
      </c>
      <c r="BH124" s="179">
        <f>Balance_Sheet_Qtr!V12</f>
        <v>65369</v>
      </c>
      <c r="BI124" s="179">
        <f>Balance_Sheet_Qtr!W12</f>
        <v>68492</v>
      </c>
      <c r="BJ124" s="179">
        <f>Balance_Sheet_Qtr!X12</f>
        <v>73279</v>
      </c>
      <c r="BK124" s="179">
        <f>Balance_Sheet_Qtr!Y12</f>
        <v>76622</v>
      </c>
      <c r="BL124" s="179">
        <f>Balance_Sheet_Qtr!AA12</f>
        <v>80020</v>
      </c>
      <c r="BM124" s="179">
        <f>Balance_Sheet_Qtr!AB12</f>
        <v>83745</v>
      </c>
      <c r="BN124" s="179">
        <f>Balance_Sheet_Qtr!AC12</f>
        <v>86961</v>
      </c>
      <c r="BO124" s="179">
        <f>Balance_Sheet_Qtr!AD12</f>
        <v>81715</v>
      </c>
      <c r="BP124" s="179">
        <f>Balance_Sheet_Qtr!AF12</f>
        <v>82668</v>
      </c>
      <c r="BQ124" s="179">
        <f>Balance_Sheet_Qtr!AG12</f>
        <v>81799</v>
      </c>
      <c r="BR124" s="179">
        <f>Balance_Sheet_Qtr!AH12</f>
        <v>81897</v>
      </c>
      <c r="BS124" s="179">
        <f>Balance_Sheet_Qtr!AI12</f>
        <v>78823</v>
      </c>
      <c r="BT124" s="179">
        <f>Balance_Sheet_Qtr!AK12</f>
        <v>79819</v>
      </c>
      <c r="BU124" s="179">
        <f>Balance_Sheet_Qtr!AL12</f>
        <v>79917</v>
      </c>
      <c r="BV124" s="179">
        <f>Balance_Sheet_Qtr!AM12</f>
        <v>79777</v>
      </c>
      <c r="BW124" s="179">
        <f>Balance_Sheet_Qtr!AN12</f>
        <v>78151</v>
      </c>
      <c r="BX124" s="179">
        <f>Balance_Sheet_Qtr!AP12</f>
        <v>78503</v>
      </c>
      <c r="BY124" s="179">
        <f>Balance_Sheet_Qtr!AQ12</f>
        <v>78322</v>
      </c>
      <c r="BZ124" s="179">
        <f>Balance_Sheet_Qtr!AR12</f>
        <v>78972</v>
      </c>
      <c r="CA124" s="179">
        <f>Balance_Sheet_Qtr!AS12</f>
        <v>79741</v>
      </c>
      <c r="CB124" s="179">
        <f>Balance_Sheet_Qtr!AU12</f>
        <v>83471</v>
      </c>
      <c r="CC124" s="179">
        <f>Balance_Sheet_Qtr!AV12</f>
        <v>85661</v>
      </c>
      <c r="CD124" s="179">
        <f>Balance_Sheet_Qtr!AW12</f>
        <v>83341</v>
      </c>
      <c r="CE124" s="179">
        <f>Balance_Sheet_Qtr!AX12</f>
        <v>87550</v>
      </c>
      <c r="CF124" s="179">
        <f>Balance_Sheet_Qtr!AZ12</f>
        <v>89077</v>
      </c>
      <c r="CG124" s="179">
        <f>Balance_Sheet_Qtr!BA12</f>
        <v>87853</v>
      </c>
      <c r="CH124" s="179">
        <f>Balance_Sheet_Qtr!BB12</f>
        <v>82425</v>
      </c>
      <c r="CI124" s="179">
        <f>Balance_Sheet_Qtr!BC12</f>
        <v>84679</v>
      </c>
      <c r="CJ124" s="108">
        <f ca="1">CI124+CJ28+CJ51+CJ86+CJ100+CJ114+CJ118</f>
        <v>84664.3125</v>
      </c>
      <c r="CK124" s="108">
        <f ca="1">CJ124+CK28+CK51+CK86+CK100+CK114+CK118</f>
        <v>84401.625</v>
      </c>
      <c r="CL124" s="108">
        <f ca="1">CK124+CL28+CL51+CL86+CL100+CL114+CL118</f>
        <v>83590.9375</v>
      </c>
      <c r="CM124" s="108">
        <f ca="1">CL124+CM28+CM51+CM86+CM100+CM114+CM118</f>
        <v>82768.25</v>
      </c>
    </row>
    <row r="125" spans="1:92" s="5" customFormat="1">
      <c r="A125" s="1" t="s">
        <v>561</v>
      </c>
      <c r="B125" s="72" t="s">
        <v>219</v>
      </c>
      <c r="C125" s="72">
        <f>C124-B124</f>
        <v>7923</v>
      </c>
      <c r="D125" s="72">
        <f t="shared" ref="D125:V125" si="393">D124-C124</f>
        <v>5511</v>
      </c>
      <c r="E125" s="72">
        <f t="shared" si="393"/>
        <v>5161</v>
      </c>
      <c r="F125" s="72">
        <f t="shared" si="393"/>
        <v>3844</v>
      </c>
      <c r="G125" s="72">
        <f t="shared" si="393"/>
        <v>501</v>
      </c>
      <c r="H125" s="72">
        <f t="shared" si="393"/>
        <v>-4058</v>
      </c>
      <c r="I125" s="72">
        <f t="shared" si="393"/>
        <v>1145</v>
      </c>
      <c r="J125" s="72">
        <f t="shared" si="393"/>
        <v>18223</v>
      </c>
      <c r="K125" s="72">
        <f t="shared" si="393"/>
        <v>14055</v>
      </c>
      <c r="L125" s="72">
        <f>L124-K124</f>
        <v>5093</v>
      </c>
      <c r="M125" s="72">
        <f t="shared" si="393"/>
        <v>-2892</v>
      </c>
      <c r="N125" s="72">
        <f t="shared" si="393"/>
        <v>-672</v>
      </c>
      <c r="O125" s="72">
        <f t="shared" si="393"/>
        <v>1590</v>
      </c>
      <c r="P125" s="72">
        <f t="shared" si="393"/>
        <v>7809</v>
      </c>
      <c r="Q125" s="72">
        <f t="shared" si="393"/>
        <v>-2871</v>
      </c>
      <c r="R125" s="72">
        <f t="shared" ca="1" si="393"/>
        <v>-1910.75</v>
      </c>
      <c r="S125" s="72">
        <f t="shared" ca="1" si="393"/>
        <v>-910</v>
      </c>
      <c r="T125" s="72">
        <f t="shared" ca="1" si="393"/>
        <v>-1660</v>
      </c>
      <c r="U125" s="72">
        <f t="shared" ca="1" si="393"/>
        <v>-1660</v>
      </c>
      <c r="V125" s="72">
        <f t="shared" ca="1" si="393"/>
        <v>-1660</v>
      </c>
      <c r="X125" s="72" t="s">
        <v>219</v>
      </c>
      <c r="Y125" s="72">
        <f t="shared" ref="Y125:BS125" si="394">Y124-X124</f>
        <v>1595</v>
      </c>
      <c r="Z125" s="72">
        <f t="shared" si="394"/>
        <v>1324</v>
      </c>
      <c r="AA125" s="72">
        <f t="shared" si="394"/>
        <v>2625</v>
      </c>
      <c r="AB125" s="72">
        <f t="shared" si="394"/>
        <v>2595</v>
      </c>
      <c r="AC125" s="72">
        <f t="shared" si="394"/>
        <v>2182</v>
      </c>
      <c r="AD125" s="72">
        <f t="shared" si="394"/>
        <v>1399</v>
      </c>
      <c r="AE125" s="72">
        <f t="shared" si="394"/>
        <v>1747</v>
      </c>
      <c r="AF125" s="72">
        <f t="shared" si="394"/>
        <v>498</v>
      </c>
      <c r="AG125" s="72">
        <f t="shared" si="394"/>
        <v>2295</v>
      </c>
      <c r="AH125" s="72">
        <f t="shared" si="394"/>
        <v>1784</v>
      </c>
      <c r="AI125" s="72">
        <f t="shared" si="394"/>
        <v>934</v>
      </c>
      <c r="AJ125" s="72">
        <f t="shared" si="394"/>
        <v>3046</v>
      </c>
      <c r="AK125" s="72">
        <f t="shared" si="394"/>
        <v>-563</v>
      </c>
      <c r="AL125" s="72">
        <f t="shared" si="394"/>
        <v>1006</v>
      </c>
      <c r="AM125" s="72">
        <f t="shared" si="394"/>
        <v>1672</v>
      </c>
      <c r="AN125" s="72">
        <f t="shared" si="394"/>
        <v>2029</v>
      </c>
      <c r="AO125" s="72">
        <f t="shared" si="394"/>
        <v>1310</v>
      </c>
      <c r="AP125" s="72">
        <f t="shared" si="394"/>
        <v>807</v>
      </c>
      <c r="AQ125" s="72">
        <f t="shared" si="394"/>
        <v>-302</v>
      </c>
      <c r="AR125" s="72">
        <f t="shared" si="394"/>
        <v>1746</v>
      </c>
      <c r="AS125" s="72">
        <f t="shared" si="394"/>
        <v>526</v>
      </c>
      <c r="AT125" s="72">
        <f t="shared" si="394"/>
        <v>-404</v>
      </c>
      <c r="AU125" s="72">
        <f t="shared" si="394"/>
        <v>-1367</v>
      </c>
      <c r="AV125" s="72">
        <f t="shared" si="394"/>
        <v>9</v>
      </c>
      <c r="AW125" s="72">
        <f t="shared" si="394"/>
        <v>-3084</v>
      </c>
      <c r="AX125" s="72">
        <f t="shared" si="394"/>
        <v>-1502</v>
      </c>
      <c r="AY125" s="72">
        <f t="shared" si="394"/>
        <v>519</v>
      </c>
      <c r="AZ125" s="72">
        <f t="shared" si="394"/>
        <v>48</v>
      </c>
      <c r="BA125" s="72">
        <f t="shared" si="394"/>
        <v>-794</v>
      </c>
      <c r="BB125" s="72">
        <f t="shared" si="394"/>
        <v>578</v>
      </c>
      <c r="BC125" s="72">
        <f t="shared" si="394"/>
        <v>1313</v>
      </c>
      <c r="BD125" s="72">
        <f t="shared" si="394"/>
        <v>16959</v>
      </c>
      <c r="BE125" s="72">
        <f t="shared" si="394"/>
        <v>-53</v>
      </c>
      <c r="BF125" s="72">
        <f t="shared" si="394"/>
        <v>788</v>
      </c>
      <c r="BG125" s="72">
        <f t="shared" si="394"/>
        <v>529</v>
      </c>
      <c r="BH125" s="72">
        <f t="shared" si="394"/>
        <v>2802</v>
      </c>
      <c r="BI125" s="72">
        <f t="shared" si="394"/>
        <v>3123</v>
      </c>
      <c r="BJ125" s="72">
        <f t="shared" si="394"/>
        <v>4787</v>
      </c>
      <c r="BK125" s="72">
        <f t="shared" si="394"/>
        <v>3343</v>
      </c>
      <c r="BL125" s="72">
        <f t="shared" si="394"/>
        <v>3398</v>
      </c>
      <c r="BM125" s="72">
        <f t="shared" si="394"/>
        <v>3725</v>
      </c>
      <c r="BN125" s="72">
        <f t="shared" si="394"/>
        <v>3216</v>
      </c>
      <c r="BO125" s="72">
        <f t="shared" si="394"/>
        <v>-5246</v>
      </c>
      <c r="BP125" s="72">
        <f t="shared" si="394"/>
        <v>953</v>
      </c>
      <c r="BQ125" s="72">
        <f t="shared" si="394"/>
        <v>-869</v>
      </c>
      <c r="BR125" s="72">
        <f t="shared" si="394"/>
        <v>98</v>
      </c>
      <c r="BS125" s="72">
        <f t="shared" si="394"/>
        <v>-3074</v>
      </c>
      <c r="BT125" s="72">
        <f>BT124-BS124</f>
        <v>996</v>
      </c>
      <c r="BU125" s="72">
        <f>BU124-BT124</f>
        <v>98</v>
      </c>
      <c r="BV125" s="72">
        <f>BV124-BU124</f>
        <v>-140</v>
      </c>
      <c r="BW125" s="72">
        <f>BW124-BV124</f>
        <v>-1626</v>
      </c>
      <c r="BX125" s="72">
        <f t="shared" ref="BX125:CB125" si="395">BX124-BW124</f>
        <v>352</v>
      </c>
      <c r="BY125" s="72">
        <f t="shared" si="395"/>
        <v>-181</v>
      </c>
      <c r="BZ125" s="72">
        <f t="shared" si="395"/>
        <v>650</v>
      </c>
      <c r="CA125" s="72">
        <f t="shared" si="395"/>
        <v>769</v>
      </c>
      <c r="CB125" s="72">
        <f t="shared" si="395"/>
        <v>3730</v>
      </c>
      <c r="CC125" s="72">
        <f t="shared" ref="CC125" si="396">CC124-CB124</f>
        <v>2190</v>
      </c>
      <c r="CD125" s="72">
        <f t="shared" ref="CD125" si="397">CD124-CC124</f>
        <v>-2320</v>
      </c>
      <c r="CE125" s="72">
        <f t="shared" ref="CE125" si="398">CE124-CD124</f>
        <v>4209</v>
      </c>
      <c r="CF125" s="72">
        <f>CF124-CE124</f>
        <v>1527</v>
      </c>
      <c r="CG125" s="72">
        <f>CG124-CF124</f>
        <v>-1224</v>
      </c>
      <c r="CH125" s="72">
        <f>CH124-CG124</f>
        <v>-5428</v>
      </c>
      <c r="CI125" s="72">
        <f t="shared" ref="CI125:CM125" si="399">CI124-CH124</f>
        <v>2254</v>
      </c>
      <c r="CJ125" s="72">
        <f t="shared" ca="1" si="399"/>
        <v>-14.6875</v>
      </c>
      <c r="CK125" s="72">
        <f t="shared" ca="1" si="399"/>
        <v>-262.6875</v>
      </c>
      <c r="CL125" s="72">
        <f t="shared" ca="1" si="399"/>
        <v>-810.6875</v>
      </c>
      <c r="CM125" s="72">
        <f t="shared" ca="1" si="399"/>
        <v>-822.6875</v>
      </c>
    </row>
    <row r="126" spans="1:92" s="5" customFormat="1">
      <c r="A126" s="12"/>
      <c r="B126" s="308"/>
      <c r="C126" s="308"/>
      <c r="D126" s="40"/>
      <c r="E126" s="40"/>
      <c r="F126" s="40"/>
      <c r="G126"/>
      <c r="H126"/>
      <c r="I126" s="40"/>
      <c r="J126" s="40"/>
      <c r="K126" s="40"/>
      <c r="L126" s="40"/>
      <c r="M126" s="40"/>
      <c r="N126" s="40"/>
      <c r="O126" s="40"/>
      <c r="P126" s="40"/>
      <c r="Q126" s="40"/>
      <c r="R126" s="40"/>
      <c r="S126" s="40"/>
      <c r="T126" s="40"/>
      <c r="U126" s="40"/>
      <c r="V126" s="40"/>
      <c r="X126" s="314"/>
      <c r="Y126" s="314"/>
      <c r="Z126" s="314"/>
      <c r="AA126" s="314"/>
      <c r="AB126" s="314"/>
      <c r="AC126" s="314"/>
      <c r="AD126" s="314"/>
      <c r="AE126" s="314"/>
      <c r="AF126" s="314"/>
      <c r="AG126" s="314"/>
      <c r="AH126" s="314"/>
      <c r="AI126" s="314"/>
      <c r="AJ126" s="314"/>
      <c r="AK126" s="314"/>
      <c r="AL126" s="314"/>
      <c r="AM126" s="314"/>
      <c r="AN126" s="314"/>
      <c r="AO126" s="314"/>
      <c r="AP126" s="314"/>
      <c r="AQ126" s="314"/>
      <c r="AR126" s="314"/>
      <c r="AS126" s="314"/>
      <c r="AT126" s="314"/>
      <c r="AU126" s="314"/>
      <c r="AV126" s="314"/>
      <c r="AW126" s="314"/>
      <c r="AX126" s="314"/>
      <c r="AY126" s="314"/>
      <c r="AZ126" s="314"/>
      <c r="BA126" s="314"/>
      <c r="BB126" s="314"/>
      <c r="BC126" s="314"/>
      <c r="BD126" s="314"/>
      <c r="BE126" s="314"/>
      <c r="BF126" s="314"/>
      <c r="BG126" s="314"/>
      <c r="BH126" s="40"/>
      <c r="BI126" s="40"/>
      <c r="BJ126" s="40"/>
      <c r="BK126" s="40"/>
      <c r="BL126" s="40"/>
      <c r="BM126" s="40"/>
      <c r="BN126" s="40"/>
      <c r="BO126" s="40"/>
      <c r="BP126" s="40"/>
      <c r="BQ126" s="40"/>
      <c r="BR126" s="40"/>
      <c r="BS126" s="40"/>
      <c r="BT126" s="40"/>
      <c r="BU126" s="40"/>
      <c r="BV126" s="40"/>
      <c r="BW126" s="40"/>
      <c r="BX126" s="40"/>
      <c r="BY126" s="40"/>
      <c r="BZ126" s="40"/>
      <c r="CA126" s="40"/>
      <c r="CB126" s="40"/>
      <c r="CC126" s="40"/>
      <c r="CD126" s="40"/>
      <c r="CE126" s="40"/>
      <c r="CF126" s="40"/>
      <c r="CG126" s="40"/>
      <c r="CH126" s="40"/>
      <c r="CI126" s="40"/>
      <c r="CJ126" s="40"/>
      <c r="CK126" s="40"/>
      <c r="CL126" s="40"/>
      <c r="CM126" s="40"/>
    </row>
    <row r="127" spans="1:92">
      <c r="A127" s="16" t="s">
        <v>519</v>
      </c>
      <c r="B127" s="60"/>
      <c r="C127" s="60"/>
      <c r="D127" s="327"/>
      <c r="E127" s="327"/>
      <c r="F127" s="327"/>
      <c r="G127" s="327"/>
      <c r="H127" s="327"/>
      <c r="I127" s="327"/>
      <c r="J127" s="327"/>
      <c r="K127" s="327"/>
      <c r="L127" s="327"/>
      <c r="M127" s="327"/>
      <c r="N127" s="327"/>
      <c r="O127" s="327"/>
      <c r="P127" s="327"/>
      <c r="Q127" s="327"/>
      <c r="R127" s="327"/>
      <c r="S127" s="327"/>
      <c r="T127" s="327"/>
      <c r="U127" s="327"/>
      <c r="V127" s="327"/>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317"/>
      <c r="AV127" s="60"/>
      <c r="AW127" s="60"/>
      <c r="AX127" s="60"/>
      <c r="AY127" s="317"/>
      <c r="AZ127" s="60"/>
      <c r="BA127" s="60"/>
      <c r="BB127" s="60"/>
      <c r="BC127" s="317"/>
      <c r="BD127" s="60"/>
      <c r="BE127" s="60"/>
      <c r="BF127" s="60"/>
      <c r="BG127" s="317"/>
      <c r="BH127" s="327"/>
      <c r="BI127" s="327"/>
      <c r="BJ127" s="327"/>
      <c r="BK127" s="327"/>
      <c r="BL127" s="327"/>
      <c r="BM127" s="327"/>
      <c r="BN127" s="327"/>
      <c r="BO127" s="327"/>
      <c r="BP127" s="327"/>
      <c r="BQ127" s="327"/>
      <c r="BR127" s="327"/>
      <c r="BS127" s="327"/>
      <c r="BT127" s="327"/>
      <c r="BU127" s="327"/>
      <c r="BV127" s="327"/>
      <c r="BW127" s="327"/>
      <c r="BX127" s="327"/>
      <c r="BY127" s="327"/>
      <c r="BZ127" s="327"/>
      <c r="CA127" s="327"/>
      <c r="CB127" s="327"/>
      <c r="CC127" s="327"/>
      <c r="CD127" s="327"/>
      <c r="CE127" s="327"/>
      <c r="CF127" s="327"/>
      <c r="CG127" s="327"/>
      <c r="CH127" s="327"/>
      <c r="CI127" s="327"/>
      <c r="CJ127" s="327"/>
      <c r="CK127" s="327"/>
      <c r="CL127" s="327"/>
      <c r="CM127" s="327"/>
    </row>
    <row r="128" spans="1:92" s="5" customFormat="1">
      <c r="B128" s="308"/>
      <c r="C128" s="308"/>
      <c r="D128" s="308"/>
      <c r="E128" s="308"/>
      <c r="F128" s="308"/>
      <c r="G128" s="308"/>
      <c r="H128" s="308"/>
      <c r="I128" s="40"/>
      <c r="J128" s="40"/>
      <c r="K128" s="40"/>
      <c r="L128" s="40"/>
      <c r="M128" s="40"/>
      <c r="N128" s="308"/>
      <c r="O128" s="308"/>
      <c r="P128" s="308"/>
      <c r="Q128" s="308"/>
      <c r="R128" s="308"/>
      <c r="S128" s="308"/>
      <c r="T128" s="308"/>
      <c r="U128" s="308"/>
      <c r="V128" s="308"/>
      <c r="X128" s="308"/>
      <c r="Y128" s="40"/>
      <c r="Z128" s="308"/>
      <c r="AA128" s="308"/>
      <c r="AB128" s="308"/>
      <c r="AC128" s="308"/>
      <c r="AD128" s="308"/>
      <c r="AE128" s="308"/>
      <c r="AF128" s="308"/>
      <c r="AG128" s="308"/>
      <c r="AH128" s="308"/>
      <c r="AI128" s="308"/>
      <c r="AJ128" s="308"/>
      <c r="AK128" s="308"/>
      <c r="AL128" s="308"/>
      <c r="AM128" s="308"/>
      <c r="AN128" s="308"/>
      <c r="AO128" s="308"/>
      <c r="AP128" s="308"/>
      <c r="AQ128" s="308"/>
      <c r="AR128" s="308"/>
      <c r="AS128" s="308"/>
      <c r="AT128" s="308"/>
      <c r="AU128" s="318"/>
      <c r="AV128" s="308"/>
      <c r="AW128" s="308"/>
      <c r="AX128" s="308"/>
      <c r="AY128" s="318"/>
      <c r="AZ128" s="40"/>
      <c r="BA128" s="108"/>
      <c r="BB128" s="40"/>
      <c r="BC128" s="108"/>
      <c r="BD128" s="40"/>
      <c r="BE128" s="40"/>
      <c r="BF128" s="40"/>
      <c r="BG128" s="108"/>
      <c r="BH128" s="40"/>
      <c r="BI128" s="40"/>
      <c r="BJ128" s="40"/>
      <c r="BK128" s="108"/>
      <c r="BL128" s="40"/>
      <c r="BM128" s="308"/>
      <c r="BN128" s="308"/>
      <c r="BO128" s="318"/>
      <c r="BP128" s="314"/>
      <c r="BQ128" s="308"/>
      <c r="BR128" s="308"/>
      <c r="BS128" s="318"/>
      <c r="BT128" s="318"/>
      <c r="BU128" s="318"/>
      <c r="BV128" s="318"/>
      <c r="BW128" s="318"/>
      <c r="BX128" s="318"/>
      <c r="BY128" s="318"/>
      <c r="BZ128" s="318"/>
      <c r="CA128" s="318"/>
      <c r="CB128" s="318"/>
      <c r="CC128" s="318"/>
      <c r="CD128" s="318"/>
      <c r="CE128" s="318"/>
      <c r="CF128" s="318"/>
      <c r="CG128" s="318"/>
      <c r="CH128" s="318"/>
      <c r="CI128" s="318"/>
      <c r="CJ128" s="308"/>
      <c r="CK128" s="308"/>
      <c r="CL128" s="308"/>
      <c r="CM128" s="308"/>
    </row>
    <row r="129" spans="1:91" s="5" customFormat="1">
      <c r="A129" s="14">
        <v>787</v>
      </c>
      <c r="B129" s="308"/>
      <c r="C129" s="308"/>
      <c r="D129" s="308"/>
      <c r="E129" s="308"/>
      <c r="F129" s="308"/>
      <c r="G129" s="308"/>
      <c r="H129" s="308"/>
      <c r="I129" s="40"/>
      <c r="J129" s="40"/>
      <c r="K129" s="40"/>
      <c r="L129" s="40"/>
      <c r="M129" s="40"/>
      <c r="N129" s="308"/>
      <c r="O129" s="308"/>
      <c r="P129" s="308"/>
      <c r="Q129" s="308"/>
      <c r="R129" s="308"/>
      <c r="S129" s="308"/>
      <c r="T129" s="308"/>
      <c r="U129" s="308"/>
      <c r="V129" s="308"/>
      <c r="X129" s="308"/>
      <c r="Y129" s="314"/>
      <c r="Z129" s="308"/>
      <c r="AA129" s="308"/>
      <c r="AB129" s="308"/>
      <c r="AC129" s="308"/>
      <c r="AD129" s="308"/>
      <c r="AE129" s="308"/>
      <c r="AF129" s="308"/>
      <c r="AG129" s="308"/>
      <c r="AH129" s="308"/>
      <c r="AI129" s="308"/>
      <c r="AJ129" s="308"/>
      <c r="AK129" s="308"/>
      <c r="AL129" s="308"/>
      <c r="AM129" s="308"/>
      <c r="AN129" s="308"/>
      <c r="AO129" s="308"/>
      <c r="AP129" s="308"/>
      <c r="AQ129" s="308"/>
      <c r="AR129" s="308"/>
      <c r="AS129" s="308"/>
      <c r="AT129" s="308"/>
      <c r="AU129" s="318"/>
      <c r="AV129" s="308"/>
      <c r="AW129" s="308"/>
      <c r="AX129" s="308"/>
      <c r="AY129" s="318"/>
      <c r="AZ129" s="40"/>
      <c r="BA129" s="108"/>
      <c r="BB129" s="40"/>
      <c r="BC129" s="108"/>
      <c r="BD129" s="40"/>
      <c r="BE129" s="40"/>
      <c r="BF129" s="40"/>
      <c r="BG129" s="108"/>
      <c r="BH129" s="40"/>
      <c r="BI129" s="40"/>
      <c r="BJ129" s="40"/>
      <c r="BK129" s="108"/>
      <c r="BL129" s="40"/>
      <c r="BM129" s="308"/>
      <c r="BN129" s="308"/>
      <c r="BO129" s="318"/>
      <c r="BP129" s="314"/>
      <c r="BQ129" s="314"/>
      <c r="BR129" s="308"/>
      <c r="BS129" s="318"/>
      <c r="BT129" s="318"/>
      <c r="BU129" s="318"/>
      <c r="BV129" s="318"/>
      <c r="BW129" s="318"/>
      <c r="BX129" s="318"/>
      <c r="BY129" s="318"/>
      <c r="BZ129" s="318"/>
      <c r="CA129" s="318"/>
      <c r="CB129" s="318"/>
      <c r="CC129" s="318"/>
      <c r="CD129" s="318"/>
      <c r="CE129" s="318"/>
      <c r="CF129" s="318"/>
      <c r="CG129" s="318"/>
      <c r="CH129" s="318"/>
      <c r="CI129" s="318"/>
      <c r="CJ129" s="308"/>
      <c r="CK129" s="308"/>
      <c r="CL129" s="308"/>
      <c r="CM129" s="308"/>
    </row>
    <row r="130" spans="1:91">
      <c r="A130" s="1" t="s">
        <v>512</v>
      </c>
      <c r="B130" s="72">
        <f>AB130</f>
        <v>0</v>
      </c>
      <c r="C130" s="72">
        <f>AE130</f>
        <v>1100</v>
      </c>
      <c r="D130" s="72">
        <f>AI130</f>
        <v>1100</v>
      </c>
      <c r="E130" s="72">
        <f>AM130</f>
        <v>1300</v>
      </c>
      <c r="F130" s="72">
        <f>AQ130</f>
        <v>1300</v>
      </c>
      <c r="G130" s="72">
        <f>AU130</f>
        <v>1300</v>
      </c>
      <c r="H130" s="72">
        <f>AY130</f>
        <v>1300</v>
      </c>
      <c r="I130" s="72">
        <f>BC130</f>
        <v>1400</v>
      </c>
      <c r="J130" s="72">
        <f>BG130</f>
        <v>1600</v>
      </c>
      <c r="K130" s="72">
        <f>BK130</f>
        <v>1600</v>
      </c>
      <c r="L130" s="270">
        <v>1500</v>
      </c>
      <c r="M130" s="270">
        <v>1500</v>
      </c>
      <c r="N130" s="270">
        <v>1500</v>
      </c>
      <c r="O130" s="270">
        <v>1500</v>
      </c>
      <c r="P130" s="270">
        <v>1500</v>
      </c>
      <c r="Q130" s="270">
        <v>1500</v>
      </c>
      <c r="R130" s="270">
        <v>1500</v>
      </c>
      <c r="S130" s="270">
        <v>1500</v>
      </c>
      <c r="T130" s="270">
        <v>1500</v>
      </c>
      <c r="U130" s="270">
        <v>1500</v>
      </c>
      <c r="V130" s="270">
        <v>1500</v>
      </c>
      <c r="X130" s="270">
        <v>0</v>
      </c>
      <c r="Y130" s="270">
        <v>0</v>
      </c>
      <c r="Z130" s="270">
        <v>0</v>
      </c>
      <c r="AA130" s="270">
        <v>0</v>
      </c>
      <c r="AB130" s="270">
        <v>0</v>
      </c>
      <c r="AC130" s="270">
        <v>0</v>
      </c>
      <c r="AD130" s="270">
        <v>1100</v>
      </c>
      <c r="AE130" s="270">
        <v>1100</v>
      </c>
      <c r="AF130" s="270">
        <v>1100</v>
      </c>
      <c r="AG130" s="270">
        <v>1100</v>
      </c>
      <c r="AH130" s="270">
        <v>1100</v>
      </c>
      <c r="AI130" s="270">
        <v>1100</v>
      </c>
      <c r="AJ130" s="270">
        <v>1100</v>
      </c>
      <c r="AK130" s="270">
        <v>1100</v>
      </c>
      <c r="AL130" s="270">
        <v>1300</v>
      </c>
      <c r="AM130" s="270">
        <v>1300</v>
      </c>
      <c r="AN130" s="270">
        <v>1300</v>
      </c>
      <c r="AO130" s="270">
        <v>1300</v>
      </c>
      <c r="AP130" s="270">
        <v>1300</v>
      </c>
      <c r="AQ130" s="270">
        <v>1300</v>
      </c>
      <c r="AR130" s="270">
        <v>1300</v>
      </c>
      <c r="AS130" s="270">
        <v>1300</v>
      </c>
      <c r="AT130" s="270">
        <v>1300</v>
      </c>
      <c r="AU130" s="270">
        <v>1300</v>
      </c>
      <c r="AV130" s="270">
        <v>1300</v>
      </c>
      <c r="AW130" s="270">
        <v>1300</v>
      </c>
      <c r="AX130" s="270">
        <v>1300</v>
      </c>
      <c r="AY130" s="270">
        <v>1300</v>
      </c>
      <c r="AZ130" s="270">
        <v>1300</v>
      </c>
      <c r="BA130" s="270">
        <v>1300</v>
      </c>
      <c r="BB130" s="270">
        <v>1400</v>
      </c>
      <c r="BC130" s="270">
        <v>1400</v>
      </c>
      <c r="BD130" s="270">
        <v>1400</v>
      </c>
      <c r="BE130" s="270">
        <v>1500</v>
      </c>
      <c r="BF130" s="270">
        <v>1500</v>
      </c>
      <c r="BG130" s="270">
        <v>1600</v>
      </c>
      <c r="BH130" s="270">
        <v>1600</v>
      </c>
      <c r="BI130" s="270">
        <v>1600</v>
      </c>
      <c r="BJ130" s="270">
        <v>1600</v>
      </c>
      <c r="BK130" s="270">
        <v>1600</v>
      </c>
      <c r="BL130" s="270">
        <v>1500</v>
      </c>
      <c r="BM130" s="270">
        <v>1500</v>
      </c>
      <c r="BN130" s="270">
        <v>1500</v>
      </c>
      <c r="BO130" s="270">
        <v>1500</v>
      </c>
      <c r="BP130" s="270">
        <v>1500</v>
      </c>
      <c r="BQ130" s="270">
        <v>1500</v>
      </c>
      <c r="BR130" s="270">
        <v>1500</v>
      </c>
      <c r="BS130" s="458"/>
      <c r="BT130" s="274"/>
      <c r="BU130" s="274"/>
      <c r="BV130" s="274"/>
      <c r="BW130" s="274"/>
      <c r="BX130" s="274"/>
      <c r="BY130" s="274"/>
      <c r="BZ130" s="274"/>
      <c r="CA130" s="274"/>
      <c r="CB130" s="274"/>
      <c r="CC130" s="274"/>
      <c r="CD130" s="274"/>
      <c r="CE130" s="274"/>
      <c r="CF130" s="274"/>
      <c r="CG130" s="274"/>
      <c r="CH130" s="274"/>
      <c r="CI130" s="274"/>
      <c r="CJ130" s="270"/>
      <c r="CK130" s="270"/>
      <c r="CL130" s="270"/>
      <c r="CM130" s="270"/>
    </row>
    <row r="131" spans="1:91">
      <c r="A131" s="1" t="s">
        <v>513</v>
      </c>
      <c r="B131" s="72">
        <f>AB131</f>
        <v>835</v>
      </c>
      <c r="C131" s="72">
        <f>AE131</f>
        <v>857</v>
      </c>
      <c r="D131" s="72">
        <f>AI131</f>
        <v>799</v>
      </c>
      <c r="E131" s="72">
        <f>AM131</f>
        <v>916</v>
      </c>
      <c r="F131" s="72">
        <f>AQ131</f>
        <v>843</v>
      </c>
      <c r="G131" s="72">
        <f>AU131</f>
        <v>779</v>
      </c>
      <c r="H131" s="72">
        <f>AY131</f>
        <v>700</v>
      </c>
      <c r="I131" s="72">
        <f>BC131</f>
        <v>658</v>
      </c>
      <c r="J131" s="72">
        <f>BG131</f>
        <v>604</v>
      </c>
      <c r="K131" s="72">
        <f>BK131</f>
        <v>520</v>
      </c>
      <c r="L131" s="270">
        <v>515</v>
      </c>
      <c r="M131" s="40"/>
      <c r="N131" s="308"/>
      <c r="O131" s="308"/>
      <c r="P131" s="308"/>
      <c r="Q131" s="308"/>
      <c r="R131" s="308"/>
      <c r="S131" s="308"/>
      <c r="T131" s="308"/>
      <c r="U131" s="308"/>
      <c r="V131" s="308"/>
      <c r="X131" s="270">
        <v>866</v>
      </c>
      <c r="Y131" s="270">
        <v>863</v>
      </c>
      <c r="Z131" s="270">
        <v>847</v>
      </c>
      <c r="AA131" s="270">
        <v>847</v>
      </c>
      <c r="AB131" s="270">
        <v>835</v>
      </c>
      <c r="AC131" s="270">
        <v>827</v>
      </c>
      <c r="AD131" s="270">
        <v>820</v>
      </c>
      <c r="AE131" s="270">
        <v>857</v>
      </c>
      <c r="AF131" s="270">
        <v>843</v>
      </c>
      <c r="AG131" s="270">
        <v>845</v>
      </c>
      <c r="AH131" s="270">
        <v>812</v>
      </c>
      <c r="AI131" s="270">
        <v>799</v>
      </c>
      <c r="AJ131" s="270">
        <v>840</v>
      </c>
      <c r="AK131" s="270">
        <v>864</v>
      </c>
      <c r="AL131" s="270">
        <v>890</v>
      </c>
      <c r="AM131" s="270">
        <v>916</v>
      </c>
      <c r="AN131" s="270">
        <v>899</v>
      </c>
      <c r="AO131" s="270">
        <v>869</v>
      </c>
      <c r="AP131" s="270">
        <v>861</v>
      </c>
      <c r="AQ131" s="270">
        <v>843</v>
      </c>
      <c r="AR131" s="270">
        <v>847</v>
      </c>
      <c r="AS131" s="270">
        <v>803</v>
      </c>
      <c r="AT131" s="270">
        <v>768</v>
      </c>
      <c r="AU131" s="270">
        <v>779</v>
      </c>
      <c r="AV131" s="270">
        <v>746</v>
      </c>
      <c r="AW131" s="270">
        <v>724</v>
      </c>
      <c r="AX131" s="270">
        <v>694</v>
      </c>
      <c r="AY131" s="270">
        <v>700</v>
      </c>
      <c r="AZ131" s="270">
        <v>679</v>
      </c>
      <c r="BA131" s="270">
        <v>710</v>
      </c>
      <c r="BB131" s="270">
        <v>683</v>
      </c>
      <c r="BC131" s="270">
        <v>658</v>
      </c>
      <c r="BD131" s="270">
        <v>638</v>
      </c>
      <c r="BE131" s="270">
        <v>655</v>
      </c>
      <c r="BF131" s="270">
        <v>638</v>
      </c>
      <c r="BG131" s="270">
        <v>604</v>
      </c>
      <c r="BH131" s="270">
        <v>596</v>
      </c>
      <c r="BI131" s="270">
        <v>555</v>
      </c>
      <c r="BJ131" s="270">
        <v>529</v>
      </c>
      <c r="BK131" s="270">
        <v>520</v>
      </c>
      <c r="BL131" s="270">
        <v>515</v>
      </c>
      <c r="BM131" s="270">
        <v>501</v>
      </c>
      <c r="BN131" s="270">
        <v>475</v>
      </c>
      <c r="BO131" s="270">
        <v>458</v>
      </c>
      <c r="BP131" s="270">
        <v>442</v>
      </c>
      <c r="BQ131" s="270">
        <v>417</v>
      </c>
      <c r="BR131" s="270">
        <v>413</v>
      </c>
      <c r="BS131" s="458"/>
      <c r="BT131" s="274"/>
      <c r="BU131" s="274"/>
      <c r="BV131" s="274"/>
      <c r="BW131" s="274"/>
      <c r="BX131" s="274"/>
      <c r="BY131" s="274"/>
      <c r="BZ131" s="274"/>
      <c r="CA131" s="274"/>
      <c r="CB131" s="274"/>
      <c r="CC131" s="274"/>
      <c r="CD131" s="274"/>
      <c r="CE131" s="274"/>
      <c r="CF131" s="274"/>
      <c r="CG131" s="274"/>
      <c r="CH131" s="274"/>
      <c r="CI131" s="274"/>
      <c r="CJ131" s="308"/>
      <c r="CK131" s="308"/>
      <c r="CL131" s="308"/>
      <c r="CM131" s="308"/>
    </row>
    <row r="132" spans="1:91">
      <c r="A132" s="1" t="s">
        <v>514</v>
      </c>
      <c r="B132" s="72">
        <f>AB132</f>
        <v>835</v>
      </c>
      <c r="C132" s="72">
        <f>AE132</f>
        <v>860</v>
      </c>
      <c r="D132" s="72">
        <f>AI132</f>
        <v>848</v>
      </c>
      <c r="E132" s="72">
        <f>AM132</f>
        <v>1030</v>
      </c>
      <c r="F132" s="72">
        <f>AQ132</f>
        <v>1071</v>
      </c>
      <c r="G132" s="72">
        <f>AU132</f>
        <v>1142</v>
      </c>
      <c r="H132" s="72">
        <f>AY132</f>
        <v>1200</v>
      </c>
      <c r="I132" s="72">
        <f>BC132</f>
        <v>1294</v>
      </c>
      <c r="J132" s="72">
        <f>BG132</f>
        <v>1385</v>
      </c>
      <c r="K132" s="72">
        <f>BK132</f>
        <v>1459</v>
      </c>
      <c r="L132" s="270">
        <v>1483</v>
      </c>
      <c r="M132" s="40"/>
      <c r="N132" s="308"/>
      <c r="O132" s="308"/>
      <c r="P132" s="308"/>
      <c r="Q132" s="308"/>
      <c r="R132" s="308"/>
      <c r="S132" s="308"/>
      <c r="T132" s="308"/>
      <c r="U132" s="308"/>
      <c r="V132" s="308"/>
      <c r="X132" s="270">
        <v>0</v>
      </c>
      <c r="Y132" s="270">
        <v>0</v>
      </c>
      <c r="Z132" s="270">
        <v>0</v>
      </c>
      <c r="AA132" s="270">
        <v>0</v>
      </c>
      <c r="AB132" s="270">
        <v>835</v>
      </c>
      <c r="AC132" s="270">
        <v>827</v>
      </c>
      <c r="AD132" s="270">
        <v>821</v>
      </c>
      <c r="AE132" s="270">
        <v>860</v>
      </c>
      <c r="AF132" s="270">
        <v>851</v>
      </c>
      <c r="AG132" s="270">
        <v>859</v>
      </c>
      <c r="AH132" s="270">
        <v>838</v>
      </c>
      <c r="AI132" s="270">
        <v>848</v>
      </c>
      <c r="AJ132" s="270">
        <v>890</v>
      </c>
      <c r="AK132" s="270">
        <v>930</v>
      </c>
      <c r="AL132" s="270">
        <v>979</v>
      </c>
      <c r="AM132" s="270">
        <v>1030</v>
      </c>
      <c r="AN132" s="270">
        <v>1031</v>
      </c>
      <c r="AO132" s="270">
        <v>1031</v>
      </c>
      <c r="AP132" s="270">
        <v>1054</v>
      </c>
      <c r="AQ132" s="270">
        <v>1071</v>
      </c>
      <c r="AR132" s="270">
        <v>1105</v>
      </c>
      <c r="AS132" s="270">
        <v>1095</v>
      </c>
      <c r="AT132" s="270">
        <v>1097</v>
      </c>
      <c r="AU132" s="270">
        <v>1142</v>
      </c>
      <c r="AV132" s="270">
        <v>1139</v>
      </c>
      <c r="AW132" s="270">
        <v>1155</v>
      </c>
      <c r="AX132" s="270">
        <v>1161</v>
      </c>
      <c r="AY132" s="270">
        <v>1200</v>
      </c>
      <c r="AZ132" s="270">
        <v>1211</v>
      </c>
      <c r="BA132" s="270">
        <v>1275</v>
      </c>
      <c r="BB132" s="270">
        <v>1283</v>
      </c>
      <c r="BC132" s="270">
        <v>1294</v>
      </c>
      <c r="BD132" s="270">
        <v>1308</v>
      </c>
      <c r="BE132" s="270">
        <v>1363</v>
      </c>
      <c r="BF132" s="270">
        <v>1380</v>
      </c>
      <c r="BG132" s="270">
        <v>1385</v>
      </c>
      <c r="BH132" s="270">
        <v>1413</v>
      </c>
      <c r="BI132" s="270">
        <v>1414</v>
      </c>
      <c r="BJ132" s="270">
        <v>1423</v>
      </c>
      <c r="BK132" s="270">
        <v>1459</v>
      </c>
      <c r="BL132" s="270">
        <v>1483</v>
      </c>
      <c r="BM132" s="270">
        <v>1476</v>
      </c>
      <c r="BN132" s="270">
        <v>1463</v>
      </c>
      <c r="BO132" s="270">
        <v>1450</v>
      </c>
      <c r="BP132" s="270">
        <v>1436</v>
      </c>
      <c r="BQ132" s="270">
        <v>1423</v>
      </c>
      <c r="BR132" s="270">
        <v>1419</v>
      </c>
      <c r="BS132" s="458"/>
      <c r="BT132" s="274"/>
      <c r="BU132" s="274"/>
      <c r="BV132" s="274"/>
      <c r="BW132" s="274"/>
      <c r="BX132" s="274"/>
      <c r="BY132" s="274"/>
      <c r="BZ132" s="274"/>
      <c r="CA132" s="274"/>
      <c r="CB132" s="274"/>
      <c r="CC132" s="274"/>
      <c r="CD132" s="274"/>
      <c r="CE132" s="274"/>
      <c r="CF132" s="274"/>
      <c r="CG132" s="274"/>
      <c r="CH132" s="274"/>
      <c r="CI132" s="274"/>
      <c r="CJ132" s="308"/>
      <c r="CK132" s="308"/>
      <c r="CL132" s="308"/>
      <c r="CM132" s="308"/>
    </row>
    <row r="133" spans="1:91" s="5" customFormat="1">
      <c r="A133" s="12"/>
      <c r="B133" s="308"/>
      <c r="C133" s="308"/>
      <c r="D133" s="308"/>
      <c r="E133" s="308"/>
      <c r="F133" s="308"/>
      <c r="G133" s="308"/>
      <c r="H133" s="308"/>
      <c r="I133" s="40"/>
      <c r="J133" s="40"/>
      <c r="K133" s="40"/>
      <c r="L133" s="40"/>
      <c r="M133" s="40"/>
      <c r="N133" s="308"/>
      <c r="O133" s="308"/>
      <c r="P133" s="308"/>
      <c r="Q133" s="308"/>
      <c r="R133" s="308"/>
      <c r="S133" s="308"/>
      <c r="T133" s="308"/>
      <c r="U133" s="308"/>
      <c r="V133" s="308"/>
      <c r="X133" s="308"/>
      <c r="Y133" s="308"/>
      <c r="Z133" s="308"/>
      <c r="AA133" s="308"/>
      <c r="AB133" s="308"/>
      <c r="AC133" s="308"/>
      <c r="AD133" s="308"/>
      <c r="AE133" s="308"/>
      <c r="AF133" s="308"/>
      <c r="AG133" s="308"/>
      <c r="AH133" s="308"/>
      <c r="AI133" s="308"/>
      <c r="AJ133" s="308"/>
      <c r="AK133" s="308"/>
      <c r="AL133" s="308"/>
      <c r="AM133" s="308"/>
      <c r="AN133" s="308"/>
      <c r="AO133" s="308"/>
      <c r="AP133" s="308"/>
      <c r="AQ133" s="308"/>
      <c r="AR133" s="308"/>
      <c r="AS133" s="308"/>
      <c r="AT133" s="308"/>
      <c r="AU133" s="308"/>
      <c r="AV133" s="308"/>
      <c r="AW133" s="308"/>
      <c r="AX133" s="308"/>
      <c r="AY133" s="308"/>
      <c r="AZ133" s="308"/>
      <c r="BA133" s="308"/>
      <c r="BB133" s="308"/>
      <c r="BC133" s="308"/>
      <c r="BD133" s="308"/>
      <c r="BE133" s="308"/>
      <c r="BF133" s="308"/>
      <c r="BG133" s="308"/>
      <c r="BH133" s="308"/>
      <c r="BI133" s="308"/>
      <c r="BJ133" s="308"/>
      <c r="BK133" s="308"/>
      <c r="BL133" s="308"/>
      <c r="BM133" s="308"/>
      <c r="BN133" s="308"/>
      <c r="BO133" s="308"/>
      <c r="BP133" s="308"/>
      <c r="BQ133" s="308"/>
      <c r="BR133" s="308"/>
      <c r="BS133" s="459"/>
      <c r="BT133" s="308"/>
      <c r="BU133" s="308"/>
      <c r="BV133" s="308"/>
      <c r="BW133" s="308"/>
      <c r="BX133" s="308"/>
      <c r="BY133" s="308"/>
      <c r="BZ133" s="308"/>
      <c r="CA133" s="308"/>
      <c r="CB133" s="308"/>
      <c r="CC133" s="308"/>
      <c r="CD133" s="308"/>
      <c r="CE133" s="308"/>
      <c r="CF133" s="308"/>
      <c r="CG133" s="308"/>
      <c r="CH133" s="308"/>
      <c r="CI133" s="308"/>
      <c r="CJ133" s="308"/>
      <c r="CK133" s="308"/>
      <c r="CL133" s="308"/>
      <c r="CM133" s="308"/>
    </row>
    <row r="134" spans="1:91" s="5" customFormat="1">
      <c r="A134" s="14">
        <v>737</v>
      </c>
      <c r="B134" s="308"/>
      <c r="C134" s="308"/>
      <c r="D134" s="308"/>
      <c r="E134" s="308"/>
      <c r="F134" s="308"/>
      <c r="G134" s="308"/>
      <c r="H134" s="308"/>
      <c r="I134" s="40"/>
      <c r="J134" s="40"/>
      <c r="K134" s="40"/>
      <c r="L134" s="40"/>
      <c r="M134" s="40"/>
      <c r="N134" s="308"/>
      <c r="O134" s="308"/>
      <c r="P134" s="308"/>
      <c r="Q134" s="308"/>
      <c r="R134" s="308"/>
      <c r="S134" s="308"/>
      <c r="T134" s="308"/>
      <c r="U134" s="308"/>
      <c r="V134" s="308"/>
      <c r="X134" s="308"/>
      <c r="Y134" s="308"/>
      <c r="Z134" s="308"/>
      <c r="AA134" s="308"/>
      <c r="AB134" s="308"/>
      <c r="AC134" s="308"/>
      <c r="AD134" s="308"/>
      <c r="AE134" s="308"/>
      <c r="AF134" s="308"/>
      <c r="AG134" s="308"/>
      <c r="AH134" s="308"/>
      <c r="AI134" s="308"/>
      <c r="AJ134" s="308"/>
      <c r="AK134" s="308"/>
      <c r="AL134" s="308"/>
      <c r="AM134" s="308"/>
      <c r="AN134" s="308"/>
      <c r="AO134" s="308"/>
      <c r="AP134" s="308"/>
      <c r="AQ134" s="308"/>
      <c r="AR134" s="308"/>
      <c r="AS134" s="308"/>
      <c r="AT134" s="308"/>
      <c r="AU134" s="308"/>
      <c r="AV134" s="308"/>
      <c r="AW134" s="308"/>
      <c r="AX134" s="308"/>
      <c r="AY134" s="308"/>
      <c r="AZ134" s="308"/>
      <c r="BA134" s="308"/>
      <c r="BB134" s="308"/>
      <c r="BC134" s="308"/>
      <c r="BD134" s="308"/>
      <c r="BE134" s="308"/>
      <c r="BF134" s="308"/>
      <c r="BG134" s="308"/>
      <c r="BH134" s="308"/>
      <c r="BI134" s="308"/>
      <c r="BJ134" s="308"/>
      <c r="BK134" s="308"/>
      <c r="BL134" s="308"/>
      <c r="BM134" s="308"/>
      <c r="BN134" s="308"/>
      <c r="BO134" s="308"/>
      <c r="BP134" s="308"/>
      <c r="BQ134" s="308"/>
      <c r="BR134" s="308"/>
      <c r="BS134" s="459"/>
      <c r="BT134" s="308"/>
      <c r="BU134" s="308"/>
      <c r="BV134" s="308"/>
      <c r="BW134" s="308"/>
      <c r="BX134" s="308"/>
      <c r="BY134" s="308"/>
      <c r="BZ134" s="308"/>
      <c r="CA134" s="308"/>
      <c r="CB134" s="308"/>
      <c r="CC134" s="308"/>
      <c r="CD134" s="308"/>
      <c r="CE134" s="308"/>
      <c r="CF134" s="308"/>
      <c r="CG134" s="308"/>
      <c r="CH134" s="308"/>
      <c r="CI134" s="308"/>
      <c r="CJ134" s="308"/>
      <c r="CK134" s="308"/>
      <c r="CL134" s="308"/>
      <c r="CM134" s="308"/>
    </row>
    <row r="135" spans="1:91" s="5" customFormat="1">
      <c r="A135" s="1" t="s">
        <v>512</v>
      </c>
      <c r="B135" s="72">
        <f>AB135</f>
        <v>5600</v>
      </c>
      <c r="C135" s="72">
        <f>AE135</f>
        <v>6200</v>
      </c>
      <c r="D135" s="72">
        <f>AI135</f>
        <v>6600</v>
      </c>
      <c r="E135" s="72">
        <f>AM135</f>
        <v>7000</v>
      </c>
      <c r="F135" s="72">
        <f>AQ135</f>
        <v>7800</v>
      </c>
      <c r="G135" s="72">
        <f>AU135</f>
        <v>8400</v>
      </c>
      <c r="H135" s="72">
        <f>AY135</f>
        <v>9000</v>
      </c>
      <c r="I135" s="72">
        <f>BC135</f>
        <v>9800</v>
      </c>
      <c r="J135" s="72">
        <f>BG135</f>
        <v>10400</v>
      </c>
      <c r="K135" s="72">
        <f>BK135</f>
        <v>10400</v>
      </c>
      <c r="L135" s="270">
        <v>10000</v>
      </c>
      <c r="M135" s="40"/>
      <c r="N135" s="308"/>
      <c r="O135" s="308"/>
      <c r="P135" s="308"/>
      <c r="Q135" s="308"/>
      <c r="R135" s="308"/>
      <c r="S135" s="308"/>
      <c r="T135" s="308"/>
      <c r="U135" s="308"/>
      <c r="V135" s="308"/>
      <c r="X135" s="270">
        <v>4600</v>
      </c>
      <c r="Y135" s="270">
        <v>5000</v>
      </c>
      <c r="Z135" s="270">
        <v>5000</v>
      </c>
      <c r="AA135" s="270">
        <v>5000</v>
      </c>
      <c r="AB135" s="270">
        <v>5600</v>
      </c>
      <c r="AC135" s="270">
        <v>5600</v>
      </c>
      <c r="AD135" s="270">
        <v>5600</v>
      </c>
      <c r="AE135" s="270">
        <v>6200</v>
      </c>
      <c r="AF135" s="270">
        <v>6200</v>
      </c>
      <c r="AG135" s="270">
        <v>6200</v>
      </c>
      <c r="AH135" s="270">
        <v>6400</v>
      </c>
      <c r="AI135" s="270">
        <v>6600</v>
      </c>
      <c r="AJ135" s="270">
        <v>6600</v>
      </c>
      <c r="AK135" s="270">
        <v>6800</v>
      </c>
      <c r="AL135" s="270">
        <v>7000</v>
      </c>
      <c r="AM135" s="270">
        <v>7000</v>
      </c>
      <c r="AN135" s="270">
        <v>7200</v>
      </c>
      <c r="AO135" s="270">
        <v>7400</v>
      </c>
      <c r="AP135" s="270">
        <v>7600</v>
      </c>
      <c r="AQ135" s="270">
        <v>7800</v>
      </c>
      <c r="AR135" s="270">
        <v>7800</v>
      </c>
      <c r="AS135" s="270">
        <v>8000</v>
      </c>
      <c r="AT135" s="270">
        <v>8200</v>
      </c>
      <c r="AU135" s="270">
        <v>8400</v>
      </c>
      <c r="AV135" s="270">
        <v>8600</v>
      </c>
      <c r="AW135" s="270">
        <v>8800</v>
      </c>
      <c r="AX135" s="270">
        <v>9000</v>
      </c>
      <c r="AY135" s="270">
        <v>9000</v>
      </c>
      <c r="AZ135" s="270">
        <v>9200</v>
      </c>
      <c r="BA135" s="270">
        <v>9400</v>
      </c>
      <c r="BB135" s="270">
        <v>9600</v>
      </c>
      <c r="BC135" s="270">
        <v>9800</v>
      </c>
      <c r="BD135" s="270">
        <v>10000</v>
      </c>
      <c r="BE135" s="270">
        <v>10200</v>
      </c>
      <c r="BF135" s="270">
        <v>10200</v>
      </c>
      <c r="BG135" s="270">
        <v>10400</v>
      </c>
      <c r="BH135" s="270">
        <v>10400</v>
      </c>
      <c r="BI135" s="270">
        <v>10400</v>
      </c>
      <c r="BJ135" s="270">
        <v>10400</v>
      </c>
      <c r="BK135" s="270">
        <v>10400</v>
      </c>
      <c r="BL135" s="270">
        <v>10000</v>
      </c>
      <c r="BM135" s="270">
        <v>10000</v>
      </c>
      <c r="BN135" s="270">
        <v>10000</v>
      </c>
      <c r="BO135" s="270">
        <v>10000</v>
      </c>
      <c r="BP135" s="270">
        <v>10200</v>
      </c>
      <c r="BQ135" s="270">
        <v>10400</v>
      </c>
      <c r="BR135" s="270">
        <v>10400</v>
      </c>
      <c r="BS135" s="458"/>
      <c r="BT135" s="274"/>
      <c r="BU135" s="274"/>
      <c r="BV135" s="274"/>
      <c r="BW135" s="274"/>
      <c r="BX135" s="274"/>
      <c r="BY135" s="274"/>
      <c r="BZ135" s="274"/>
      <c r="CA135" s="274"/>
      <c r="CB135" s="274"/>
      <c r="CC135" s="274"/>
      <c r="CD135" s="274"/>
      <c r="CE135" s="274"/>
      <c r="CF135" s="274"/>
      <c r="CG135" s="274"/>
      <c r="CH135" s="274"/>
      <c r="CI135" s="274"/>
      <c r="CJ135" s="308"/>
      <c r="CK135" s="308"/>
      <c r="CL135" s="308"/>
      <c r="CM135" s="308"/>
    </row>
    <row r="136" spans="1:91" s="5" customFormat="1">
      <c r="A136" s="1" t="s">
        <v>513</v>
      </c>
      <c r="B136" s="72">
        <f>AB136</f>
        <v>2162</v>
      </c>
      <c r="C136" s="72">
        <f>AE136</f>
        <v>2368</v>
      </c>
      <c r="D136" s="72">
        <f>AI136</f>
        <v>3074</v>
      </c>
      <c r="E136" s="72">
        <f>AM136</f>
        <v>3680</v>
      </c>
      <c r="F136" s="72">
        <f>AQ136</f>
        <v>4299</v>
      </c>
      <c r="G136" s="72">
        <f>AU136</f>
        <v>4392</v>
      </c>
      <c r="H136" s="72">
        <f>AY136</f>
        <v>4452</v>
      </c>
      <c r="I136" s="72">
        <f>BC136</f>
        <v>4613</v>
      </c>
      <c r="J136" s="72">
        <f>BG136</f>
        <v>4708</v>
      </c>
      <c r="K136" s="72">
        <f>BK136</f>
        <v>4398</v>
      </c>
      <c r="L136" s="270">
        <v>4079</v>
      </c>
      <c r="M136" s="40"/>
      <c r="N136" s="308"/>
      <c r="O136" s="308"/>
      <c r="P136" s="308"/>
      <c r="Q136" s="308"/>
      <c r="R136" s="308"/>
      <c r="S136" s="308"/>
      <c r="T136" s="308"/>
      <c r="U136" s="308"/>
      <c r="V136" s="308"/>
      <c r="X136" s="270">
        <v>2061</v>
      </c>
      <c r="Y136" s="270">
        <v>2007</v>
      </c>
      <c r="Z136" s="270">
        <v>2127</v>
      </c>
      <c r="AA136" s="270">
        <v>2186</v>
      </c>
      <c r="AB136" s="270">
        <v>2162</v>
      </c>
      <c r="AC136" s="270">
        <v>2109</v>
      </c>
      <c r="AD136" s="270">
        <v>2215</v>
      </c>
      <c r="AE136" s="270">
        <v>2368</v>
      </c>
      <c r="AF136" s="270">
        <v>2679</v>
      </c>
      <c r="AG136" s="270">
        <v>2570</v>
      </c>
      <c r="AH136" s="270">
        <v>2845</v>
      </c>
      <c r="AI136" s="270">
        <v>3074</v>
      </c>
      <c r="AJ136" s="270">
        <v>3125</v>
      </c>
      <c r="AK136" s="270">
        <v>3445</v>
      </c>
      <c r="AL136" s="270">
        <v>3467</v>
      </c>
      <c r="AM136" s="270">
        <v>3680</v>
      </c>
      <c r="AN136" s="270">
        <v>3794</v>
      </c>
      <c r="AO136" s="270">
        <v>3931</v>
      </c>
      <c r="AP136" s="270">
        <v>4033</v>
      </c>
      <c r="AQ136" s="270">
        <v>4299</v>
      </c>
      <c r="AR136" s="270">
        <v>4244</v>
      </c>
      <c r="AS136" s="270">
        <v>4253</v>
      </c>
      <c r="AT136" s="270">
        <v>4243</v>
      </c>
      <c r="AU136" s="270">
        <v>4392</v>
      </c>
      <c r="AV136" s="270">
        <v>4380</v>
      </c>
      <c r="AW136" s="270">
        <v>4385</v>
      </c>
      <c r="AX136" s="270">
        <v>4350</v>
      </c>
      <c r="AY136" s="270">
        <v>4452</v>
      </c>
      <c r="AZ136" s="270">
        <v>4506</v>
      </c>
      <c r="BA136" s="270">
        <v>4478</v>
      </c>
      <c r="BB136" s="270">
        <v>4431</v>
      </c>
      <c r="BC136" s="270">
        <v>4613</v>
      </c>
      <c r="BD136" s="270">
        <v>4656</v>
      </c>
      <c r="BE136" s="270">
        <v>4667</v>
      </c>
      <c r="BF136" s="270">
        <v>4654</v>
      </c>
      <c r="BG136" s="270">
        <v>4708</v>
      </c>
      <c r="BH136" s="270">
        <v>4448</v>
      </c>
      <c r="BI136" s="270">
        <v>4415</v>
      </c>
      <c r="BJ136" s="270">
        <v>4406</v>
      </c>
      <c r="BK136" s="270">
        <v>4398</v>
      </c>
      <c r="BL136" s="270">
        <v>4079</v>
      </c>
      <c r="BM136" s="270">
        <v>3595</v>
      </c>
      <c r="BN136" s="270">
        <v>3403</v>
      </c>
      <c r="BO136" s="270">
        <v>3282</v>
      </c>
      <c r="BP136" s="270">
        <v>3240</v>
      </c>
      <c r="BQ136" s="270">
        <v>3334</v>
      </c>
      <c r="BR136" s="270">
        <v>3334</v>
      </c>
      <c r="BS136" s="458"/>
      <c r="BT136" s="274"/>
      <c r="BU136" s="274"/>
      <c r="BV136" s="274"/>
      <c r="BW136" s="274"/>
      <c r="BX136" s="274"/>
      <c r="BY136" s="274"/>
      <c r="BZ136" s="274"/>
      <c r="CA136" s="274"/>
      <c r="CB136" s="274"/>
      <c r="CC136" s="274"/>
      <c r="CD136" s="274"/>
      <c r="CE136" s="274"/>
      <c r="CF136" s="274"/>
      <c r="CG136" s="274"/>
      <c r="CH136" s="274"/>
      <c r="CI136" s="274"/>
      <c r="CJ136" s="308"/>
      <c r="CK136" s="308"/>
      <c r="CL136" s="308"/>
      <c r="CM136" s="308"/>
    </row>
    <row r="137" spans="1:91" s="5" customFormat="1">
      <c r="A137" s="1" t="s">
        <v>514</v>
      </c>
      <c r="B137" s="72">
        <f>AB137</f>
        <v>5755</v>
      </c>
      <c r="C137" s="72">
        <f>AE137</f>
        <v>6243</v>
      </c>
      <c r="D137" s="72">
        <f>AI137</f>
        <v>7367</v>
      </c>
      <c r="E137" s="72">
        <f>AM137</f>
        <v>8413</v>
      </c>
      <c r="F137" s="72">
        <f>AQ137</f>
        <v>9517</v>
      </c>
      <c r="G137" s="72">
        <f>AU137</f>
        <v>10105</v>
      </c>
      <c r="H137" s="72">
        <f>AY137</f>
        <v>10655</v>
      </c>
      <c r="I137" s="72">
        <f>BC137</f>
        <v>11345</v>
      </c>
      <c r="J137" s="72">
        <f>BG137</f>
        <v>12020</v>
      </c>
      <c r="K137" s="72">
        <f>BK137</f>
        <v>11837</v>
      </c>
      <c r="L137" s="270">
        <v>11523</v>
      </c>
      <c r="M137" s="40"/>
      <c r="N137" s="308"/>
      <c r="O137" s="308"/>
      <c r="P137" s="308"/>
      <c r="Q137" s="308"/>
      <c r="R137" s="308"/>
      <c r="S137" s="308"/>
      <c r="T137" s="308"/>
      <c r="U137" s="308"/>
      <c r="V137" s="308"/>
      <c r="X137" s="270">
        <v>5275</v>
      </c>
      <c r="Y137" s="270">
        <v>5316</v>
      </c>
      <c r="Z137" s="270">
        <v>5536</v>
      </c>
      <c r="AA137" s="270">
        <v>5692</v>
      </c>
      <c r="AB137" s="270">
        <v>5755</v>
      </c>
      <c r="AC137" s="270">
        <v>5796</v>
      </c>
      <c r="AD137" s="270">
        <v>6002</v>
      </c>
      <c r="AE137" s="270">
        <v>6243</v>
      </c>
      <c r="AF137" s="270">
        <v>6656</v>
      </c>
      <c r="AG137" s="270">
        <v>6656</v>
      </c>
      <c r="AH137" s="270">
        <v>7033</v>
      </c>
      <c r="AI137" s="270">
        <v>7367</v>
      </c>
      <c r="AJ137" s="270">
        <v>7520</v>
      </c>
      <c r="AK137" s="270">
        <v>7956</v>
      </c>
      <c r="AL137" s="270">
        <v>8090</v>
      </c>
      <c r="AM137" s="270">
        <v>8413</v>
      </c>
      <c r="AN137" s="270">
        <v>8642</v>
      </c>
      <c r="AO137" s="270">
        <v>8903</v>
      </c>
      <c r="AP137" s="270">
        <v>9125</v>
      </c>
      <c r="AQ137" s="270">
        <v>9517</v>
      </c>
      <c r="AR137" s="270">
        <v>9583</v>
      </c>
      <c r="AS137" s="270">
        <v>9720</v>
      </c>
      <c r="AT137" s="270">
        <v>9836</v>
      </c>
      <c r="AU137" s="270">
        <v>10105</v>
      </c>
      <c r="AV137" s="270">
        <v>10214</v>
      </c>
      <c r="AW137" s="270">
        <v>10346</v>
      </c>
      <c r="AX137" s="270">
        <v>10431</v>
      </c>
      <c r="AY137" s="270">
        <v>10655</v>
      </c>
      <c r="AZ137" s="270">
        <v>1822</v>
      </c>
      <c r="BA137" s="270">
        <v>10917</v>
      </c>
      <c r="BB137" s="270">
        <v>11015</v>
      </c>
      <c r="BC137" s="270">
        <v>11345</v>
      </c>
      <c r="BD137" s="270">
        <v>11520</v>
      </c>
      <c r="BE137" s="270">
        <v>11668</v>
      </c>
      <c r="BF137" s="270">
        <v>11793</v>
      </c>
      <c r="BG137" s="270">
        <v>12020</v>
      </c>
      <c r="BH137" s="270">
        <v>11849</v>
      </c>
      <c r="BI137" s="270">
        <v>11840</v>
      </c>
      <c r="BJ137" s="270">
        <v>11836</v>
      </c>
      <c r="BK137" s="270">
        <v>11837</v>
      </c>
      <c r="BL137" s="270">
        <v>11523</v>
      </c>
      <c r="BM137" s="270">
        <v>11043</v>
      </c>
      <c r="BN137" s="270">
        <v>10854</v>
      </c>
      <c r="BO137" s="270">
        <v>10764</v>
      </c>
      <c r="BP137" s="270">
        <v>10785</v>
      </c>
      <c r="BQ137" s="270">
        <v>10929</v>
      </c>
      <c r="BR137" s="270">
        <v>10995</v>
      </c>
      <c r="BS137" s="458"/>
      <c r="BT137" s="274"/>
      <c r="BU137" s="274"/>
      <c r="BV137" s="274"/>
      <c r="BW137" s="274"/>
      <c r="BX137" s="274"/>
      <c r="BY137" s="274"/>
      <c r="BZ137" s="274"/>
      <c r="CA137" s="274"/>
      <c r="CB137" s="274"/>
      <c r="CC137" s="274"/>
      <c r="CD137" s="274"/>
      <c r="CE137" s="274"/>
      <c r="CF137" s="274"/>
      <c r="CG137" s="274"/>
      <c r="CH137" s="274"/>
      <c r="CI137" s="274"/>
      <c r="CJ137" s="308"/>
      <c r="CK137" s="308"/>
      <c r="CL137" s="308"/>
      <c r="CM137" s="308"/>
    </row>
    <row r="138" spans="1:91" s="5" customFormat="1">
      <c r="A138" s="12"/>
      <c r="B138" s="308"/>
      <c r="C138" s="308"/>
      <c r="D138" s="308"/>
      <c r="E138" s="308"/>
      <c r="F138" s="308"/>
      <c r="G138" s="308"/>
      <c r="H138" s="308"/>
      <c r="I138" s="40"/>
      <c r="J138" s="40"/>
      <c r="K138" s="40"/>
      <c r="L138" s="308"/>
      <c r="M138" s="40"/>
      <c r="N138" s="308"/>
      <c r="O138" s="308"/>
      <c r="P138" s="308"/>
      <c r="Q138" s="308"/>
      <c r="R138" s="308"/>
      <c r="S138" s="308"/>
      <c r="T138" s="308"/>
      <c r="U138" s="308"/>
      <c r="V138" s="308"/>
      <c r="X138" s="308"/>
      <c r="Y138" s="308"/>
      <c r="Z138" s="308"/>
      <c r="AA138" s="308"/>
      <c r="AB138" s="308"/>
      <c r="AC138" s="308"/>
      <c r="AD138" s="308"/>
      <c r="AE138" s="308"/>
      <c r="AF138" s="308"/>
      <c r="AG138" s="308"/>
      <c r="AH138" s="308"/>
      <c r="AI138" s="308"/>
      <c r="AJ138" s="308"/>
      <c r="AK138" s="308"/>
      <c r="AL138" s="308"/>
      <c r="AM138" s="308"/>
      <c r="AN138" s="308"/>
      <c r="AO138" s="308"/>
      <c r="AP138" s="308"/>
      <c r="AQ138" s="308"/>
      <c r="AR138" s="308"/>
      <c r="AS138" s="308"/>
      <c r="AT138" s="308"/>
      <c r="AU138" s="308"/>
      <c r="AV138" s="308"/>
      <c r="AW138" s="308"/>
      <c r="AX138" s="308"/>
      <c r="AY138" s="308"/>
      <c r="AZ138" s="308"/>
      <c r="BA138" s="308"/>
      <c r="BB138" s="308"/>
      <c r="BC138" s="308"/>
      <c r="BD138" s="308"/>
      <c r="BE138" s="308"/>
      <c r="BF138" s="308"/>
      <c r="BG138" s="308"/>
      <c r="BH138" s="308"/>
      <c r="BI138" s="308"/>
      <c r="BJ138" s="308"/>
      <c r="BK138" s="308"/>
      <c r="BL138" s="308"/>
      <c r="BM138" s="308"/>
      <c r="BN138" s="308"/>
      <c r="BO138" s="308"/>
      <c r="BP138" s="308"/>
      <c r="BQ138" s="308"/>
      <c r="BR138" s="308"/>
      <c r="BS138" s="459"/>
      <c r="BT138" s="308"/>
      <c r="BU138" s="308"/>
      <c r="BV138" s="308"/>
      <c r="BW138" s="308"/>
      <c r="BX138" s="308"/>
      <c r="BY138" s="308"/>
      <c r="BZ138" s="308"/>
      <c r="CA138" s="308"/>
      <c r="CB138" s="308"/>
      <c r="CC138" s="308"/>
      <c r="CD138" s="308"/>
      <c r="CE138" s="308"/>
      <c r="CF138" s="308"/>
      <c r="CG138" s="308"/>
      <c r="CH138" s="308"/>
      <c r="CI138" s="308"/>
      <c r="CJ138" s="308"/>
      <c r="CK138" s="308"/>
      <c r="CL138" s="308"/>
      <c r="CM138" s="308"/>
    </row>
    <row r="139" spans="1:91" s="5" customFormat="1">
      <c r="A139" s="14">
        <v>747</v>
      </c>
      <c r="B139" s="308"/>
      <c r="C139" s="308"/>
      <c r="D139" s="308"/>
      <c r="E139" s="308"/>
      <c r="F139" s="308"/>
      <c r="G139" s="308"/>
      <c r="H139" s="308"/>
      <c r="I139" s="40"/>
      <c r="J139" s="40"/>
      <c r="K139" s="40"/>
      <c r="L139" s="308"/>
      <c r="M139" s="40"/>
      <c r="N139" s="308"/>
      <c r="O139" s="308"/>
      <c r="P139" s="308"/>
      <c r="Q139" s="308"/>
      <c r="R139" s="308"/>
      <c r="S139" s="308"/>
      <c r="T139" s="308"/>
      <c r="U139" s="308"/>
      <c r="V139" s="308"/>
      <c r="X139" s="308"/>
      <c r="Y139" s="308"/>
      <c r="Z139" s="308"/>
      <c r="AA139" s="308"/>
      <c r="AB139" s="308"/>
      <c r="AC139" s="308"/>
      <c r="AD139" s="308"/>
      <c r="AE139" s="308"/>
      <c r="AF139" s="308"/>
      <c r="AG139" s="308"/>
      <c r="AH139" s="308"/>
      <c r="AI139" s="308"/>
      <c r="AJ139" s="308"/>
      <c r="AK139" s="308"/>
      <c r="AL139" s="308"/>
      <c r="AM139" s="308"/>
      <c r="AN139" s="308"/>
      <c r="AO139" s="308"/>
      <c r="AP139" s="308"/>
      <c r="AQ139" s="308"/>
      <c r="AR139" s="308"/>
      <c r="AS139" s="308"/>
      <c r="AT139" s="308"/>
      <c r="AU139" s="308"/>
      <c r="AV139" s="308"/>
      <c r="AW139" s="308"/>
      <c r="AX139" s="308"/>
      <c r="AY139" s="308"/>
      <c r="AZ139" s="308"/>
      <c r="BA139" s="308"/>
      <c r="BB139" s="308"/>
      <c r="BC139" s="308"/>
      <c r="BD139" s="308"/>
      <c r="BE139" s="308"/>
      <c r="BF139" s="308"/>
      <c r="BG139" s="308"/>
      <c r="BH139" s="308"/>
      <c r="BI139" s="308"/>
      <c r="BJ139" s="308"/>
      <c r="BK139" s="308"/>
      <c r="BL139" s="308"/>
      <c r="BM139" s="308"/>
      <c r="BN139" s="308"/>
      <c r="BO139" s="308"/>
      <c r="BP139" s="308"/>
      <c r="BQ139" s="308"/>
      <c r="BR139" s="308"/>
      <c r="BS139" s="459"/>
      <c r="BT139" s="308"/>
      <c r="BU139" s="308"/>
      <c r="BV139" s="308"/>
      <c r="BW139" s="308"/>
      <c r="BX139" s="308"/>
      <c r="BY139" s="308"/>
      <c r="BZ139" s="308"/>
      <c r="CA139" s="308"/>
      <c r="CB139" s="308"/>
      <c r="CC139" s="308"/>
      <c r="CD139" s="308"/>
      <c r="CE139" s="308"/>
      <c r="CF139" s="308"/>
      <c r="CG139" s="308"/>
      <c r="CH139" s="308"/>
      <c r="CI139" s="308"/>
      <c r="CJ139" s="308"/>
      <c r="CK139" s="308"/>
      <c r="CL139" s="308"/>
      <c r="CM139" s="308"/>
    </row>
    <row r="140" spans="1:91" s="5" customFormat="1">
      <c r="A140" s="1" t="s">
        <v>512</v>
      </c>
      <c r="B140" s="72">
        <f>AB140</f>
        <v>1524</v>
      </c>
      <c r="C140" s="72">
        <f>AE140</f>
        <v>1549</v>
      </c>
      <c r="D140" s="72">
        <f>AI140</f>
        <v>1574</v>
      </c>
      <c r="E140" s="72">
        <f>AM140</f>
        <v>1574</v>
      </c>
      <c r="F140" s="72">
        <f>AQ140</f>
        <v>1574</v>
      </c>
      <c r="G140" s="72">
        <f>AU140</f>
        <v>1574</v>
      </c>
      <c r="H140" s="72">
        <f>AY140</f>
        <v>1555</v>
      </c>
      <c r="I140" s="72">
        <f>BC140</f>
        <v>1570</v>
      </c>
      <c r="J140" s="72">
        <f>BG140</f>
        <v>1574</v>
      </c>
      <c r="K140" s="72">
        <f>BK140</f>
        <v>1574</v>
      </c>
      <c r="L140" s="270">
        <v>1574</v>
      </c>
      <c r="M140" s="40"/>
      <c r="N140" s="308"/>
      <c r="O140" s="308"/>
      <c r="P140" s="308"/>
      <c r="Q140" s="308"/>
      <c r="R140" s="308"/>
      <c r="S140" s="308"/>
      <c r="T140" s="308"/>
      <c r="U140" s="308"/>
      <c r="V140" s="308"/>
      <c r="X140" s="270">
        <v>1499</v>
      </c>
      <c r="Y140" s="270">
        <v>1524</v>
      </c>
      <c r="Z140" s="270">
        <v>1524</v>
      </c>
      <c r="AA140" s="270">
        <v>1524</v>
      </c>
      <c r="AB140" s="270">
        <v>1524</v>
      </c>
      <c r="AC140" s="270">
        <v>1549</v>
      </c>
      <c r="AD140" s="270">
        <v>1549</v>
      </c>
      <c r="AE140" s="270">
        <v>1549</v>
      </c>
      <c r="AF140" s="270">
        <v>1549</v>
      </c>
      <c r="AG140" s="270">
        <v>1574</v>
      </c>
      <c r="AH140" s="270">
        <v>1574</v>
      </c>
      <c r="AI140" s="270">
        <v>1574</v>
      </c>
      <c r="AJ140" s="270">
        <v>1574</v>
      </c>
      <c r="AK140" s="270">
        <v>1574</v>
      </c>
      <c r="AL140" s="270">
        <v>1574</v>
      </c>
      <c r="AM140" s="270">
        <v>1574</v>
      </c>
      <c r="AN140" s="270">
        <v>1574</v>
      </c>
      <c r="AO140" s="270">
        <v>1574</v>
      </c>
      <c r="AP140" s="270">
        <v>1574</v>
      </c>
      <c r="AQ140" s="270">
        <v>1574</v>
      </c>
      <c r="AR140" s="270">
        <v>1574</v>
      </c>
      <c r="AS140" s="270">
        <v>1574</v>
      </c>
      <c r="AT140" s="270">
        <v>1574</v>
      </c>
      <c r="AU140" s="270">
        <v>1574</v>
      </c>
      <c r="AV140" s="270">
        <v>1574</v>
      </c>
      <c r="AW140" s="270">
        <v>1555</v>
      </c>
      <c r="AX140" s="270">
        <v>1555</v>
      </c>
      <c r="AY140" s="270">
        <v>1555</v>
      </c>
      <c r="AZ140" s="270">
        <v>1555</v>
      </c>
      <c r="BA140" s="270">
        <v>1555</v>
      </c>
      <c r="BB140" s="270">
        <v>1555</v>
      </c>
      <c r="BC140" s="270">
        <v>1570</v>
      </c>
      <c r="BD140" s="270">
        <v>1570</v>
      </c>
      <c r="BE140" s="270">
        <v>1570</v>
      </c>
      <c r="BF140" s="270">
        <v>1570</v>
      </c>
      <c r="BG140" s="270">
        <v>1574</v>
      </c>
      <c r="BH140" s="270">
        <v>1574</v>
      </c>
      <c r="BI140" s="270">
        <v>1574</v>
      </c>
      <c r="BJ140" s="270">
        <v>1574</v>
      </c>
      <c r="BK140" s="270">
        <v>1574</v>
      </c>
      <c r="BL140" s="270">
        <v>1574</v>
      </c>
      <c r="BM140" s="270">
        <v>1574</v>
      </c>
      <c r="BN140" s="270">
        <v>1574</v>
      </c>
      <c r="BO140" s="270">
        <v>1574</v>
      </c>
      <c r="BP140" s="270">
        <v>1574</v>
      </c>
      <c r="BQ140" s="270">
        <v>1574</v>
      </c>
      <c r="BR140" s="270">
        <v>1574</v>
      </c>
      <c r="BS140" s="458"/>
      <c r="BT140" s="274"/>
      <c r="BU140" s="274"/>
      <c r="BV140" s="274"/>
      <c r="BW140" s="274"/>
      <c r="BX140" s="274"/>
      <c r="BY140" s="274"/>
      <c r="BZ140" s="274"/>
      <c r="CA140" s="274"/>
      <c r="CB140" s="274"/>
      <c r="CC140" s="274"/>
      <c r="CD140" s="274"/>
      <c r="CE140" s="274"/>
      <c r="CF140" s="274"/>
      <c r="CG140" s="274"/>
      <c r="CH140" s="274"/>
      <c r="CI140" s="274"/>
      <c r="CJ140" s="308"/>
      <c r="CK140" s="308"/>
      <c r="CL140" s="308"/>
      <c r="CM140" s="308"/>
    </row>
    <row r="141" spans="1:91" s="5" customFormat="1">
      <c r="A141" s="1" t="s">
        <v>513</v>
      </c>
      <c r="B141" s="72">
        <f>AB141</f>
        <v>109</v>
      </c>
      <c r="C141" s="72">
        <f>AE141</f>
        <v>97</v>
      </c>
      <c r="D141" s="72">
        <f>AI141</f>
        <v>67</v>
      </c>
      <c r="E141" s="72">
        <f>AM141</f>
        <v>55</v>
      </c>
      <c r="F141" s="72">
        <f>AQ141</f>
        <v>36</v>
      </c>
      <c r="G141" s="72">
        <f>AU141</f>
        <v>20</v>
      </c>
      <c r="H141" s="72">
        <f>AY141</f>
        <v>28</v>
      </c>
      <c r="I141" s="72">
        <f>BC141</f>
        <v>12</v>
      </c>
      <c r="J141" s="72">
        <f>BG141</f>
        <v>24</v>
      </c>
      <c r="K141" s="72">
        <f>BK141</f>
        <v>17</v>
      </c>
      <c r="L141" s="270">
        <v>13</v>
      </c>
      <c r="M141" s="40"/>
      <c r="N141" s="308"/>
      <c r="O141" s="308"/>
      <c r="P141" s="308"/>
      <c r="Q141" s="308"/>
      <c r="R141" s="308"/>
      <c r="S141" s="308"/>
      <c r="T141" s="308"/>
      <c r="U141" s="308"/>
      <c r="V141" s="308"/>
      <c r="X141" s="270">
        <v>108</v>
      </c>
      <c r="Y141" s="270">
        <v>109</v>
      </c>
      <c r="Z141" s="270">
        <v>109</v>
      </c>
      <c r="AA141" s="270">
        <v>107</v>
      </c>
      <c r="AB141" s="270">
        <v>109</v>
      </c>
      <c r="AC141" s="270">
        <v>111</v>
      </c>
      <c r="AD141" s="270">
        <v>111</v>
      </c>
      <c r="AE141" s="270">
        <v>97</v>
      </c>
      <c r="AF141" s="270">
        <v>91</v>
      </c>
      <c r="AG141" s="270">
        <v>84</v>
      </c>
      <c r="AH141" s="270">
        <v>81</v>
      </c>
      <c r="AI141" s="270">
        <v>67</v>
      </c>
      <c r="AJ141" s="270">
        <v>64</v>
      </c>
      <c r="AK141" s="270">
        <v>53</v>
      </c>
      <c r="AL141" s="270">
        <v>51</v>
      </c>
      <c r="AM141" s="270">
        <v>55</v>
      </c>
      <c r="AN141" s="270">
        <v>52</v>
      </c>
      <c r="AO141" s="270">
        <v>50</v>
      </c>
      <c r="AP141" s="270">
        <v>42</v>
      </c>
      <c r="AQ141" s="270">
        <v>36</v>
      </c>
      <c r="AR141" s="270">
        <v>35</v>
      </c>
      <c r="AS141" s="270">
        <v>31</v>
      </c>
      <c r="AT141" s="270">
        <v>23</v>
      </c>
      <c r="AU141" s="270">
        <v>20</v>
      </c>
      <c r="AV141" s="270">
        <v>23</v>
      </c>
      <c r="AW141" s="270">
        <v>21</v>
      </c>
      <c r="AX141" s="270">
        <v>15</v>
      </c>
      <c r="AY141" s="270">
        <v>28</v>
      </c>
      <c r="AZ141" s="270">
        <v>23</v>
      </c>
      <c r="BA141" s="270">
        <v>20</v>
      </c>
      <c r="BB141" s="270">
        <v>17</v>
      </c>
      <c r="BC141" s="270">
        <v>12</v>
      </c>
      <c r="BD141" s="270">
        <v>24</v>
      </c>
      <c r="BE141" s="270">
        <v>23</v>
      </c>
      <c r="BF141" s="270">
        <v>21</v>
      </c>
      <c r="BG141" s="270">
        <v>24</v>
      </c>
      <c r="BH141" s="270">
        <v>22</v>
      </c>
      <c r="BI141" s="270">
        <v>20</v>
      </c>
      <c r="BJ141" s="270">
        <v>19</v>
      </c>
      <c r="BK141" s="270">
        <v>17</v>
      </c>
      <c r="BL141" s="270">
        <v>13</v>
      </c>
      <c r="BM141" s="270">
        <v>12</v>
      </c>
      <c r="BN141" s="270">
        <v>11</v>
      </c>
      <c r="BO141" s="270">
        <v>8</v>
      </c>
      <c r="BP141" s="270">
        <v>12</v>
      </c>
      <c r="BQ141" s="270">
        <v>11</v>
      </c>
      <c r="BR141" s="270">
        <v>9</v>
      </c>
      <c r="BS141" s="458"/>
      <c r="BT141" s="274"/>
      <c r="BU141" s="274"/>
      <c r="BV141" s="274"/>
      <c r="BW141" s="274"/>
      <c r="BX141" s="274"/>
      <c r="BY141" s="274"/>
      <c r="BZ141" s="274"/>
      <c r="CA141" s="274"/>
      <c r="CB141" s="274"/>
      <c r="CC141" s="274"/>
      <c r="CD141" s="274"/>
      <c r="CE141" s="274"/>
      <c r="CF141" s="274"/>
      <c r="CG141" s="274"/>
      <c r="CH141" s="274"/>
      <c r="CI141" s="274"/>
      <c r="CJ141" s="308"/>
      <c r="CK141" s="308"/>
      <c r="CL141" s="308"/>
      <c r="CM141" s="308"/>
    </row>
    <row r="142" spans="1:91" s="5" customFormat="1">
      <c r="A142" s="1" t="s">
        <v>514</v>
      </c>
      <c r="B142" s="72">
        <f>AB142</f>
        <v>1527</v>
      </c>
      <c r="C142" s="72">
        <f>AE142</f>
        <v>1524</v>
      </c>
      <c r="D142" s="72">
        <f>AI142</f>
        <v>0</v>
      </c>
      <c r="E142" s="72">
        <f>AM142</f>
        <v>0</v>
      </c>
      <c r="F142" s="72">
        <f>AQ142</f>
        <v>0</v>
      </c>
      <c r="G142" s="72">
        <f>AU142</f>
        <v>1539</v>
      </c>
      <c r="H142" s="72">
        <f>AY142</f>
        <v>1556</v>
      </c>
      <c r="I142" s="72">
        <f>BC142</f>
        <v>1554</v>
      </c>
      <c r="J142" s="72">
        <f>BG142</f>
        <v>1572</v>
      </c>
      <c r="K142" s="72">
        <f>BK142</f>
        <v>1572</v>
      </c>
      <c r="L142" s="270">
        <v>1568</v>
      </c>
      <c r="M142" s="40"/>
      <c r="N142" s="308"/>
      <c r="O142" s="308"/>
      <c r="P142" s="308"/>
      <c r="Q142" s="308"/>
      <c r="R142" s="308"/>
      <c r="S142" s="308"/>
      <c r="T142" s="308"/>
      <c r="U142" s="308"/>
      <c r="V142" s="308"/>
      <c r="X142" s="270">
        <v>1526</v>
      </c>
      <c r="Y142" s="270">
        <v>1527</v>
      </c>
      <c r="Z142" s="270">
        <v>1527</v>
      </c>
      <c r="AA142" s="270">
        <v>1525</v>
      </c>
      <c r="AB142" s="270">
        <v>1527</v>
      </c>
      <c r="AC142" s="270">
        <v>1529</v>
      </c>
      <c r="AD142" s="270">
        <v>1529</v>
      </c>
      <c r="AE142" s="270">
        <v>1524</v>
      </c>
      <c r="AF142" s="270">
        <v>1524</v>
      </c>
      <c r="AG142" s="270">
        <v>1524</v>
      </c>
      <c r="AH142" s="270">
        <v>1529</v>
      </c>
      <c r="AI142" s="270"/>
      <c r="AJ142" s="270">
        <v>1528</v>
      </c>
      <c r="AK142" s="270">
        <v>1523</v>
      </c>
      <c r="AL142" s="270">
        <v>1525</v>
      </c>
      <c r="AM142" s="270"/>
      <c r="AN142" s="270">
        <v>1538</v>
      </c>
      <c r="AO142" s="270">
        <v>1538</v>
      </c>
      <c r="AP142" s="270">
        <v>1536</v>
      </c>
      <c r="AQ142" s="270"/>
      <c r="AR142" s="270">
        <v>1540</v>
      </c>
      <c r="AS142" s="270">
        <v>1541</v>
      </c>
      <c r="AT142" s="270">
        <v>1537</v>
      </c>
      <c r="AU142" s="270">
        <v>1539</v>
      </c>
      <c r="AV142" s="270">
        <v>1543</v>
      </c>
      <c r="AW142" s="270">
        <v>1543</v>
      </c>
      <c r="AX142" s="270">
        <v>1542</v>
      </c>
      <c r="AY142" s="270">
        <v>1556</v>
      </c>
      <c r="AZ142" s="270">
        <v>1552</v>
      </c>
      <c r="BA142" s="270">
        <v>1552</v>
      </c>
      <c r="BB142" s="270">
        <v>1553</v>
      </c>
      <c r="BC142" s="270">
        <v>1554</v>
      </c>
      <c r="BD142" s="270">
        <v>1568</v>
      </c>
      <c r="BE142" s="270">
        <v>1568</v>
      </c>
      <c r="BF142" s="270">
        <v>1568</v>
      </c>
      <c r="BG142" s="270">
        <v>1572</v>
      </c>
      <c r="BH142" s="270">
        <v>1572</v>
      </c>
      <c r="BI142" s="270">
        <v>1572</v>
      </c>
      <c r="BJ142" s="270">
        <v>1572</v>
      </c>
      <c r="BK142" s="270">
        <v>1572</v>
      </c>
      <c r="BL142" s="270">
        <v>1568</v>
      </c>
      <c r="BM142" s="270">
        <v>1568</v>
      </c>
      <c r="BN142" s="270">
        <v>1568</v>
      </c>
      <c r="BO142" s="270">
        <v>1568</v>
      </c>
      <c r="BP142" s="270">
        <v>1573</v>
      </c>
      <c r="BQ142" s="270">
        <v>1573</v>
      </c>
      <c r="BR142" s="270">
        <v>1573</v>
      </c>
      <c r="BS142" s="458"/>
      <c r="BT142" s="274"/>
      <c r="BU142" s="274"/>
      <c r="BV142" s="274"/>
      <c r="BW142" s="274"/>
      <c r="BX142" s="274"/>
      <c r="BY142" s="274"/>
      <c r="BZ142" s="274"/>
      <c r="CA142" s="274"/>
      <c r="CB142" s="274"/>
      <c r="CC142" s="274"/>
      <c r="CD142" s="274"/>
      <c r="CE142" s="274"/>
      <c r="CF142" s="274"/>
      <c r="CG142" s="274"/>
      <c r="CH142" s="274"/>
      <c r="CI142" s="274"/>
      <c r="CJ142" s="308"/>
      <c r="CK142" s="308"/>
      <c r="CL142" s="308"/>
      <c r="CM142" s="308"/>
    </row>
    <row r="143" spans="1:91" s="5" customFormat="1">
      <c r="A143" s="12"/>
      <c r="B143" s="308"/>
      <c r="C143" s="308"/>
      <c r="D143" s="308"/>
      <c r="E143" s="308"/>
      <c r="F143" s="308"/>
      <c r="G143" s="308"/>
      <c r="H143" s="308"/>
      <c r="I143" s="40"/>
      <c r="J143" s="40"/>
      <c r="K143" s="40"/>
      <c r="L143" s="308"/>
      <c r="M143" s="40"/>
      <c r="N143" s="308"/>
      <c r="O143" s="308"/>
      <c r="P143" s="308"/>
      <c r="Q143" s="308"/>
      <c r="R143" s="308"/>
      <c r="S143" s="308"/>
      <c r="T143" s="308"/>
      <c r="U143" s="308"/>
      <c r="V143" s="308"/>
      <c r="X143" s="308"/>
      <c r="Y143" s="308"/>
      <c r="Z143" s="308"/>
      <c r="AA143" s="308"/>
      <c r="AB143" s="308"/>
      <c r="AC143" s="308"/>
      <c r="AD143" s="308"/>
      <c r="AE143" s="308"/>
      <c r="AF143" s="308"/>
      <c r="AG143" s="308"/>
      <c r="AH143" s="308"/>
      <c r="AI143" s="308"/>
      <c r="AJ143" s="308"/>
      <c r="AK143" s="308"/>
      <c r="AL143" s="308"/>
      <c r="AM143" s="308"/>
      <c r="AN143" s="308"/>
      <c r="AO143" s="308"/>
      <c r="AP143" s="308"/>
      <c r="AQ143" s="308"/>
      <c r="AR143" s="308"/>
      <c r="AS143" s="308"/>
      <c r="AT143" s="308"/>
      <c r="AU143" s="308"/>
      <c r="AV143" s="308"/>
      <c r="AW143" s="308"/>
      <c r="AX143" s="308"/>
      <c r="AY143" s="308"/>
      <c r="AZ143" s="308"/>
      <c r="BA143" s="308"/>
      <c r="BB143" s="308"/>
      <c r="BC143" s="308"/>
      <c r="BD143" s="308"/>
      <c r="BE143" s="308"/>
      <c r="BF143" s="308"/>
      <c r="BG143" s="308"/>
      <c r="BH143" s="308"/>
      <c r="BI143" s="308"/>
      <c r="BJ143" s="308"/>
      <c r="BK143" s="308"/>
      <c r="BL143" s="308"/>
      <c r="BM143" s="308"/>
      <c r="BN143" s="308"/>
      <c r="BO143" s="308"/>
      <c r="BP143" s="308"/>
      <c r="BQ143" s="308"/>
      <c r="BR143" s="308"/>
      <c r="BS143" s="459"/>
      <c r="BT143" s="308"/>
      <c r="BU143" s="308"/>
      <c r="BV143" s="308"/>
      <c r="BW143" s="308"/>
      <c r="BX143" s="308"/>
      <c r="BY143" s="308"/>
      <c r="BZ143" s="308"/>
      <c r="CA143" s="308"/>
      <c r="CB143" s="308"/>
      <c r="CC143" s="308"/>
      <c r="CD143" s="308"/>
      <c r="CE143" s="308"/>
      <c r="CF143" s="308"/>
      <c r="CG143" s="308"/>
      <c r="CH143" s="308"/>
      <c r="CI143" s="308"/>
      <c r="CJ143" s="308"/>
      <c r="CK143" s="308"/>
      <c r="CL143" s="308"/>
      <c r="CM143" s="308"/>
    </row>
    <row r="144" spans="1:91" s="5" customFormat="1">
      <c r="A144" s="14">
        <v>767</v>
      </c>
      <c r="B144" s="308"/>
      <c r="C144" s="308"/>
      <c r="D144" s="308"/>
      <c r="E144" s="308"/>
      <c r="F144" s="308"/>
      <c r="G144" s="308"/>
      <c r="H144" s="308"/>
      <c r="I144" s="40"/>
      <c r="J144" s="40"/>
      <c r="K144" s="40"/>
      <c r="L144" s="308"/>
      <c r="M144" s="40"/>
      <c r="N144" s="308"/>
      <c r="O144" s="308"/>
      <c r="P144" s="308"/>
      <c r="Q144" s="308"/>
      <c r="R144" s="308"/>
      <c r="S144" s="308"/>
      <c r="T144" s="308"/>
      <c r="U144" s="308"/>
      <c r="V144" s="308"/>
      <c r="X144" s="308"/>
      <c r="Y144" s="308"/>
      <c r="Z144" s="308"/>
      <c r="AA144" s="308"/>
      <c r="AB144" s="308"/>
      <c r="AC144" s="308"/>
      <c r="AD144" s="308"/>
      <c r="AE144" s="308"/>
      <c r="AF144" s="308"/>
      <c r="AG144" s="308"/>
      <c r="AH144" s="308"/>
      <c r="AI144" s="308"/>
      <c r="AJ144" s="308"/>
      <c r="AK144" s="308"/>
      <c r="AL144" s="308"/>
      <c r="AM144" s="308"/>
      <c r="AN144" s="308"/>
      <c r="AO144" s="308"/>
      <c r="AP144" s="308"/>
      <c r="AQ144" s="308"/>
      <c r="AR144" s="308"/>
      <c r="AS144" s="308"/>
      <c r="AT144" s="308"/>
      <c r="AU144" s="308"/>
      <c r="AV144" s="308"/>
      <c r="AW144" s="308"/>
      <c r="AX144" s="308"/>
      <c r="AY144" s="308"/>
      <c r="AZ144" s="308"/>
      <c r="BA144" s="308"/>
      <c r="BB144" s="308"/>
      <c r="BC144" s="308"/>
      <c r="BD144" s="308"/>
      <c r="BE144" s="308"/>
      <c r="BF144" s="308"/>
      <c r="BG144" s="308"/>
      <c r="BH144" s="308"/>
      <c r="BI144" s="308"/>
      <c r="BJ144" s="308"/>
      <c r="BK144" s="308"/>
      <c r="BL144" s="308"/>
      <c r="BM144" s="308"/>
      <c r="BN144" s="308"/>
      <c r="BO144" s="308"/>
      <c r="BP144" s="308"/>
      <c r="BQ144" s="308"/>
      <c r="BR144" s="308"/>
      <c r="BS144" s="459"/>
      <c r="BT144" s="308"/>
      <c r="BU144" s="308"/>
      <c r="BV144" s="308"/>
      <c r="BW144" s="308"/>
      <c r="BX144" s="308"/>
      <c r="BY144" s="308"/>
      <c r="BZ144" s="308"/>
      <c r="CA144" s="308"/>
      <c r="CB144" s="308"/>
      <c r="CC144" s="308"/>
      <c r="CD144" s="308"/>
      <c r="CE144" s="308"/>
      <c r="CF144" s="308"/>
      <c r="CG144" s="308"/>
      <c r="CH144" s="308"/>
      <c r="CI144" s="308"/>
      <c r="CJ144" s="308"/>
      <c r="CK144" s="308"/>
      <c r="CL144" s="308"/>
      <c r="CM144" s="308"/>
    </row>
    <row r="145" spans="1:91" s="5" customFormat="1">
      <c r="A145" s="1" t="s">
        <v>512</v>
      </c>
      <c r="B145" s="72">
        <f>AB145</f>
        <v>1048</v>
      </c>
      <c r="C145" s="72">
        <f>AE145</f>
        <v>184</v>
      </c>
      <c r="D145" s="72">
        <f>AI145</f>
        <v>1103</v>
      </c>
      <c r="E145" s="72">
        <f>AM145</f>
        <v>1113</v>
      </c>
      <c r="F145" s="72">
        <f>AQ145</f>
        <v>1113</v>
      </c>
      <c r="G145" s="72">
        <f>AU145</f>
        <v>1147</v>
      </c>
      <c r="H145" s="72">
        <f>AY145</f>
        <v>1159</v>
      </c>
      <c r="I145" s="72">
        <f>BC145</f>
        <v>1171</v>
      </c>
      <c r="J145" s="72">
        <f>BG145</f>
        <v>1195</v>
      </c>
      <c r="K145" s="72">
        <f>BK145</f>
        <v>1195</v>
      </c>
      <c r="L145" s="270">
        <v>1195</v>
      </c>
      <c r="M145" s="40"/>
      <c r="N145" s="308"/>
      <c r="O145" s="308"/>
      <c r="P145" s="308"/>
      <c r="Q145" s="308"/>
      <c r="R145" s="308"/>
      <c r="S145" s="308"/>
      <c r="T145" s="308"/>
      <c r="U145" s="308"/>
      <c r="V145" s="308"/>
      <c r="X145" s="270">
        <v>1035</v>
      </c>
      <c r="Y145" s="270">
        <v>1048</v>
      </c>
      <c r="Z145" s="270">
        <v>1048</v>
      </c>
      <c r="AA145" s="270">
        <v>1048</v>
      </c>
      <c r="AB145" s="270">
        <v>1048</v>
      </c>
      <c r="AC145" s="270">
        <v>1060</v>
      </c>
      <c r="AD145" s="270">
        <v>1060</v>
      </c>
      <c r="AE145" s="270">
        <v>184</v>
      </c>
      <c r="AF145" s="270">
        <v>1090</v>
      </c>
      <c r="AG145" s="270">
        <v>1090</v>
      </c>
      <c r="AH145" s="270">
        <v>1097</v>
      </c>
      <c r="AI145" s="270">
        <v>1103</v>
      </c>
      <c r="AJ145" s="270">
        <v>1103</v>
      </c>
      <c r="AK145" s="270">
        <v>1103</v>
      </c>
      <c r="AL145" s="270">
        <v>1103</v>
      </c>
      <c r="AM145" s="270">
        <v>1113</v>
      </c>
      <c r="AN145" s="270">
        <v>1113</v>
      </c>
      <c r="AO145" s="270">
        <v>1113</v>
      </c>
      <c r="AP145" s="270">
        <v>1113</v>
      </c>
      <c r="AQ145" s="270">
        <v>1113</v>
      </c>
      <c r="AR145" s="270">
        <v>1113</v>
      </c>
      <c r="AS145" s="270">
        <v>1113</v>
      </c>
      <c r="AT145" s="270">
        <v>1147</v>
      </c>
      <c r="AU145" s="270">
        <v>1147</v>
      </c>
      <c r="AV145" s="270">
        <v>1147</v>
      </c>
      <c r="AW145" s="270">
        <v>1159</v>
      </c>
      <c r="AX145" s="270">
        <v>1159</v>
      </c>
      <c r="AY145" s="270">
        <v>1159</v>
      </c>
      <c r="AZ145" s="270">
        <v>1159</v>
      </c>
      <c r="BA145" s="270">
        <v>1159</v>
      </c>
      <c r="BB145" s="270">
        <v>1171</v>
      </c>
      <c r="BC145" s="270">
        <v>1171</v>
      </c>
      <c r="BD145" s="270">
        <v>1195</v>
      </c>
      <c r="BE145" s="270">
        <v>1195</v>
      </c>
      <c r="BF145" s="270">
        <v>1195</v>
      </c>
      <c r="BG145" s="270">
        <v>1195</v>
      </c>
      <c r="BH145" s="270">
        <v>1195</v>
      </c>
      <c r="BI145" s="270">
        <v>1195</v>
      </c>
      <c r="BJ145" s="270">
        <v>1195</v>
      </c>
      <c r="BK145" s="270">
        <v>1195</v>
      </c>
      <c r="BL145" s="270">
        <v>1195</v>
      </c>
      <c r="BM145" s="270">
        <v>1207</v>
      </c>
      <c r="BN145" s="270">
        <v>1207</v>
      </c>
      <c r="BO145" s="270">
        <v>1207</v>
      </c>
      <c r="BP145" s="270">
        <v>1207</v>
      </c>
      <c r="BQ145" s="270">
        <v>1231</v>
      </c>
      <c r="BR145" s="270">
        <v>1243</v>
      </c>
      <c r="BS145" s="458"/>
      <c r="BT145" s="274"/>
      <c r="BU145" s="274"/>
      <c r="BV145" s="274"/>
      <c r="BW145" s="274"/>
      <c r="BX145" s="274"/>
      <c r="BY145" s="274"/>
      <c r="BZ145" s="274"/>
      <c r="CA145" s="274"/>
      <c r="CB145" s="274"/>
      <c r="CC145" s="274"/>
      <c r="CD145" s="274"/>
      <c r="CE145" s="274"/>
      <c r="CF145" s="274"/>
      <c r="CG145" s="274"/>
      <c r="CH145" s="274"/>
      <c r="CI145" s="274"/>
      <c r="CJ145" s="308"/>
      <c r="CK145" s="308"/>
      <c r="CL145" s="308"/>
      <c r="CM145" s="308"/>
    </row>
    <row r="146" spans="1:91" s="5" customFormat="1">
      <c r="A146" s="1" t="s">
        <v>513</v>
      </c>
      <c r="B146" s="72">
        <f>AB146</f>
        <v>53</v>
      </c>
      <c r="C146" s="72">
        <f>AE146</f>
        <v>72</v>
      </c>
      <c r="D146" s="72">
        <f>AI146</f>
        <v>68</v>
      </c>
      <c r="E146" s="72">
        <f>AM146</f>
        <v>49</v>
      </c>
      <c r="F146" s="72">
        <f>AQ146</f>
        <v>47</v>
      </c>
      <c r="G146" s="72">
        <f>AU146</f>
        <v>80</v>
      </c>
      <c r="H146" s="72">
        <f>AY146</f>
        <v>93</v>
      </c>
      <c r="I146" s="72">
        <f>BC146</f>
        <v>98</v>
      </c>
      <c r="J146" s="72">
        <f>BG146</f>
        <v>111</v>
      </c>
      <c r="K146" s="72">
        <f>BK146</f>
        <v>94</v>
      </c>
      <c r="L146" s="270">
        <v>86</v>
      </c>
      <c r="M146" s="40"/>
      <c r="N146" s="308"/>
      <c r="O146" s="308"/>
      <c r="P146" s="308"/>
      <c r="Q146" s="308"/>
      <c r="R146" s="308"/>
      <c r="S146" s="308"/>
      <c r="T146" s="308"/>
      <c r="U146" s="308"/>
      <c r="V146" s="308"/>
      <c r="X146" s="270">
        <v>56</v>
      </c>
      <c r="Y146" s="270">
        <v>55</v>
      </c>
      <c r="Z146" s="270">
        <v>53</v>
      </c>
      <c r="AA146" s="270">
        <v>50</v>
      </c>
      <c r="AB146" s="270">
        <v>53</v>
      </c>
      <c r="AC146" s="270">
        <v>54</v>
      </c>
      <c r="AD146" s="270">
        <v>49</v>
      </c>
      <c r="AE146" s="270">
        <v>72</v>
      </c>
      <c r="AF146" s="270">
        <v>69</v>
      </c>
      <c r="AG146" s="270">
        <v>78</v>
      </c>
      <c r="AH146" s="270">
        <v>71</v>
      </c>
      <c r="AI146" s="270">
        <v>68</v>
      </c>
      <c r="AJ146" s="270">
        <v>64</v>
      </c>
      <c r="AK146" s="270">
        <v>56</v>
      </c>
      <c r="AL146" s="270">
        <v>51</v>
      </c>
      <c r="AM146" s="270">
        <v>49</v>
      </c>
      <c r="AN146" s="270">
        <v>49</v>
      </c>
      <c r="AO146" s="270">
        <v>48</v>
      </c>
      <c r="AP146" s="270">
        <v>50</v>
      </c>
      <c r="AQ146" s="270">
        <v>47</v>
      </c>
      <c r="AR146" s="270">
        <v>42</v>
      </c>
      <c r="AS146" s="270">
        <v>39</v>
      </c>
      <c r="AT146" s="270">
        <v>81</v>
      </c>
      <c r="AU146" s="270">
        <v>80</v>
      </c>
      <c r="AV146" s="270">
        <v>80</v>
      </c>
      <c r="AW146" s="270">
        <v>82</v>
      </c>
      <c r="AX146" s="270">
        <v>96</v>
      </c>
      <c r="AY146" s="270">
        <v>93</v>
      </c>
      <c r="AZ146" s="270">
        <v>106</v>
      </c>
      <c r="BA146" s="270">
        <v>103</v>
      </c>
      <c r="BB146" s="270">
        <v>101</v>
      </c>
      <c r="BC146" s="270">
        <v>98</v>
      </c>
      <c r="BD146" s="270">
        <v>101</v>
      </c>
      <c r="BE146" s="270">
        <v>109</v>
      </c>
      <c r="BF146" s="270">
        <v>123</v>
      </c>
      <c r="BG146" s="270">
        <v>111</v>
      </c>
      <c r="BH146" s="270">
        <v>103</v>
      </c>
      <c r="BI146" s="270">
        <v>99</v>
      </c>
      <c r="BJ146" s="270">
        <v>105</v>
      </c>
      <c r="BK146" s="270">
        <v>94</v>
      </c>
      <c r="BL146" s="270">
        <v>86</v>
      </c>
      <c r="BM146" s="270">
        <v>89</v>
      </c>
      <c r="BN146" s="270">
        <v>83</v>
      </c>
      <c r="BO146" s="270">
        <v>75</v>
      </c>
      <c r="BP146" s="270">
        <v>97</v>
      </c>
      <c r="BQ146" s="270">
        <v>107</v>
      </c>
      <c r="BR146" s="270">
        <v>97</v>
      </c>
      <c r="BS146" s="458"/>
      <c r="BT146" s="274"/>
      <c r="BU146" s="274"/>
      <c r="BV146" s="274"/>
      <c r="BW146" s="274"/>
      <c r="BX146" s="274"/>
      <c r="BY146" s="274"/>
      <c r="BZ146" s="274"/>
      <c r="CA146" s="274"/>
      <c r="CB146" s="274"/>
      <c r="CC146" s="274"/>
      <c r="CD146" s="274"/>
      <c r="CE146" s="274"/>
      <c r="CF146" s="274"/>
      <c r="CG146" s="274"/>
      <c r="CH146" s="274"/>
      <c r="CI146" s="274"/>
      <c r="CJ146" s="308"/>
      <c r="CK146" s="308"/>
      <c r="CL146" s="308"/>
      <c r="CM146" s="308"/>
    </row>
    <row r="147" spans="1:91" s="5" customFormat="1">
      <c r="A147" s="1" t="s">
        <v>514</v>
      </c>
      <c r="B147" s="72">
        <f>AB147</f>
        <v>1051</v>
      </c>
      <c r="C147" s="72">
        <f>AE147</f>
        <v>1086</v>
      </c>
      <c r="D147" s="72">
        <f>AI147</f>
        <v>1108</v>
      </c>
      <c r="E147" s="72">
        <f>AM147</f>
        <v>1110</v>
      </c>
      <c r="F147" s="72">
        <f>AQ147</f>
        <v>1114</v>
      </c>
      <c r="G147" s="72">
        <f>AU147</f>
        <v>1163</v>
      </c>
      <c r="H147" s="72">
        <f>AY147</f>
        <v>1189</v>
      </c>
      <c r="I147" s="72">
        <f>BC147</f>
        <v>1204</v>
      </c>
      <c r="J147" s="72">
        <f>BG147</f>
        <v>1244</v>
      </c>
      <c r="K147" s="72">
        <f>BK147</f>
        <v>1270</v>
      </c>
      <c r="L147" s="270">
        <v>1272</v>
      </c>
      <c r="M147" s="40"/>
      <c r="N147" s="308"/>
      <c r="O147" s="308"/>
      <c r="P147" s="308"/>
      <c r="Q147" s="308"/>
      <c r="R147" s="308"/>
      <c r="S147" s="308"/>
      <c r="T147" s="308"/>
      <c r="U147" s="308"/>
      <c r="V147" s="308"/>
      <c r="X147" s="270">
        <v>1041</v>
      </c>
      <c r="Y147" s="270">
        <v>1043</v>
      </c>
      <c r="Z147" s="270">
        <v>1044</v>
      </c>
      <c r="AA147" s="270">
        <v>1044</v>
      </c>
      <c r="AB147" s="270">
        <v>1051</v>
      </c>
      <c r="AC147" s="270">
        <v>1057</v>
      </c>
      <c r="AD147" s="270">
        <v>1057</v>
      </c>
      <c r="AE147" s="270">
        <v>1086</v>
      </c>
      <c r="AF147" s="270">
        <v>1090</v>
      </c>
      <c r="AG147" s="270">
        <v>1105</v>
      </c>
      <c r="AH147" s="270">
        <v>1105</v>
      </c>
      <c r="AI147" s="270">
        <v>1108</v>
      </c>
      <c r="AJ147" s="270">
        <v>1108</v>
      </c>
      <c r="AK147" s="270">
        <v>1108</v>
      </c>
      <c r="AL147" s="270">
        <v>1108</v>
      </c>
      <c r="AM147" s="270">
        <v>1110</v>
      </c>
      <c r="AN147" s="270">
        <v>1110</v>
      </c>
      <c r="AO147" s="270">
        <v>1110</v>
      </c>
      <c r="AP147" s="270">
        <v>1114</v>
      </c>
      <c r="AQ147" s="270">
        <v>1114</v>
      </c>
      <c r="AR147" s="270">
        <v>1114</v>
      </c>
      <c r="AS147" s="270">
        <v>1115</v>
      </c>
      <c r="AT147" s="270">
        <v>1162</v>
      </c>
      <c r="AU147" s="270">
        <v>1163</v>
      </c>
      <c r="AV147" s="270">
        <v>1164</v>
      </c>
      <c r="AW147" s="270">
        <v>1170</v>
      </c>
      <c r="AX147" s="270">
        <v>1189</v>
      </c>
      <c r="AY147" s="270">
        <v>1189</v>
      </c>
      <c r="AZ147" s="270">
        <v>1204</v>
      </c>
      <c r="BA147" s="270">
        <v>1204</v>
      </c>
      <c r="BB147" s="270">
        <v>1204</v>
      </c>
      <c r="BC147" s="270">
        <v>1204</v>
      </c>
      <c r="BD147" s="270">
        <v>1211</v>
      </c>
      <c r="BE147" s="270">
        <v>1224</v>
      </c>
      <c r="BF147" s="270">
        <v>1242</v>
      </c>
      <c r="BG147" s="270">
        <v>1244</v>
      </c>
      <c r="BH147" s="270">
        <v>1248</v>
      </c>
      <c r="BI147" s="270">
        <v>1254</v>
      </c>
      <c r="BJ147" s="270">
        <v>1270</v>
      </c>
      <c r="BK147" s="270">
        <v>1270</v>
      </c>
      <c r="BL147" s="270">
        <v>1272</v>
      </c>
      <c r="BM147" s="270">
        <v>1279</v>
      </c>
      <c r="BN147" s="270">
        <v>1279</v>
      </c>
      <c r="BO147" s="270">
        <v>1281</v>
      </c>
      <c r="BP147" s="270">
        <v>1308</v>
      </c>
      <c r="BQ147" s="270">
        <v>1326</v>
      </c>
      <c r="BR147" s="270">
        <v>1327</v>
      </c>
      <c r="BS147" s="458"/>
      <c r="BT147" s="274"/>
      <c r="BU147" s="274"/>
      <c r="BV147" s="274"/>
      <c r="BW147" s="274"/>
      <c r="BX147" s="274"/>
      <c r="BY147" s="274"/>
      <c r="BZ147" s="274"/>
      <c r="CA147" s="274"/>
      <c r="CB147" s="274"/>
      <c r="CC147" s="274"/>
      <c r="CD147" s="274"/>
      <c r="CE147" s="274"/>
      <c r="CF147" s="274"/>
      <c r="CG147" s="274"/>
      <c r="CH147" s="274"/>
      <c r="CI147" s="274"/>
      <c r="CJ147" s="308"/>
      <c r="CK147" s="308"/>
      <c r="CL147" s="308"/>
      <c r="CM147" s="308"/>
    </row>
    <row r="148" spans="1:91" s="5" customFormat="1">
      <c r="A148" s="12"/>
      <c r="B148" s="308"/>
      <c r="C148" s="308"/>
      <c r="D148" s="308"/>
      <c r="E148" s="308"/>
      <c r="F148" s="308"/>
      <c r="G148" s="308"/>
      <c r="H148" s="308"/>
      <c r="I148" s="40"/>
      <c r="J148" s="40"/>
      <c r="K148" s="40"/>
      <c r="L148" s="308"/>
      <c r="M148" s="40"/>
      <c r="N148" s="308"/>
      <c r="O148" s="308"/>
      <c r="P148" s="308"/>
      <c r="Q148" s="308"/>
      <c r="R148" s="308"/>
      <c r="S148" s="308"/>
      <c r="T148" s="308"/>
      <c r="U148" s="308"/>
      <c r="V148" s="308"/>
      <c r="X148" s="308"/>
      <c r="Y148" s="308"/>
      <c r="Z148" s="308"/>
      <c r="AA148" s="308"/>
      <c r="AB148" s="308"/>
      <c r="AC148" s="308"/>
      <c r="AD148" s="308"/>
      <c r="AE148" s="308"/>
      <c r="AF148" s="308"/>
      <c r="AG148" s="308"/>
      <c r="AH148" s="308"/>
      <c r="AI148" s="308"/>
      <c r="AJ148" s="308"/>
      <c r="AK148" s="308"/>
      <c r="AL148" s="308"/>
      <c r="AM148" s="308"/>
      <c r="AN148" s="308"/>
      <c r="AO148" s="308"/>
      <c r="AP148" s="308"/>
      <c r="AQ148" s="308"/>
      <c r="AR148" s="308"/>
      <c r="AS148" s="308"/>
      <c r="AT148" s="308"/>
      <c r="AU148" s="308"/>
      <c r="AV148" s="308"/>
      <c r="AW148" s="308"/>
      <c r="AX148" s="308"/>
      <c r="AY148" s="308"/>
      <c r="AZ148" s="308"/>
      <c r="BA148" s="308"/>
      <c r="BB148" s="308"/>
      <c r="BC148" s="308"/>
      <c r="BD148" s="308"/>
      <c r="BE148" s="308"/>
      <c r="BF148" s="308"/>
      <c r="BG148" s="308"/>
      <c r="BH148" s="308"/>
      <c r="BI148" s="308"/>
      <c r="BJ148" s="308"/>
      <c r="BK148" s="308"/>
      <c r="BL148" s="308"/>
      <c r="BM148" s="308"/>
      <c r="BN148" s="308"/>
      <c r="BO148" s="308"/>
      <c r="BP148" s="308"/>
      <c r="BQ148" s="308"/>
      <c r="BR148" s="308"/>
      <c r="BS148" s="459"/>
      <c r="BT148" s="308"/>
      <c r="BU148" s="308"/>
      <c r="BV148" s="308"/>
      <c r="BW148" s="308"/>
      <c r="BX148" s="308"/>
      <c r="BY148" s="308"/>
      <c r="BZ148" s="308"/>
      <c r="CA148" s="308"/>
      <c r="CB148" s="308"/>
      <c r="CC148" s="308"/>
      <c r="CD148" s="308"/>
      <c r="CE148" s="308"/>
      <c r="CF148" s="308"/>
      <c r="CG148" s="308"/>
      <c r="CH148" s="308"/>
      <c r="CI148" s="308"/>
      <c r="CJ148" s="308"/>
      <c r="CK148" s="308"/>
      <c r="CL148" s="308"/>
      <c r="CM148" s="308"/>
    </row>
    <row r="149" spans="1:91" s="5" customFormat="1">
      <c r="A149" s="14">
        <v>777</v>
      </c>
      <c r="B149" s="308"/>
      <c r="C149" s="308"/>
      <c r="D149" s="308"/>
      <c r="E149" s="308"/>
      <c r="F149" s="308"/>
      <c r="G149" s="308"/>
      <c r="H149" s="308"/>
      <c r="I149" s="40"/>
      <c r="J149" s="40"/>
      <c r="K149" s="40"/>
      <c r="L149" s="308"/>
      <c r="M149" s="40"/>
      <c r="N149" s="308"/>
      <c r="O149" s="308"/>
      <c r="P149" s="308"/>
      <c r="Q149" s="308"/>
      <c r="R149" s="308"/>
      <c r="S149" s="308"/>
      <c r="T149" s="308"/>
      <c r="U149" s="308"/>
      <c r="V149" s="308"/>
      <c r="X149" s="308"/>
      <c r="Y149" s="308"/>
      <c r="Z149" s="308"/>
      <c r="AA149" s="308"/>
      <c r="AB149" s="308"/>
      <c r="AC149" s="308"/>
      <c r="AD149" s="308"/>
      <c r="AE149" s="308"/>
      <c r="AF149" s="308"/>
      <c r="AG149" s="308"/>
      <c r="AH149" s="308"/>
      <c r="AI149" s="308"/>
      <c r="AJ149" s="308"/>
      <c r="AK149" s="308"/>
      <c r="AL149" s="308"/>
      <c r="AM149" s="308"/>
      <c r="AN149" s="308"/>
      <c r="AO149" s="308"/>
      <c r="AP149" s="308"/>
      <c r="AQ149" s="308"/>
      <c r="AR149" s="308"/>
      <c r="AS149" s="308"/>
      <c r="AT149" s="308"/>
      <c r="AU149" s="308"/>
      <c r="AV149" s="308"/>
      <c r="AW149" s="308"/>
      <c r="AX149" s="308"/>
      <c r="AY149" s="308"/>
      <c r="AZ149" s="308"/>
      <c r="BA149" s="308"/>
      <c r="BB149" s="308"/>
      <c r="BC149" s="308"/>
      <c r="BD149" s="308"/>
      <c r="BE149" s="308"/>
      <c r="BF149" s="308"/>
      <c r="BG149" s="308"/>
      <c r="BH149" s="308"/>
      <c r="BI149" s="308"/>
      <c r="BJ149" s="308"/>
      <c r="BK149" s="308"/>
      <c r="BL149" s="308"/>
      <c r="BM149" s="308"/>
      <c r="BN149" s="308"/>
      <c r="BO149" s="308"/>
      <c r="BP149" s="308"/>
      <c r="BQ149" s="308"/>
      <c r="BR149" s="308"/>
      <c r="BS149" s="459"/>
      <c r="BT149" s="308"/>
      <c r="BU149" s="308"/>
      <c r="BV149" s="308"/>
      <c r="BW149" s="308"/>
      <c r="BX149" s="308"/>
      <c r="BY149" s="308"/>
      <c r="BZ149" s="308"/>
      <c r="CA149" s="308"/>
      <c r="CB149" s="308"/>
      <c r="CC149" s="308"/>
      <c r="CD149" s="308"/>
      <c r="CE149" s="308"/>
      <c r="CF149" s="308"/>
      <c r="CG149" s="308"/>
      <c r="CH149" s="308"/>
      <c r="CI149" s="308"/>
      <c r="CJ149" s="308"/>
      <c r="CK149" s="308"/>
      <c r="CL149" s="308"/>
      <c r="CM149" s="308"/>
    </row>
    <row r="150" spans="1:91" s="5" customFormat="1">
      <c r="A150" s="1" t="s">
        <v>512</v>
      </c>
      <c r="B150" s="72">
        <f>AB150</f>
        <v>1200</v>
      </c>
      <c r="C150" s="72">
        <f>AE150</f>
        <v>1350</v>
      </c>
      <c r="D150" s="72">
        <f>AI150</f>
        <v>1450</v>
      </c>
      <c r="E150" s="72">
        <f>AM150</f>
        <v>1550</v>
      </c>
      <c r="F150" s="72">
        <f>AQ150</f>
        <v>1600</v>
      </c>
      <c r="G150" s="72">
        <f>AU150</f>
        <v>1650</v>
      </c>
      <c r="H150" s="72">
        <f>AY150</f>
        <v>1625</v>
      </c>
      <c r="I150" s="72">
        <f>BC150</f>
        <v>1625</v>
      </c>
      <c r="J150" s="72">
        <f>BG150</f>
        <v>1680</v>
      </c>
      <c r="K150" s="72">
        <f>BK150</f>
        <v>1690</v>
      </c>
      <c r="L150" s="270">
        <v>1690</v>
      </c>
      <c r="M150" s="40"/>
      <c r="N150" s="308"/>
      <c r="O150" s="308"/>
      <c r="P150" s="308"/>
      <c r="Q150" s="308"/>
      <c r="R150" s="308"/>
      <c r="S150" s="308"/>
      <c r="T150" s="308"/>
      <c r="U150" s="308"/>
      <c r="V150" s="308"/>
      <c r="X150" s="270">
        <v>1100</v>
      </c>
      <c r="Y150" s="270">
        <v>1150</v>
      </c>
      <c r="Z150" s="270">
        <v>1150</v>
      </c>
      <c r="AA150" s="270">
        <v>1150</v>
      </c>
      <c r="AB150" s="270">
        <v>1200</v>
      </c>
      <c r="AC150" s="270">
        <v>1250</v>
      </c>
      <c r="AD150" s="270">
        <v>1300</v>
      </c>
      <c r="AE150" s="270">
        <v>1350</v>
      </c>
      <c r="AF150" s="270">
        <v>1400</v>
      </c>
      <c r="AG150" s="270">
        <v>1450</v>
      </c>
      <c r="AH150" s="270">
        <v>1450</v>
      </c>
      <c r="AI150" s="270">
        <v>1450</v>
      </c>
      <c r="AJ150" s="270">
        <v>1450</v>
      </c>
      <c r="AK150" s="270">
        <v>1450</v>
      </c>
      <c r="AL150" s="270">
        <v>1550</v>
      </c>
      <c r="AM150" s="270">
        <v>1550</v>
      </c>
      <c r="AN150" s="270">
        <v>1550</v>
      </c>
      <c r="AO150" s="270">
        <v>1550</v>
      </c>
      <c r="AP150" s="270">
        <v>1600</v>
      </c>
      <c r="AQ150" s="270">
        <v>1600</v>
      </c>
      <c r="AR150" s="270">
        <v>1650</v>
      </c>
      <c r="AS150" s="270">
        <v>1650</v>
      </c>
      <c r="AT150" s="270">
        <v>1650</v>
      </c>
      <c r="AU150" s="270">
        <v>1650</v>
      </c>
      <c r="AV150" s="270">
        <v>1650</v>
      </c>
      <c r="AW150" s="270">
        <v>1650</v>
      </c>
      <c r="AX150" s="270">
        <v>1650</v>
      </c>
      <c r="AY150" s="270">
        <v>1625</v>
      </c>
      <c r="AZ150" s="270">
        <v>1625</v>
      </c>
      <c r="BA150" s="270">
        <v>1625</v>
      </c>
      <c r="BB150" s="270">
        <v>1625</v>
      </c>
      <c r="BC150" s="270">
        <v>1625</v>
      </c>
      <c r="BD150" s="270">
        <v>1625</v>
      </c>
      <c r="BE150" s="270">
        <v>1650</v>
      </c>
      <c r="BF150" s="270">
        <v>1650</v>
      </c>
      <c r="BG150" s="270">
        <v>1680</v>
      </c>
      <c r="BH150" s="270">
        <v>1680</v>
      </c>
      <c r="BI150" s="270">
        <v>1690</v>
      </c>
      <c r="BJ150" s="270">
        <v>1690</v>
      </c>
      <c r="BK150" s="270">
        <v>1690</v>
      </c>
      <c r="BL150" s="270">
        <v>1690</v>
      </c>
      <c r="BM150" s="270">
        <v>1690</v>
      </c>
      <c r="BN150" s="270">
        <v>1690</v>
      </c>
      <c r="BO150" s="270">
        <v>1700</v>
      </c>
      <c r="BP150" s="270">
        <v>1700</v>
      </c>
      <c r="BQ150" s="270">
        <v>1700</v>
      </c>
      <c r="BR150" s="270">
        <v>1740</v>
      </c>
      <c r="BS150" s="458"/>
      <c r="BT150" s="274"/>
      <c r="BU150" s="274"/>
      <c r="BV150" s="274"/>
      <c r="BW150" s="274"/>
      <c r="BX150" s="274"/>
      <c r="BY150" s="274"/>
      <c r="BZ150" s="274"/>
      <c r="CA150" s="274"/>
      <c r="CB150" s="274"/>
      <c r="CC150" s="274"/>
      <c r="CD150" s="274"/>
      <c r="CE150" s="274"/>
      <c r="CF150" s="274"/>
      <c r="CG150" s="274"/>
      <c r="CH150" s="274"/>
      <c r="CI150" s="274"/>
      <c r="CJ150" s="308"/>
      <c r="CK150" s="308"/>
      <c r="CL150" s="308"/>
      <c r="CM150" s="308"/>
    </row>
    <row r="151" spans="1:91" s="5" customFormat="1">
      <c r="A151" s="1" t="s">
        <v>513</v>
      </c>
      <c r="B151" s="72">
        <f>AB151</f>
        <v>286</v>
      </c>
      <c r="C151" s="72">
        <f>AE151</f>
        <v>380</v>
      </c>
      <c r="D151" s="72">
        <f>AI151</f>
        <v>365</v>
      </c>
      <c r="E151" s="72">
        <f>AM151</f>
        <v>314</v>
      </c>
      <c r="F151" s="72">
        <f>AQ151</f>
        <v>278</v>
      </c>
      <c r="G151" s="72">
        <f>AU151</f>
        <v>218</v>
      </c>
      <c r="H151" s="72">
        <f>AY151</f>
        <v>136</v>
      </c>
      <c r="I151" s="72">
        <f>BC151</f>
        <v>97</v>
      </c>
      <c r="J151" s="72">
        <f>BG151</f>
        <v>100</v>
      </c>
      <c r="K151" s="72">
        <f>BK151</f>
        <v>68</v>
      </c>
      <c r="L151" s="270">
        <v>47</v>
      </c>
      <c r="M151" s="40"/>
      <c r="N151" s="308"/>
      <c r="O151" s="308"/>
      <c r="P151" s="308"/>
      <c r="Q151" s="308"/>
      <c r="R151" s="308"/>
      <c r="S151" s="308"/>
      <c r="T151" s="308"/>
      <c r="U151" s="308"/>
      <c r="V151" s="308"/>
      <c r="X151" s="270">
        <v>259</v>
      </c>
      <c r="Y151" s="270">
        <v>270</v>
      </c>
      <c r="Z151" s="270">
        <v>265</v>
      </c>
      <c r="AA151" s="270">
        <v>253</v>
      </c>
      <c r="AB151" s="270">
        <v>286</v>
      </c>
      <c r="AC151" s="270">
        <v>291</v>
      </c>
      <c r="AD151" s="270">
        <v>325</v>
      </c>
      <c r="AE151" s="270">
        <v>380</v>
      </c>
      <c r="AF151" s="270">
        <v>364</v>
      </c>
      <c r="AG151" s="270">
        <v>347</v>
      </c>
      <c r="AH151" s="270">
        <v>335</v>
      </c>
      <c r="AI151" s="270">
        <v>365</v>
      </c>
      <c r="AJ151" s="270">
        <v>352</v>
      </c>
      <c r="AK151" s="270">
        <v>339</v>
      </c>
      <c r="AL151" s="270">
        <v>328</v>
      </c>
      <c r="AM151" s="270">
        <v>314</v>
      </c>
      <c r="AN151" s="270">
        <v>360</v>
      </c>
      <c r="AO151" s="270">
        <v>339</v>
      </c>
      <c r="AP151" s="270">
        <v>566</v>
      </c>
      <c r="AQ151" s="270">
        <v>278</v>
      </c>
      <c r="AR151" s="270">
        <v>261</v>
      </c>
      <c r="AS151" s="270">
        <v>257</v>
      </c>
      <c r="AT151" s="270">
        <v>235</v>
      </c>
      <c r="AU151" s="270">
        <v>218</v>
      </c>
      <c r="AV151" s="270">
        <v>205</v>
      </c>
      <c r="AW151" s="270">
        <v>175</v>
      </c>
      <c r="AX151" s="270">
        <v>151</v>
      </c>
      <c r="AY151" s="270">
        <v>136</v>
      </c>
      <c r="AZ151" s="270">
        <v>124</v>
      </c>
      <c r="BA151" s="270">
        <v>107</v>
      </c>
      <c r="BB151" s="270">
        <v>101</v>
      </c>
      <c r="BC151" s="270">
        <v>97</v>
      </c>
      <c r="BD151" s="270">
        <v>90</v>
      </c>
      <c r="BE151" s="270">
        <v>96</v>
      </c>
      <c r="BF151" s="270">
        <v>87</v>
      </c>
      <c r="BG151" s="270">
        <v>100</v>
      </c>
      <c r="BH151" s="270">
        <v>92</v>
      </c>
      <c r="BI151" s="270">
        <v>82</v>
      </c>
      <c r="BJ151" s="270">
        <v>85</v>
      </c>
      <c r="BK151" s="270">
        <v>68</v>
      </c>
      <c r="BL151" s="270">
        <v>47</v>
      </c>
      <c r="BM151" s="270">
        <v>46</v>
      </c>
      <c r="BN151" s="270">
        <v>44</v>
      </c>
      <c r="BO151" s="270">
        <v>41</v>
      </c>
      <c r="BP151" s="270">
        <v>35</v>
      </c>
      <c r="BQ151" s="270">
        <v>40</v>
      </c>
      <c r="BR151" s="270">
        <v>57</v>
      </c>
      <c r="BS151" s="458"/>
      <c r="BT151" s="274"/>
      <c r="BU151" s="274"/>
      <c r="BV151" s="274"/>
      <c r="BW151" s="274"/>
      <c r="BX151" s="274"/>
      <c r="BY151" s="274"/>
      <c r="BZ151" s="274"/>
      <c r="CA151" s="274"/>
      <c r="CB151" s="274"/>
      <c r="CC151" s="274"/>
      <c r="CD151" s="274"/>
      <c r="CE151" s="274"/>
      <c r="CF151" s="274"/>
      <c r="CG151" s="274"/>
      <c r="CH151" s="274"/>
      <c r="CI151" s="274"/>
      <c r="CJ151" s="308"/>
      <c r="CK151" s="308"/>
      <c r="CL151" s="308"/>
      <c r="CM151" s="308"/>
    </row>
    <row r="152" spans="1:91" s="5" customFormat="1">
      <c r="A152" s="1" t="s">
        <v>514</v>
      </c>
      <c r="B152" s="72">
        <f>AB152</f>
        <v>1209</v>
      </c>
      <c r="C152" s="72">
        <f>AE152</f>
        <v>1363</v>
      </c>
      <c r="D152" s="72">
        <f>AI152</f>
        <v>1431</v>
      </c>
      <c r="E152" s="72">
        <f>AM152</f>
        <v>1478</v>
      </c>
      <c r="F152" s="72">
        <f>AQ152</f>
        <v>1541</v>
      </c>
      <c r="G152" s="72">
        <f>AU152</f>
        <v>1579</v>
      </c>
      <c r="H152" s="72">
        <f>AY152</f>
        <v>1596</v>
      </c>
      <c r="I152" s="72">
        <f>BC152</f>
        <v>1631</v>
      </c>
      <c r="J152" s="72">
        <f>BG152</f>
        <v>1682</v>
      </c>
      <c r="K152" s="72">
        <f>BK152</f>
        <v>1695</v>
      </c>
      <c r="L152" s="270">
        <v>1680</v>
      </c>
      <c r="M152" s="40"/>
      <c r="N152" s="308"/>
      <c r="O152" s="308"/>
      <c r="P152" s="308"/>
      <c r="Q152" s="308"/>
      <c r="R152" s="308"/>
      <c r="S152" s="308"/>
      <c r="T152" s="308"/>
      <c r="U152" s="308"/>
      <c r="V152" s="308"/>
      <c r="X152" s="270">
        <v>1114</v>
      </c>
      <c r="Y152" s="270">
        <v>1141</v>
      </c>
      <c r="Z152" s="270">
        <v>1157</v>
      </c>
      <c r="AA152" s="270">
        <v>1163</v>
      </c>
      <c r="AB152" s="270">
        <v>1209</v>
      </c>
      <c r="AC152" s="270">
        <v>1233</v>
      </c>
      <c r="AD152" s="270">
        <v>820</v>
      </c>
      <c r="AE152" s="270">
        <v>1363</v>
      </c>
      <c r="AF152" s="270">
        <v>1367</v>
      </c>
      <c r="AG152" s="270">
        <v>1372</v>
      </c>
      <c r="AH152" s="270">
        <v>1380</v>
      </c>
      <c r="AI152" s="270">
        <v>1431</v>
      </c>
      <c r="AJ152" s="270">
        <v>1442</v>
      </c>
      <c r="AK152" s="270">
        <v>1452</v>
      </c>
      <c r="AL152" s="270">
        <v>1467</v>
      </c>
      <c r="AM152" s="270">
        <v>1478</v>
      </c>
      <c r="AN152" s="270">
        <v>1548</v>
      </c>
      <c r="AO152" s="270">
        <v>1551</v>
      </c>
      <c r="AP152" s="270">
        <v>1805</v>
      </c>
      <c r="AQ152" s="270">
        <v>1541</v>
      </c>
      <c r="AR152" s="270">
        <v>1548</v>
      </c>
      <c r="AS152" s="270">
        <v>1570</v>
      </c>
      <c r="AT152" s="270">
        <v>1575</v>
      </c>
      <c r="AU152" s="270">
        <v>1579</v>
      </c>
      <c r="AV152" s="270">
        <v>1589</v>
      </c>
      <c r="AW152" s="270">
        <v>1587</v>
      </c>
      <c r="AX152" s="270">
        <v>1585</v>
      </c>
      <c r="AY152" s="270">
        <v>1596</v>
      </c>
      <c r="AZ152" s="270">
        <v>1605</v>
      </c>
      <c r="BA152" s="270">
        <v>1609</v>
      </c>
      <c r="BB152" s="270">
        <v>1619</v>
      </c>
      <c r="BC152" s="270">
        <v>1631</v>
      </c>
      <c r="BD152" s="270">
        <v>1636</v>
      </c>
      <c r="BE152" s="270">
        <v>1655</v>
      </c>
      <c r="BF152" s="270">
        <v>1658</v>
      </c>
      <c r="BG152" s="270">
        <v>1682</v>
      </c>
      <c r="BH152" s="270">
        <v>1684</v>
      </c>
      <c r="BI152" s="270">
        <v>1686</v>
      </c>
      <c r="BJ152" s="270">
        <v>1700</v>
      </c>
      <c r="BK152" s="270">
        <v>1695</v>
      </c>
      <c r="BL152" s="270">
        <v>1680</v>
      </c>
      <c r="BM152" s="270">
        <v>1683</v>
      </c>
      <c r="BN152" s="270">
        <v>1686</v>
      </c>
      <c r="BO152" s="270">
        <v>1694</v>
      </c>
      <c r="BP152" s="270">
        <v>1694</v>
      </c>
      <c r="BQ152" s="270">
        <v>1707</v>
      </c>
      <c r="BR152" s="270">
        <v>1730</v>
      </c>
      <c r="BS152" s="458"/>
      <c r="BT152" s="274"/>
      <c r="BU152" s="274"/>
      <c r="BV152" s="274"/>
      <c r="BW152" s="274"/>
      <c r="BX152" s="274"/>
      <c r="BY152" s="274"/>
      <c r="BZ152" s="274"/>
      <c r="CA152" s="274"/>
      <c r="CB152" s="274"/>
      <c r="CC152" s="274"/>
      <c r="CD152" s="274"/>
      <c r="CE152" s="274"/>
      <c r="CF152" s="274"/>
      <c r="CG152" s="274"/>
      <c r="CH152" s="274"/>
      <c r="CI152" s="274"/>
      <c r="CJ152" s="308"/>
      <c r="CK152" s="308"/>
      <c r="CL152" s="308"/>
      <c r="CM152" s="308"/>
    </row>
    <row r="153" spans="1:91" s="5" customFormat="1">
      <c r="A153" s="12"/>
      <c r="B153" s="308"/>
      <c r="C153" s="308"/>
      <c r="D153" s="308"/>
      <c r="E153" s="308"/>
      <c r="F153" s="308"/>
      <c r="G153" s="308"/>
      <c r="H153" s="308"/>
      <c r="I153" s="40"/>
      <c r="J153" s="40"/>
      <c r="K153" s="40"/>
      <c r="L153" s="40"/>
      <c r="M153" s="40"/>
      <c r="N153" s="308"/>
      <c r="O153" s="308"/>
      <c r="P153" s="308"/>
      <c r="Q153" s="308"/>
      <c r="R153" s="308"/>
      <c r="S153" s="308"/>
      <c r="T153" s="308"/>
      <c r="U153" s="308"/>
      <c r="V153" s="308"/>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c r="BC153" s="40"/>
      <c r="BD153" s="40"/>
      <c r="BE153" s="40"/>
      <c r="BF153" s="40"/>
      <c r="BG153" s="40"/>
      <c r="BH153" s="40"/>
      <c r="BI153" s="40"/>
      <c r="BJ153" s="40"/>
      <c r="BK153" s="40"/>
      <c r="BL153" s="40"/>
      <c r="BM153" s="40"/>
      <c r="BN153" s="40"/>
      <c r="BO153" s="40"/>
      <c r="BP153" s="40"/>
      <c r="BQ153" s="40"/>
      <c r="BR153" s="40"/>
      <c r="BS153" s="460"/>
      <c r="BT153" s="318"/>
      <c r="BU153" s="318"/>
      <c r="BV153" s="318"/>
      <c r="BW153" s="318"/>
      <c r="BX153" s="318"/>
      <c r="BY153" s="318"/>
      <c r="BZ153" s="318"/>
      <c r="CA153" s="318"/>
      <c r="CB153" s="318"/>
      <c r="CC153" s="318"/>
      <c r="CD153" s="318"/>
      <c r="CE153" s="318"/>
      <c r="CF153" s="318"/>
      <c r="CG153" s="318"/>
      <c r="CH153" s="318"/>
      <c r="CI153" s="318"/>
      <c r="CJ153" s="308"/>
      <c r="CK153" s="308"/>
      <c r="CL153" s="308"/>
      <c r="CM153" s="308"/>
    </row>
    <row r="154" spans="1:91" s="5" customFormat="1">
      <c r="A154" s="14" t="s">
        <v>425</v>
      </c>
      <c r="B154" s="308"/>
      <c r="C154" s="308"/>
      <c r="D154" s="308"/>
      <c r="E154" s="308"/>
      <c r="F154" s="308"/>
      <c r="G154" s="308"/>
      <c r="H154" s="308"/>
      <c r="I154" s="40"/>
      <c r="J154" s="40"/>
      <c r="K154" s="40"/>
      <c r="L154" s="40"/>
      <c r="M154" s="40"/>
      <c r="N154" s="308"/>
      <c r="O154" s="308"/>
      <c r="P154" s="308"/>
      <c r="Q154" s="308"/>
      <c r="R154" s="308"/>
      <c r="S154" s="308"/>
      <c r="T154" s="308"/>
      <c r="U154" s="308"/>
      <c r="V154" s="308"/>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c r="BC154" s="40"/>
      <c r="BD154" s="40"/>
      <c r="BE154" s="40"/>
      <c r="BF154" s="40"/>
      <c r="BG154" s="40"/>
      <c r="BH154" s="40"/>
      <c r="BI154" s="40"/>
      <c r="BJ154" s="40"/>
      <c r="BK154" s="40"/>
      <c r="BL154" s="40"/>
      <c r="BM154" s="40"/>
      <c r="BN154" s="40"/>
      <c r="BO154" s="40"/>
      <c r="BP154" s="40"/>
      <c r="BQ154" s="40"/>
      <c r="BR154" s="40"/>
      <c r="BS154" s="460"/>
      <c r="BT154" s="318"/>
      <c r="BU154" s="318"/>
      <c r="BV154" s="318"/>
      <c r="BW154" s="318"/>
      <c r="BX154" s="318"/>
      <c r="BY154" s="318"/>
      <c r="BZ154" s="318"/>
      <c r="CA154" s="318"/>
      <c r="CB154" s="318"/>
      <c r="CC154" s="318"/>
      <c r="CD154" s="318"/>
      <c r="CE154" s="318"/>
      <c r="CF154" s="318"/>
      <c r="CG154" s="318"/>
      <c r="CH154" s="318"/>
      <c r="CI154" s="318"/>
      <c r="CJ154" s="308"/>
      <c r="CK154" s="308"/>
      <c r="CL154" s="308"/>
      <c r="CM154" s="308"/>
    </row>
    <row r="155" spans="1:91" s="5" customFormat="1">
      <c r="A155" s="1" t="s">
        <v>512</v>
      </c>
      <c r="B155" s="72">
        <f>AB155</f>
        <v>0</v>
      </c>
      <c r="C155" s="72">
        <f>AE155</f>
        <v>0</v>
      </c>
      <c r="D155" s="72">
        <f>AI155</f>
        <v>0</v>
      </c>
      <c r="E155" s="72">
        <f>AM155</f>
        <v>0</v>
      </c>
      <c r="F155" s="72">
        <f>AQ155</f>
        <v>0</v>
      </c>
      <c r="G155" s="72">
        <f>AU155</f>
        <v>0</v>
      </c>
      <c r="H155" s="72">
        <f>AY155</f>
        <v>0</v>
      </c>
      <c r="I155" s="72">
        <f>BC155</f>
        <v>0</v>
      </c>
      <c r="J155" s="72">
        <f>BG155</f>
        <v>0</v>
      </c>
      <c r="K155" s="72">
        <f>BK155</f>
        <v>0</v>
      </c>
      <c r="L155" s="270">
        <v>0</v>
      </c>
      <c r="M155" s="40"/>
      <c r="N155" s="308"/>
      <c r="O155" s="308"/>
      <c r="P155" s="308"/>
      <c r="Q155" s="308"/>
      <c r="R155" s="308"/>
      <c r="S155" s="308"/>
      <c r="T155" s="308"/>
      <c r="U155" s="308"/>
      <c r="V155" s="308"/>
      <c r="X155" s="270">
        <v>0</v>
      </c>
      <c r="Y155" s="270">
        <v>0</v>
      </c>
      <c r="Z155" s="270">
        <v>0</v>
      </c>
      <c r="AA155" s="270">
        <v>0</v>
      </c>
      <c r="AB155" s="270">
        <v>0</v>
      </c>
      <c r="AC155" s="270">
        <v>0</v>
      </c>
      <c r="AD155" s="270">
        <v>0</v>
      </c>
      <c r="AE155" s="270">
        <v>0</v>
      </c>
      <c r="AF155" s="270">
        <v>0</v>
      </c>
      <c r="AG155" s="270">
        <v>0</v>
      </c>
      <c r="AH155" s="270">
        <v>0</v>
      </c>
      <c r="AI155" s="270">
        <v>0</v>
      </c>
      <c r="AJ155" s="270">
        <v>0</v>
      </c>
      <c r="AK155" s="270">
        <v>0</v>
      </c>
      <c r="AL155" s="270">
        <v>0</v>
      </c>
      <c r="AM155" s="270">
        <v>0</v>
      </c>
      <c r="AN155" s="270">
        <v>0</v>
      </c>
      <c r="AO155" s="270">
        <v>0</v>
      </c>
      <c r="AP155" s="270">
        <v>0</v>
      </c>
      <c r="AQ155" s="270">
        <v>0</v>
      </c>
      <c r="AR155" s="270">
        <v>0</v>
      </c>
      <c r="AS155" s="270">
        <v>0</v>
      </c>
      <c r="AT155" s="270">
        <v>0</v>
      </c>
      <c r="AU155" s="270">
        <v>0</v>
      </c>
      <c r="AV155" s="270">
        <v>0</v>
      </c>
      <c r="AW155" s="270">
        <v>0</v>
      </c>
      <c r="AX155" s="270">
        <v>0</v>
      </c>
      <c r="AY155" s="270">
        <v>0</v>
      </c>
      <c r="AZ155" s="270">
        <v>0</v>
      </c>
      <c r="BA155" s="270">
        <v>0</v>
      </c>
      <c r="BB155" s="270">
        <v>0</v>
      </c>
      <c r="BC155" s="270">
        <v>0</v>
      </c>
      <c r="BD155" s="270">
        <v>0</v>
      </c>
      <c r="BE155" s="270">
        <v>0</v>
      </c>
      <c r="BF155" s="270">
        <v>0</v>
      </c>
      <c r="BG155" s="270">
        <v>0</v>
      </c>
      <c r="BH155" s="270">
        <v>0</v>
      </c>
      <c r="BI155" s="270">
        <v>0</v>
      </c>
      <c r="BJ155" s="270">
        <v>0</v>
      </c>
      <c r="BK155" s="270">
        <v>0</v>
      </c>
      <c r="BL155" s="270">
        <v>0</v>
      </c>
      <c r="BM155" s="270">
        <v>0</v>
      </c>
      <c r="BN155" s="270">
        <v>0</v>
      </c>
      <c r="BO155" s="270">
        <v>350</v>
      </c>
      <c r="BP155" s="270">
        <v>350</v>
      </c>
      <c r="BQ155" s="270">
        <v>350</v>
      </c>
      <c r="BR155" s="270">
        <v>350</v>
      </c>
      <c r="BS155" s="458"/>
      <c r="BT155" s="274"/>
      <c r="BU155" s="274"/>
      <c r="BV155" s="274"/>
      <c r="BW155" s="274"/>
      <c r="BX155" s="274"/>
      <c r="BY155" s="274"/>
      <c r="BZ155" s="274"/>
      <c r="CA155" s="274"/>
      <c r="CB155" s="274"/>
      <c r="CC155" s="274"/>
      <c r="CD155" s="274"/>
      <c r="CE155" s="274"/>
      <c r="CF155" s="274"/>
      <c r="CG155" s="274"/>
      <c r="CH155" s="274"/>
      <c r="CI155" s="274"/>
      <c r="CJ155" s="308"/>
      <c r="CK155" s="308"/>
      <c r="CL155" s="308"/>
      <c r="CM155" s="308"/>
    </row>
    <row r="156" spans="1:91" s="5" customFormat="1">
      <c r="A156" s="1" t="s">
        <v>513</v>
      </c>
      <c r="B156" s="72">
        <f>AB156</f>
        <v>0</v>
      </c>
      <c r="C156" s="72">
        <f>AE156</f>
        <v>0</v>
      </c>
      <c r="D156" s="72">
        <f>AI156</f>
        <v>0</v>
      </c>
      <c r="E156" s="72">
        <f>AM156</f>
        <v>0</v>
      </c>
      <c r="F156" s="72">
        <f>AQ156</f>
        <v>0</v>
      </c>
      <c r="G156" s="72">
        <f>AU156</f>
        <v>306</v>
      </c>
      <c r="H156" s="72">
        <f>AY156</f>
        <v>306</v>
      </c>
      <c r="I156" s="72">
        <f>BC156</f>
        <v>326</v>
      </c>
      <c r="J156" s="72">
        <f>BG156</f>
        <v>326</v>
      </c>
      <c r="K156" s="72">
        <f>BK156</f>
        <v>309</v>
      </c>
      <c r="L156" s="270">
        <v>309</v>
      </c>
      <c r="M156" s="40"/>
      <c r="N156" s="308"/>
      <c r="O156" s="308"/>
      <c r="P156" s="308"/>
      <c r="Q156" s="308"/>
      <c r="R156" s="308"/>
      <c r="S156" s="308"/>
      <c r="T156" s="308"/>
      <c r="U156" s="308"/>
      <c r="V156" s="308"/>
      <c r="X156" s="270">
        <v>0</v>
      </c>
      <c r="Y156" s="270">
        <v>0</v>
      </c>
      <c r="Z156" s="270">
        <v>0</v>
      </c>
      <c r="AA156" s="270">
        <v>0</v>
      </c>
      <c r="AB156" s="270">
        <v>0</v>
      </c>
      <c r="AC156" s="270">
        <v>0</v>
      </c>
      <c r="AD156" s="270">
        <v>0</v>
      </c>
      <c r="AE156" s="270">
        <v>0</v>
      </c>
      <c r="AF156" s="270">
        <v>0</v>
      </c>
      <c r="AG156" s="270">
        <v>0</v>
      </c>
      <c r="AH156" s="270">
        <v>0</v>
      </c>
      <c r="AI156" s="270">
        <v>0</v>
      </c>
      <c r="AJ156" s="270">
        <v>0</v>
      </c>
      <c r="AK156" s="270">
        <v>0</v>
      </c>
      <c r="AL156" s="270">
        <v>0</v>
      </c>
      <c r="AM156" s="270">
        <v>0</v>
      </c>
      <c r="AN156" s="270">
        <v>0</v>
      </c>
      <c r="AO156" s="270">
        <v>0</v>
      </c>
      <c r="AP156" s="270">
        <v>0</v>
      </c>
      <c r="AQ156" s="270">
        <v>0</v>
      </c>
      <c r="AR156" s="270">
        <v>286</v>
      </c>
      <c r="AS156" s="270">
        <v>306</v>
      </c>
      <c r="AT156" s="270">
        <v>306</v>
      </c>
      <c r="AU156" s="270">
        <v>306</v>
      </c>
      <c r="AV156" s="270">
        <v>306</v>
      </c>
      <c r="AW156" s="270">
        <v>306</v>
      </c>
      <c r="AX156" s="270">
        <v>306</v>
      </c>
      <c r="AY156" s="270">
        <v>306</v>
      </c>
      <c r="AZ156" s="270">
        <v>306</v>
      </c>
      <c r="BA156" s="270">
        <v>326</v>
      </c>
      <c r="BB156" s="270">
        <v>326</v>
      </c>
      <c r="BC156" s="270">
        <v>326</v>
      </c>
      <c r="BD156" s="270">
        <v>326</v>
      </c>
      <c r="BE156" s="270">
        <v>326</v>
      </c>
      <c r="BF156" s="270">
        <v>326</v>
      </c>
      <c r="BG156" s="270">
        <v>326</v>
      </c>
      <c r="BH156" s="270">
        <v>344</v>
      </c>
      <c r="BI156" s="270">
        <v>344</v>
      </c>
      <c r="BJ156" s="270">
        <v>344</v>
      </c>
      <c r="BK156" s="270">
        <v>309</v>
      </c>
      <c r="BL156" s="270">
        <v>309</v>
      </c>
      <c r="BM156" s="270">
        <v>309</v>
      </c>
      <c r="BN156" s="270">
        <v>309</v>
      </c>
      <c r="BO156" s="270">
        <v>191</v>
      </c>
      <c r="BP156" s="270">
        <v>228</v>
      </c>
      <c r="BQ156" s="270">
        <v>246</v>
      </c>
      <c r="BR156" s="270">
        <v>253</v>
      </c>
      <c r="BS156" s="458"/>
      <c r="BT156" s="274"/>
      <c r="BU156" s="274"/>
      <c r="BV156" s="274"/>
      <c r="BW156" s="274"/>
      <c r="BX156" s="274"/>
      <c r="BY156" s="274"/>
      <c r="BZ156" s="274"/>
      <c r="CA156" s="274"/>
      <c r="CB156" s="274"/>
      <c r="CC156" s="274"/>
      <c r="CD156" s="274"/>
      <c r="CE156" s="274"/>
      <c r="CF156" s="274"/>
      <c r="CG156" s="274"/>
      <c r="CH156" s="274"/>
      <c r="CI156" s="274"/>
      <c r="CJ156" s="308"/>
      <c r="CK156" s="308"/>
      <c r="CL156" s="308"/>
      <c r="CM156" s="308"/>
    </row>
    <row r="157" spans="1:91" s="5" customFormat="1">
      <c r="A157" s="1" t="s">
        <v>514</v>
      </c>
      <c r="B157" s="72">
        <f>AB157</f>
        <v>0</v>
      </c>
      <c r="C157" s="72">
        <f>AE157</f>
        <v>0</v>
      </c>
      <c r="D157" s="72">
        <f>AI157</f>
        <v>0</v>
      </c>
      <c r="E157" s="72">
        <f>AM157</f>
        <v>0</v>
      </c>
      <c r="F157" s="72">
        <f>AQ157</f>
        <v>0</v>
      </c>
      <c r="G157" s="72">
        <f>AU157</f>
        <v>306</v>
      </c>
      <c r="H157" s="72">
        <f>AY157</f>
        <v>306</v>
      </c>
      <c r="I157" s="72">
        <f>BC157</f>
        <v>326</v>
      </c>
      <c r="J157" s="72">
        <f>BG157</f>
        <v>326</v>
      </c>
      <c r="K157" s="72">
        <f>BK157</f>
        <v>309</v>
      </c>
      <c r="L157" s="270">
        <v>309</v>
      </c>
      <c r="M157" s="40"/>
      <c r="N157" s="308"/>
      <c r="O157" s="308"/>
      <c r="P157" s="308"/>
      <c r="Q157" s="308"/>
      <c r="R157" s="308"/>
      <c r="S157" s="308"/>
      <c r="T157" s="308"/>
      <c r="U157" s="308"/>
      <c r="V157" s="308"/>
      <c r="X157" s="270">
        <v>0</v>
      </c>
      <c r="Y157" s="270">
        <v>0</v>
      </c>
      <c r="Z157" s="270">
        <v>0</v>
      </c>
      <c r="AA157" s="270">
        <v>0</v>
      </c>
      <c r="AB157" s="270">
        <v>0</v>
      </c>
      <c r="AC157" s="270">
        <v>0</v>
      </c>
      <c r="AD157" s="270">
        <v>0</v>
      </c>
      <c r="AE157" s="270">
        <v>0</v>
      </c>
      <c r="AF157" s="270">
        <v>0</v>
      </c>
      <c r="AG157" s="270">
        <v>0</v>
      </c>
      <c r="AH157" s="270">
        <v>0</v>
      </c>
      <c r="AI157" s="270">
        <v>0</v>
      </c>
      <c r="AJ157" s="270">
        <v>0</v>
      </c>
      <c r="AK157" s="270">
        <v>0</v>
      </c>
      <c r="AL157" s="270">
        <v>0</v>
      </c>
      <c r="AM157" s="270">
        <v>0</v>
      </c>
      <c r="AN157" s="270">
        <v>0</v>
      </c>
      <c r="AO157" s="270">
        <v>0</v>
      </c>
      <c r="AP157" s="270">
        <v>0</v>
      </c>
      <c r="AQ157" s="270">
        <v>0</v>
      </c>
      <c r="AR157" s="270">
        <v>286</v>
      </c>
      <c r="AS157" s="270">
        <v>306</v>
      </c>
      <c r="AT157" s="270">
        <v>306</v>
      </c>
      <c r="AU157" s="270">
        <v>306</v>
      </c>
      <c r="AV157" s="270">
        <v>306</v>
      </c>
      <c r="AW157" s="270">
        <v>306</v>
      </c>
      <c r="AX157" s="270">
        <v>306</v>
      </c>
      <c r="AY157" s="270">
        <v>306</v>
      </c>
      <c r="AZ157" s="270">
        <v>306</v>
      </c>
      <c r="BA157" s="270">
        <v>326</v>
      </c>
      <c r="BB157" s="270">
        <v>326</v>
      </c>
      <c r="BC157" s="270">
        <v>326</v>
      </c>
      <c r="BD157" s="270">
        <v>326</v>
      </c>
      <c r="BE157" s="270">
        <v>326</v>
      </c>
      <c r="BF157" s="270">
        <v>326</v>
      </c>
      <c r="BG157" s="270">
        <v>326</v>
      </c>
      <c r="BH157" s="270">
        <v>344</v>
      </c>
      <c r="BI157" s="270">
        <v>344</v>
      </c>
      <c r="BJ157" s="270">
        <v>344</v>
      </c>
      <c r="BK157" s="270">
        <v>309</v>
      </c>
      <c r="BL157" s="270">
        <v>309</v>
      </c>
      <c r="BM157" s="270">
        <v>309</v>
      </c>
      <c r="BN157" s="270">
        <v>309</v>
      </c>
      <c r="BO157" s="270">
        <v>191</v>
      </c>
      <c r="BP157" s="270">
        <v>228</v>
      </c>
      <c r="BQ157" s="270">
        <v>246</v>
      </c>
      <c r="BR157" s="270">
        <v>253</v>
      </c>
      <c r="BS157" s="458"/>
      <c r="BT157" s="274"/>
      <c r="BU157" s="274"/>
      <c r="BV157" s="274"/>
      <c r="BW157" s="274"/>
      <c r="BX157" s="274"/>
      <c r="BY157" s="274"/>
      <c r="BZ157" s="274"/>
      <c r="CA157" s="274"/>
      <c r="CB157" s="274"/>
      <c r="CC157" s="274"/>
      <c r="CD157" s="274"/>
      <c r="CE157" s="274"/>
      <c r="CF157" s="274"/>
      <c r="CG157" s="274"/>
      <c r="CH157" s="274"/>
      <c r="CI157" s="274"/>
      <c r="CJ157" s="308"/>
      <c r="CK157" s="308"/>
      <c r="CL157" s="308"/>
      <c r="CM157" s="308"/>
    </row>
    <row r="158" spans="1:91" s="5" customFormat="1">
      <c r="A158" s="12"/>
      <c r="B158" s="308"/>
      <c r="C158" s="308"/>
      <c r="D158" s="308"/>
      <c r="E158" s="308"/>
      <c r="F158" s="308"/>
      <c r="G158" s="308"/>
      <c r="H158" s="308"/>
      <c r="I158" s="40"/>
      <c r="J158" s="40"/>
      <c r="K158" s="40"/>
      <c r="L158" s="40"/>
      <c r="M158" s="40"/>
      <c r="N158" s="308"/>
      <c r="O158" s="308"/>
      <c r="P158" s="308"/>
      <c r="Q158" s="308"/>
      <c r="R158" s="308"/>
      <c r="S158" s="308"/>
      <c r="T158" s="308"/>
      <c r="U158" s="308"/>
      <c r="V158" s="308"/>
      <c r="X158" s="314"/>
      <c r="Y158" s="314"/>
      <c r="Z158" s="314"/>
      <c r="AA158" s="314"/>
      <c r="AB158" s="314"/>
      <c r="AC158" s="314"/>
      <c r="AD158" s="314"/>
      <c r="AE158" s="314"/>
      <c r="AF158" s="314"/>
      <c r="AG158" s="314"/>
      <c r="AH158" s="314"/>
      <c r="AI158" s="314"/>
      <c r="AJ158" s="314"/>
      <c r="AK158" s="314"/>
      <c r="AL158" s="314"/>
      <c r="AM158" s="314"/>
      <c r="AN158" s="314"/>
      <c r="AO158" s="314"/>
      <c r="AP158" s="314"/>
      <c r="AQ158" s="314"/>
      <c r="AR158" s="314"/>
      <c r="AS158" s="314"/>
      <c r="AT158" s="314"/>
      <c r="AU158" s="314"/>
      <c r="AV158" s="314"/>
      <c r="AW158" s="314"/>
      <c r="AX158" s="314"/>
      <c r="AY158" s="314"/>
      <c r="AZ158" s="314"/>
      <c r="BA158" s="314"/>
      <c r="BB158" s="314"/>
      <c r="BC158" s="314"/>
      <c r="BD158" s="314"/>
      <c r="BE158" s="314"/>
      <c r="BF158" s="314"/>
      <c r="BG158" s="314"/>
      <c r="BH158" s="314"/>
      <c r="BI158" s="314"/>
      <c r="BJ158" s="314"/>
      <c r="BK158" s="314"/>
      <c r="BL158" s="314"/>
      <c r="BM158" s="314"/>
      <c r="BN158" s="314"/>
      <c r="BO158" s="314"/>
      <c r="BP158" s="314"/>
      <c r="BQ158" s="314"/>
      <c r="BR158" s="314"/>
      <c r="BS158" s="314"/>
      <c r="BT158" s="314"/>
      <c r="BU158" s="314"/>
      <c r="BV158" s="314"/>
      <c r="BW158" s="314"/>
      <c r="BX158" s="314"/>
      <c r="BY158" s="314"/>
      <c r="BZ158" s="314"/>
      <c r="CA158" s="314"/>
      <c r="CB158" s="314"/>
      <c r="CC158" s="314"/>
      <c r="CD158" s="314"/>
      <c r="CE158" s="314"/>
      <c r="CF158" s="314"/>
      <c r="CG158" s="314"/>
      <c r="CH158" s="314"/>
      <c r="CI158" s="314"/>
      <c r="CJ158" s="308"/>
      <c r="CK158" s="308"/>
      <c r="CL158" s="308"/>
      <c r="CM158" s="308"/>
    </row>
    <row r="159" spans="1:91" s="5" customFormat="1">
      <c r="A159" s="16" t="s">
        <v>520</v>
      </c>
      <c r="B159" s="60"/>
      <c r="C159" s="60"/>
      <c r="D159" s="60"/>
      <c r="E159" s="60"/>
      <c r="F159" s="60"/>
      <c r="G159" s="60"/>
      <c r="H159" s="60"/>
      <c r="I159" s="60"/>
      <c r="J159" s="60"/>
      <c r="K159" s="60"/>
      <c r="L159" s="60"/>
      <c r="M159" s="60"/>
      <c r="N159" s="60"/>
      <c r="O159" s="60"/>
      <c r="P159" s="60"/>
      <c r="Q159" s="60"/>
      <c r="R159" s="60"/>
      <c r="S159" s="60"/>
      <c r="T159" s="60"/>
      <c r="U159" s="60"/>
      <c r="V159" s="60"/>
      <c r="W159"/>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317"/>
      <c r="AV159" s="60"/>
      <c r="AW159" s="60"/>
      <c r="AX159" s="60"/>
      <c r="AY159" s="317"/>
      <c r="AZ159" s="60"/>
      <c r="BA159" s="60"/>
      <c r="BB159" s="60"/>
      <c r="BC159" s="317"/>
      <c r="BD159" s="60"/>
      <c r="BE159" s="60"/>
      <c r="BF159" s="60"/>
      <c r="BG159" s="317"/>
      <c r="BH159" s="60"/>
      <c r="BI159" s="60"/>
      <c r="BJ159" s="60"/>
      <c r="BK159" s="317"/>
      <c r="BL159" s="60"/>
      <c r="BM159" s="60"/>
      <c r="BN159" s="60"/>
      <c r="BO159" s="317"/>
      <c r="BP159" s="60"/>
      <c r="BQ159" s="60"/>
      <c r="BR159" s="60"/>
      <c r="BS159" s="317"/>
      <c r="BT159" s="317"/>
      <c r="BU159" s="317"/>
      <c r="BV159" s="317"/>
      <c r="BW159" s="317"/>
      <c r="BX159" s="317"/>
      <c r="BY159" s="317"/>
      <c r="BZ159" s="317"/>
      <c r="CA159" s="317"/>
      <c r="CB159" s="317"/>
      <c r="CC159" s="317"/>
      <c r="CD159" s="317"/>
      <c r="CE159" s="317"/>
      <c r="CF159" s="317"/>
      <c r="CG159" s="317"/>
      <c r="CH159" s="317"/>
      <c r="CI159" s="317"/>
      <c r="CJ159" s="60"/>
      <c r="CK159" s="60"/>
      <c r="CL159" s="60"/>
      <c r="CM159" s="60"/>
    </row>
    <row r="160" spans="1:91" s="5" customFormat="1">
      <c r="A160" s="12"/>
      <c r="B160" s="308"/>
      <c r="C160" s="308"/>
      <c r="D160" s="308"/>
      <c r="E160" s="308"/>
      <c r="F160" s="308"/>
      <c r="G160" s="308"/>
      <c r="H160" s="308"/>
      <c r="I160" s="40"/>
      <c r="J160" s="40"/>
      <c r="K160" s="40"/>
      <c r="L160" s="40"/>
      <c r="M160" s="40"/>
      <c r="N160" s="308"/>
      <c r="O160" s="308"/>
      <c r="P160" s="308"/>
      <c r="Q160" s="308"/>
      <c r="R160" s="308"/>
      <c r="S160" s="308"/>
      <c r="T160" s="308"/>
      <c r="U160" s="308"/>
      <c r="V160" s="308"/>
      <c r="X160" s="308"/>
      <c r="Y160" s="308"/>
      <c r="Z160" s="308"/>
      <c r="AA160" s="308"/>
      <c r="AB160" s="308"/>
      <c r="AC160" s="308"/>
      <c r="AD160" s="308"/>
      <c r="AE160" s="308"/>
      <c r="AF160" s="308"/>
      <c r="AG160" s="308"/>
      <c r="AH160" s="308"/>
      <c r="AI160" s="308"/>
      <c r="AJ160" s="308"/>
      <c r="AK160" s="308"/>
      <c r="AL160" s="308"/>
      <c r="AM160" s="308"/>
      <c r="AN160" s="308"/>
      <c r="AO160" s="308"/>
      <c r="AP160" s="308"/>
      <c r="AQ160" s="308"/>
      <c r="AR160" s="308"/>
      <c r="AS160" s="308"/>
      <c r="AT160" s="308"/>
      <c r="AU160" s="318"/>
      <c r="AV160" s="308"/>
      <c r="AW160" s="308"/>
      <c r="AX160" s="308"/>
      <c r="AY160" s="318"/>
      <c r="AZ160" s="40"/>
      <c r="BA160" s="108"/>
      <c r="BB160" s="40"/>
      <c r="BC160" s="108"/>
      <c r="BD160" s="40"/>
      <c r="BE160" s="40"/>
      <c r="BF160" s="40"/>
      <c r="BG160" s="108"/>
      <c r="BH160" s="40"/>
      <c r="BI160" s="40"/>
      <c r="BJ160" s="40"/>
      <c r="BK160" s="108"/>
      <c r="BL160" s="40"/>
      <c r="BM160" s="308"/>
      <c r="BN160" s="308"/>
      <c r="BO160" s="318"/>
      <c r="BP160" s="314"/>
      <c r="BQ160" s="308"/>
      <c r="BR160" s="308"/>
      <c r="BS160" s="318"/>
      <c r="BT160" s="318"/>
      <c r="BU160" s="318"/>
      <c r="BV160" s="318"/>
      <c r="BW160" s="318"/>
      <c r="BX160" s="318"/>
      <c r="BY160" s="318"/>
      <c r="BZ160" s="318"/>
      <c r="CA160" s="318"/>
      <c r="CB160" s="318"/>
      <c r="CC160" s="318"/>
      <c r="CD160" s="318"/>
      <c r="CE160" s="318"/>
      <c r="CF160" s="318"/>
      <c r="CG160" s="318"/>
      <c r="CH160" s="318"/>
      <c r="CI160" s="318"/>
      <c r="CJ160" s="308"/>
      <c r="CK160" s="308"/>
      <c r="CL160" s="308"/>
      <c r="CM160" s="308"/>
    </row>
    <row r="161" spans="1:91" s="256" customFormat="1">
      <c r="A161" s="282" t="s">
        <v>134</v>
      </c>
      <c r="B161" s="38">
        <f>Income_Statement_Annual!L10</f>
        <v>64306</v>
      </c>
      <c r="C161" s="38">
        <f>Income_Statement_Annual!M10</f>
        <v>68735</v>
      </c>
      <c r="D161" s="38">
        <f>Income_Statement_Annual!N10</f>
        <v>81698</v>
      </c>
      <c r="E161" s="38">
        <f>Income_Statement_Annual!O10</f>
        <v>86623</v>
      </c>
      <c r="F161" s="38">
        <f>Income_Statement_Annual!P10</f>
        <v>90762</v>
      </c>
      <c r="G161" s="38">
        <f>Income_Statement_Annual!Q10</f>
        <v>96114</v>
      </c>
      <c r="H161" s="38">
        <f>Income_Statement_Annual!R10</f>
        <v>94571</v>
      </c>
      <c r="I161" s="38">
        <f>Income_Statement_Annual!S10</f>
        <v>94005</v>
      </c>
      <c r="J161" s="38">
        <f>Income_Statement_Annual!T10</f>
        <v>101127</v>
      </c>
      <c r="K161" s="38">
        <f>Income_Statement_Annual!U10</f>
        <v>76559</v>
      </c>
      <c r="L161" s="38">
        <f>Income_Statement_Annual!V10</f>
        <v>58158</v>
      </c>
      <c r="M161" s="38">
        <f>Income_Statement_Annual!W10</f>
        <v>62286</v>
      </c>
      <c r="N161" s="38">
        <f>Income_Statement_Annual!X10</f>
        <v>66608</v>
      </c>
      <c r="O161" s="38">
        <f>Income_Statement_Annual!Y10</f>
        <v>77794</v>
      </c>
      <c r="P161" s="38">
        <f>Income_Statement_Annual!Z10</f>
        <v>66517</v>
      </c>
      <c r="Q161" s="38">
        <f>Income_Statement_Annual!AA10</f>
        <v>89463</v>
      </c>
      <c r="R161" s="38">
        <f>Income_Statement_Annual!AB10</f>
        <v>99714.978128554954</v>
      </c>
      <c r="S161" s="38">
        <f>Income_Statement_Annual!AC10</f>
        <v>108378.46219239991</v>
      </c>
      <c r="T161" s="38">
        <f>Income_Statement_Annual!AD10</f>
        <v>113112.28062770152</v>
      </c>
      <c r="U161" s="38">
        <f>Income_Statement_Annual!AE10</f>
        <v>117045.28403113908</v>
      </c>
      <c r="V161" s="38">
        <f>Income_Statement_Annual!AF10</f>
        <v>120345.19583817173</v>
      </c>
      <c r="X161" s="72"/>
      <c r="Y161" s="72"/>
      <c r="Z161" s="72"/>
      <c r="AA161" s="72"/>
      <c r="AB161" s="72"/>
      <c r="AC161" s="72"/>
      <c r="AD161" s="72"/>
      <c r="AE161" s="72"/>
      <c r="AF161" s="72"/>
      <c r="AG161" s="72"/>
      <c r="AH161" s="72"/>
      <c r="AI161" s="72"/>
      <c r="AJ161" s="72"/>
      <c r="AK161" s="72"/>
      <c r="AL161" s="72"/>
      <c r="AM161" s="72"/>
      <c r="AN161" s="72"/>
      <c r="AO161" s="72"/>
      <c r="AP161" s="72"/>
      <c r="AQ161" s="72"/>
      <c r="AR161" s="72"/>
      <c r="AS161" s="72"/>
      <c r="AT161" s="72"/>
      <c r="AU161" s="72"/>
      <c r="AV161" s="72"/>
      <c r="AW161" s="72"/>
      <c r="AX161" s="72"/>
      <c r="AY161" s="72"/>
      <c r="AZ161" s="72"/>
      <c r="BA161" s="72"/>
      <c r="BB161" s="72"/>
      <c r="BC161" s="72"/>
      <c r="BD161" s="72"/>
      <c r="BE161" s="72"/>
      <c r="BF161" s="72"/>
      <c r="BG161" s="72"/>
      <c r="BH161" s="72"/>
      <c r="BI161" s="72"/>
      <c r="BJ161" s="72"/>
      <c r="BK161" s="72"/>
      <c r="BL161" s="72"/>
      <c r="BM161" s="72"/>
      <c r="BN161" s="72"/>
      <c r="BO161" s="72"/>
      <c r="BP161" s="72"/>
      <c r="BQ161" s="72"/>
      <c r="BR161" s="72"/>
      <c r="BS161" s="72"/>
      <c r="BT161" s="72"/>
      <c r="BU161" s="72"/>
      <c r="BV161" s="72"/>
      <c r="BW161" s="72"/>
      <c r="BX161" s="72"/>
      <c r="BY161" s="72"/>
      <c r="BZ161" s="72"/>
      <c r="CA161" s="72"/>
      <c r="CB161" s="72"/>
      <c r="CC161" s="72"/>
      <c r="CD161" s="72"/>
      <c r="CE161" s="72"/>
      <c r="CF161" s="72"/>
      <c r="CG161" s="72"/>
      <c r="CH161" s="72"/>
      <c r="CI161" s="72"/>
      <c r="CJ161" s="38"/>
      <c r="CK161" s="38"/>
      <c r="CL161" s="38"/>
      <c r="CM161" s="38"/>
    </row>
    <row r="162" spans="1:91" s="267" customFormat="1">
      <c r="A162" s="282" t="s">
        <v>58</v>
      </c>
      <c r="B162" s="72">
        <f>Cash_Flow_Annual!L5</f>
        <v>1727</v>
      </c>
      <c r="C162" s="72">
        <f>Cash_Flow_Annual!M5</f>
        <v>1675</v>
      </c>
      <c r="D162" s="72">
        <f>Cash_Flow_Annual!N5</f>
        <v>1811</v>
      </c>
      <c r="E162" s="72">
        <f>Cash_Flow_Annual!O5</f>
        <v>1844</v>
      </c>
      <c r="F162" s="72">
        <f>Cash_Flow_Annual!P5</f>
        <v>1906</v>
      </c>
      <c r="G162" s="72">
        <f>Cash_Flow_Annual!Q5</f>
        <v>1833</v>
      </c>
      <c r="H162" s="72">
        <f>Cash_Flow_Annual!R5</f>
        <v>1910</v>
      </c>
      <c r="I162" s="72">
        <f>Cash_Flow_Annual!S5</f>
        <v>2047</v>
      </c>
      <c r="J162" s="72">
        <f>Cash_Flow_Annual!T5</f>
        <v>2114</v>
      </c>
      <c r="K162" s="72">
        <f>Cash_Flow_Annual!U5</f>
        <v>2271</v>
      </c>
      <c r="L162" s="72">
        <f>Cash_Flow_Annual!V5</f>
        <v>2246</v>
      </c>
      <c r="M162" s="72">
        <f>Cash_Flow_Annual!W5</f>
        <v>2144</v>
      </c>
      <c r="N162" s="72">
        <f>Cash_Flow_Annual!X5</f>
        <v>1979</v>
      </c>
      <c r="O162" s="72">
        <f>Cash_Flow_Annual!Y5</f>
        <v>1861</v>
      </c>
      <c r="P162" s="72">
        <f>Cash_Flow_Annual!Z5</f>
        <v>1836</v>
      </c>
      <c r="Q162" s="72">
        <f>Cash_Flow_Annual!AA5</f>
        <v>1953</v>
      </c>
      <c r="R162" s="72">
        <f>Cash_Flow_Annual!AB5</f>
        <v>2073.7350000000001</v>
      </c>
      <c r="S162" s="72">
        <f>Cash_Flow_Annual!AC5</f>
        <v>2827.3433314026465</v>
      </c>
      <c r="T162" s="72">
        <f>Cash_Flow_Annual!AD5</f>
        <v>2896.4570485048507</v>
      </c>
      <c r="U162" s="72">
        <f>Cash_Flow_Annual!AG5</f>
        <v>0</v>
      </c>
      <c r="V162" s="72">
        <f>Cash_Flow_Annual!AH5</f>
        <v>0</v>
      </c>
      <c r="X162" s="72"/>
      <c r="Y162" s="72"/>
      <c r="Z162" s="72"/>
      <c r="AA162" s="72"/>
      <c r="AB162" s="72"/>
      <c r="AC162" s="72"/>
      <c r="AD162" s="72"/>
      <c r="AE162" s="72"/>
      <c r="AF162" s="72"/>
      <c r="AG162" s="72"/>
      <c r="AH162" s="72"/>
      <c r="AI162" s="72"/>
      <c r="AJ162" s="72"/>
      <c r="AK162" s="72"/>
      <c r="AL162" s="72"/>
      <c r="AM162" s="72"/>
      <c r="AN162" s="72"/>
      <c r="AO162" s="72"/>
      <c r="AP162" s="72"/>
      <c r="AQ162" s="72"/>
      <c r="AR162" s="72"/>
      <c r="AS162" s="72"/>
      <c r="AT162" s="72"/>
      <c r="AU162" s="72"/>
      <c r="AV162" s="72"/>
      <c r="AW162" s="72"/>
      <c r="AX162" s="72"/>
      <c r="AY162" s="72"/>
      <c r="AZ162" s="72"/>
      <c r="BA162" s="72"/>
      <c r="BB162" s="72"/>
      <c r="BC162" s="72"/>
      <c r="BD162" s="72"/>
      <c r="BE162" s="72"/>
      <c r="BF162" s="72"/>
      <c r="BG162" s="72"/>
      <c r="BH162" s="72"/>
      <c r="BI162" s="72"/>
      <c r="BJ162" s="72"/>
      <c r="BK162" s="72"/>
      <c r="BL162" s="72"/>
      <c r="BM162" s="72"/>
      <c r="BN162" s="72"/>
      <c r="BO162" s="72"/>
      <c r="BP162" s="72"/>
      <c r="BQ162" s="72"/>
      <c r="BR162" s="72"/>
      <c r="BS162" s="72"/>
      <c r="BT162" s="72"/>
      <c r="BU162" s="72"/>
      <c r="BV162" s="72"/>
      <c r="BW162" s="72"/>
      <c r="BX162" s="72"/>
      <c r="BY162" s="72"/>
      <c r="BZ162" s="72"/>
      <c r="CA162" s="72"/>
      <c r="CB162" s="72"/>
      <c r="CC162" s="72"/>
      <c r="CD162" s="72"/>
      <c r="CE162" s="72"/>
      <c r="CF162" s="72"/>
      <c r="CG162" s="72"/>
      <c r="CH162" s="72"/>
      <c r="CI162" s="72"/>
      <c r="CJ162" s="72"/>
      <c r="CK162" s="72"/>
      <c r="CL162" s="72"/>
      <c r="CM162" s="72"/>
    </row>
    <row r="163" spans="1:91" s="267" customFormat="1">
      <c r="A163" s="325" t="s">
        <v>521</v>
      </c>
      <c r="B163" s="326">
        <f>IFERROR(B162/B161,0)</f>
        <v>2.6855969893944578E-2</v>
      </c>
      <c r="C163" s="326">
        <f t="shared" ref="C163:Q163" si="400">IFERROR(C162/C161,0)</f>
        <v>2.4368953226158434E-2</v>
      </c>
      <c r="D163" s="326">
        <f t="shared" si="400"/>
        <v>2.2167005312247547E-2</v>
      </c>
      <c r="E163" s="326">
        <f t="shared" si="400"/>
        <v>2.1287648776883737E-2</v>
      </c>
      <c r="F163" s="326">
        <f t="shared" si="400"/>
        <v>2.0999977964346311E-2</v>
      </c>
      <c r="G163" s="326">
        <f t="shared" si="400"/>
        <v>1.907110306511018E-2</v>
      </c>
      <c r="H163" s="326">
        <f t="shared" si="400"/>
        <v>2.0196466147127556E-2</v>
      </c>
      <c r="I163" s="326">
        <f t="shared" si="400"/>
        <v>2.1775437476729963E-2</v>
      </c>
      <c r="J163" s="326">
        <f t="shared" si="400"/>
        <v>2.090440732939769E-2</v>
      </c>
      <c r="K163" s="326">
        <f t="shared" si="400"/>
        <v>2.9663396857325722E-2</v>
      </c>
      <c r="L163" s="326">
        <f t="shared" si="400"/>
        <v>3.8618934626362671E-2</v>
      </c>
      <c r="M163" s="326">
        <f t="shared" si="400"/>
        <v>3.4421860450181418E-2</v>
      </c>
      <c r="N163" s="326">
        <f t="shared" si="400"/>
        <v>2.9711145808311315E-2</v>
      </c>
      <c r="O163" s="326">
        <f t="shared" si="400"/>
        <v>2.3922153379438003E-2</v>
      </c>
      <c r="P163" s="326">
        <f t="shared" si="400"/>
        <v>2.7601966414600779E-2</v>
      </c>
      <c r="Q163" s="326">
        <f t="shared" si="400"/>
        <v>2.1830253847959492E-2</v>
      </c>
      <c r="R163" s="326">
        <f>IFERROR(R162/R161,0)</f>
        <v>2.0796624929571673E-2</v>
      </c>
      <c r="S163" s="326">
        <f>IFERROR(S162/S161,0)</f>
        <v>2.6087686374285123E-2</v>
      </c>
      <c r="T163" s="326">
        <f>IFERROR(T162/T161,0)</f>
        <v>2.5606919358635055E-2</v>
      </c>
      <c r="U163" s="326">
        <f>IFERROR(U162/U161,0)</f>
        <v>0</v>
      </c>
      <c r="V163" s="326">
        <f>IFERROR(V162/V161,0)</f>
        <v>0</v>
      </c>
      <c r="X163" s="326">
        <f>B163</f>
        <v>2.6855969893944578E-2</v>
      </c>
      <c r="Y163" s="326">
        <f>X163</f>
        <v>2.6855969893944578E-2</v>
      </c>
      <c r="Z163" s="326">
        <f>Y163</f>
        <v>2.6855969893944578E-2</v>
      </c>
      <c r="AA163" s="326">
        <f>Z163</f>
        <v>2.6855969893944578E-2</v>
      </c>
      <c r="AB163" s="326">
        <f>C163</f>
        <v>2.4368953226158434E-2</v>
      </c>
      <c r="AC163" s="326">
        <f>AB163</f>
        <v>2.4368953226158434E-2</v>
      </c>
      <c r="AD163" s="326">
        <f>AC163</f>
        <v>2.4368953226158434E-2</v>
      </c>
      <c r="AE163" s="326">
        <f>AD163</f>
        <v>2.4368953226158434E-2</v>
      </c>
      <c r="AF163" s="326">
        <f>D163</f>
        <v>2.2167005312247547E-2</v>
      </c>
      <c r="AG163" s="326">
        <f>AF163</f>
        <v>2.2167005312247547E-2</v>
      </c>
      <c r="AH163" s="326">
        <f>AG163</f>
        <v>2.2167005312247547E-2</v>
      </c>
      <c r="AI163" s="326">
        <f>AH163</f>
        <v>2.2167005312247547E-2</v>
      </c>
      <c r="AJ163" s="326">
        <f>E163</f>
        <v>2.1287648776883737E-2</v>
      </c>
      <c r="AK163" s="326">
        <f>AJ163</f>
        <v>2.1287648776883737E-2</v>
      </c>
      <c r="AL163" s="326">
        <f>AK163</f>
        <v>2.1287648776883737E-2</v>
      </c>
      <c r="AM163" s="326">
        <f>AL163</f>
        <v>2.1287648776883737E-2</v>
      </c>
      <c r="AN163" s="326">
        <f>F163</f>
        <v>2.0999977964346311E-2</v>
      </c>
      <c r="AO163" s="326">
        <f>AN163</f>
        <v>2.0999977964346311E-2</v>
      </c>
      <c r="AP163" s="326">
        <f>AO163</f>
        <v>2.0999977964346311E-2</v>
      </c>
      <c r="AQ163" s="326">
        <f>AP163</f>
        <v>2.0999977964346311E-2</v>
      </c>
      <c r="AR163" s="326">
        <f>G163</f>
        <v>1.907110306511018E-2</v>
      </c>
      <c r="AS163" s="326">
        <f>AR163</f>
        <v>1.907110306511018E-2</v>
      </c>
      <c r="AT163" s="326">
        <f>AS163</f>
        <v>1.907110306511018E-2</v>
      </c>
      <c r="AU163" s="326">
        <f>AT163</f>
        <v>1.907110306511018E-2</v>
      </c>
      <c r="AV163" s="326">
        <f>H163</f>
        <v>2.0196466147127556E-2</v>
      </c>
      <c r="AW163" s="326">
        <f>AV163</f>
        <v>2.0196466147127556E-2</v>
      </c>
      <c r="AX163" s="326">
        <f>AW163</f>
        <v>2.0196466147127556E-2</v>
      </c>
      <c r="AY163" s="326">
        <f>AX163</f>
        <v>2.0196466147127556E-2</v>
      </c>
      <c r="AZ163" s="326">
        <f>I163</f>
        <v>2.1775437476729963E-2</v>
      </c>
      <c r="BA163" s="326">
        <f>AZ163</f>
        <v>2.1775437476729963E-2</v>
      </c>
      <c r="BB163" s="326">
        <f>BA163</f>
        <v>2.1775437476729963E-2</v>
      </c>
      <c r="BC163" s="326">
        <f>BB163</f>
        <v>2.1775437476729963E-2</v>
      </c>
      <c r="BD163" s="326">
        <f>J163</f>
        <v>2.090440732939769E-2</v>
      </c>
      <c r="BE163" s="326">
        <f>BD163</f>
        <v>2.090440732939769E-2</v>
      </c>
      <c r="BF163" s="326">
        <f>BE163</f>
        <v>2.090440732939769E-2</v>
      </c>
      <c r="BG163" s="326">
        <f>BF163</f>
        <v>2.090440732939769E-2</v>
      </c>
      <c r="BH163" s="326">
        <f>K163</f>
        <v>2.9663396857325722E-2</v>
      </c>
      <c r="BI163" s="326">
        <f>BH163</f>
        <v>2.9663396857325722E-2</v>
      </c>
      <c r="BJ163" s="326">
        <f>BI163</f>
        <v>2.9663396857325722E-2</v>
      </c>
      <c r="BK163" s="326">
        <f>BJ163</f>
        <v>2.9663396857325722E-2</v>
      </c>
      <c r="BL163" s="326">
        <f>L163</f>
        <v>3.8618934626362671E-2</v>
      </c>
      <c r="BM163" s="326">
        <f>BL163</f>
        <v>3.8618934626362671E-2</v>
      </c>
      <c r="BN163" s="326">
        <f>BM163</f>
        <v>3.8618934626362671E-2</v>
      </c>
      <c r="BO163" s="326">
        <f>BN163</f>
        <v>3.8618934626362671E-2</v>
      </c>
      <c r="BP163" s="326">
        <f>M163</f>
        <v>3.4421860450181418E-2</v>
      </c>
      <c r="BQ163" s="326">
        <f t="shared" ref="BQ163:BW163" si="401">BP163</f>
        <v>3.4421860450181418E-2</v>
      </c>
      <c r="BR163" s="326">
        <f t="shared" si="401"/>
        <v>3.4421860450181418E-2</v>
      </c>
      <c r="BS163" s="326">
        <f t="shared" si="401"/>
        <v>3.4421860450181418E-2</v>
      </c>
      <c r="BT163" s="326">
        <f t="shared" si="401"/>
        <v>3.4421860450181418E-2</v>
      </c>
      <c r="BU163" s="326">
        <f t="shared" si="401"/>
        <v>3.4421860450181418E-2</v>
      </c>
      <c r="BV163" s="326">
        <f t="shared" si="401"/>
        <v>3.4421860450181418E-2</v>
      </c>
      <c r="BW163" s="326">
        <f t="shared" si="401"/>
        <v>3.4421860450181418E-2</v>
      </c>
      <c r="BX163" s="326">
        <f>O163</f>
        <v>2.3922153379438003E-2</v>
      </c>
      <c r="BY163" s="326">
        <f>O163</f>
        <v>2.3922153379438003E-2</v>
      </c>
      <c r="BZ163" s="326">
        <f>O163</f>
        <v>2.3922153379438003E-2</v>
      </c>
      <c r="CA163" s="326">
        <f>O163</f>
        <v>2.3922153379438003E-2</v>
      </c>
      <c r="CB163" s="326">
        <f>$P163</f>
        <v>2.7601966414600779E-2</v>
      </c>
      <c r="CC163" s="326">
        <f t="shared" ref="CC163:CM163" si="402">$P163</f>
        <v>2.7601966414600779E-2</v>
      </c>
      <c r="CD163" s="326">
        <f t="shared" si="402"/>
        <v>2.7601966414600779E-2</v>
      </c>
      <c r="CE163" s="326">
        <f t="shared" si="402"/>
        <v>2.7601966414600779E-2</v>
      </c>
      <c r="CF163" s="326">
        <f t="shared" si="402"/>
        <v>2.7601966414600779E-2</v>
      </c>
      <c r="CG163" s="326">
        <f t="shared" si="402"/>
        <v>2.7601966414600779E-2</v>
      </c>
      <c r="CH163" s="326">
        <f t="shared" si="402"/>
        <v>2.7601966414600779E-2</v>
      </c>
      <c r="CI163" s="326">
        <f t="shared" si="402"/>
        <v>2.7601966414600779E-2</v>
      </c>
      <c r="CJ163" s="326">
        <f t="shared" si="402"/>
        <v>2.7601966414600779E-2</v>
      </c>
      <c r="CK163" s="326">
        <f t="shared" si="402"/>
        <v>2.7601966414600779E-2</v>
      </c>
      <c r="CL163" s="326">
        <f t="shared" si="402"/>
        <v>2.7601966414600779E-2</v>
      </c>
      <c r="CM163" s="326">
        <f t="shared" si="402"/>
        <v>2.7601966414600779E-2</v>
      </c>
    </row>
    <row r="164" spans="1:91" s="267" customFormat="1">
      <c r="A164" s="325"/>
      <c r="B164" s="386"/>
      <c r="C164" s="386"/>
      <c r="D164" s="386"/>
      <c r="E164" s="386"/>
      <c r="F164" s="386"/>
      <c r="G164" s="386"/>
      <c r="H164" s="386"/>
      <c r="I164" s="386"/>
      <c r="J164" s="386"/>
      <c r="K164" s="386"/>
      <c r="L164" s="386"/>
      <c r="M164" s="386"/>
      <c r="N164" s="386"/>
      <c r="O164" s="386"/>
      <c r="P164" s="386"/>
      <c r="Q164" s="386"/>
      <c r="R164" s="386"/>
      <c r="S164" s="386"/>
      <c r="T164" s="386"/>
      <c r="U164" s="386"/>
      <c r="V164" s="386"/>
      <c r="X164" s="386"/>
      <c r="Y164" s="386"/>
      <c r="Z164" s="386"/>
      <c r="AA164" s="386"/>
      <c r="AB164" s="386"/>
      <c r="AC164" s="386"/>
      <c r="AD164" s="386"/>
      <c r="AE164" s="386"/>
      <c r="AF164" s="386"/>
      <c r="AG164" s="386"/>
      <c r="AH164" s="386"/>
      <c r="AI164" s="386"/>
      <c r="AJ164" s="386"/>
      <c r="AK164" s="386"/>
      <c r="AL164" s="386"/>
      <c r="AM164" s="386"/>
      <c r="AN164" s="386"/>
      <c r="AO164" s="386"/>
      <c r="AP164" s="386"/>
      <c r="AQ164" s="386"/>
      <c r="AR164" s="386"/>
      <c r="AS164" s="386"/>
      <c r="AT164" s="386"/>
      <c r="AU164" s="386"/>
      <c r="AV164" s="386"/>
      <c r="AW164" s="386"/>
      <c r="AX164" s="386"/>
      <c r="AY164" s="386"/>
      <c r="AZ164" s="386"/>
      <c r="BA164" s="386"/>
      <c r="BB164" s="386"/>
      <c r="BC164" s="386"/>
      <c r="BD164" s="386"/>
      <c r="BE164" s="386"/>
      <c r="BF164" s="386"/>
      <c r="BG164" s="386"/>
      <c r="BH164" s="386"/>
      <c r="BI164" s="386"/>
      <c r="BJ164" s="386"/>
      <c r="BK164" s="386"/>
      <c r="BL164" s="386"/>
      <c r="BM164" s="386"/>
      <c r="BN164" s="386"/>
      <c r="BO164" s="386"/>
      <c r="BP164" s="386"/>
      <c r="BQ164" s="386"/>
      <c r="BR164" s="386"/>
      <c r="BS164" s="386"/>
    </row>
    <row r="165" spans="1:91" s="267" customFormat="1">
      <c r="A165" s="325"/>
      <c r="B165" s="386"/>
      <c r="C165" s="386"/>
      <c r="D165" s="386"/>
      <c r="E165" s="386"/>
      <c r="F165" s="386"/>
      <c r="G165" s="386"/>
      <c r="H165" s="386"/>
      <c r="I165" s="386"/>
      <c r="J165" s="386"/>
      <c r="K165" s="386"/>
      <c r="L165" s="386"/>
      <c r="M165" s="386"/>
      <c r="N165" s="386"/>
      <c r="O165" s="386"/>
      <c r="P165" s="386"/>
      <c r="Q165" s="386"/>
      <c r="R165" s="386"/>
      <c r="S165" s="386"/>
      <c r="T165" s="386"/>
      <c r="U165" s="386"/>
      <c r="V165" s="386"/>
      <c r="X165" s="386"/>
      <c r="Y165" s="386"/>
      <c r="Z165" s="386"/>
      <c r="AA165" s="386"/>
      <c r="AB165" s="386"/>
      <c r="AC165" s="386"/>
      <c r="AD165" s="386"/>
      <c r="AE165" s="386"/>
      <c r="AF165" s="386"/>
      <c r="AG165" s="386"/>
      <c r="AH165" s="386"/>
      <c r="AI165" s="386"/>
      <c r="AJ165" s="386"/>
      <c r="AK165" s="386"/>
      <c r="AL165" s="386"/>
      <c r="AM165" s="386"/>
      <c r="AN165" s="386"/>
      <c r="AO165" s="386"/>
      <c r="AP165" s="386"/>
      <c r="AQ165" s="386"/>
      <c r="AR165" s="386"/>
      <c r="AS165" s="386"/>
      <c r="AT165" s="386"/>
      <c r="AU165" s="386"/>
      <c r="AV165" s="386"/>
      <c r="AW165" s="386"/>
      <c r="AX165" s="386"/>
      <c r="AY165" s="386"/>
      <c r="AZ165" s="386"/>
      <c r="BA165" s="386"/>
      <c r="BB165" s="386"/>
      <c r="BC165" s="386"/>
      <c r="BD165" s="386"/>
      <c r="BE165" s="386"/>
      <c r="BF165" s="386"/>
      <c r="BG165" s="386"/>
      <c r="BH165" s="386"/>
      <c r="BI165" s="386"/>
      <c r="BJ165" s="386"/>
      <c r="BK165" s="386"/>
      <c r="BL165" s="386"/>
      <c r="BM165" s="386"/>
      <c r="BN165" s="386"/>
      <c r="BO165" s="386"/>
      <c r="BP165" s="386"/>
      <c r="BQ165" s="386"/>
      <c r="BR165" s="386"/>
      <c r="BS165" s="386"/>
    </row>
    <row r="166" spans="1:91" s="267" customFormat="1">
      <c r="X166" s="386"/>
      <c r="Y166" s="386"/>
      <c r="Z166" s="386"/>
      <c r="AA166" s="386"/>
      <c r="AB166" s="386"/>
      <c r="AC166" s="386"/>
      <c r="AD166" s="386"/>
      <c r="AE166" s="386"/>
      <c r="AF166" s="386"/>
      <c r="AG166" s="386"/>
      <c r="AH166" s="386"/>
      <c r="AI166" s="386"/>
      <c r="AJ166" s="386"/>
      <c r="AK166" s="386"/>
      <c r="AL166" s="386"/>
      <c r="AM166" s="386"/>
      <c r="AN166" s="386"/>
      <c r="AO166" s="386"/>
      <c r="AP166" s="386"/>
      <c r="AQ166" s="386"/>
      <c r="AR166" s="386"/>
      <c r="AS166" s="386"/>
      <c r="AT166" s="386"/>
      <c r="AU166" s="386"/>
      <c r="AV166" s="386"/>
      <c r="AW166" s="386"/>
      <c r="AX166" s="386"/>
      <c r="AY166" s="386"/>
      <c r="AZ166" s="386"/>
      <c r="BA166" s="386"/>
      <c r="BB166" s="386"/>
      <c r="BC166" s="386"/>
      <c r="BD166" s="386"/>
      <c r="BE166" s="386"/>
      <c r="BF166" s="386"/>
      <c r="BG166" s="386"/>
      <c r="BH166" s="386"/>
      <c r="BI166" s="386"/>
      <c r="BJ166" s="386"/>
      <c r="BK166" s="386"/>
      <c r="BL166" s="386"/>
      <c r="BM166" s="386"/>
      <c r="BN166" s="386"/>
      <c r="BO166" s="386"/>
      <c r="BP166" s="386"/>
      <c r="BQ166" s="386"/>
      <c r="BR166" s="386"/>
      <c r="BS166" s="386"/>
    </row>
    <row r="167" spans="1:91" s="267" customFormat="1">
      <c r="X167" s="386"/>
      <c r="Y167" s="386"/>
      <c r="Z167" s="386"/>
      <c r="AA167" s="386"/>
      <c r="AB167" s="386"/>
      <c r="AC167" s="386"/>
      <c r="AD167" s="386"/>
      <c r="AE167" s="386"/>
      <c r="AF167" s="386"/>
      <c r="AG167" s="386"/>
      <c r="AH167" s="386"/>
      <c r="AI167" s="386"/>
      <c r="AJ167" s="386"/>
      <c r="AK167" s="386"/>
      <c r="AL167" s="386"/>
      <c r="AM167" s="386"/>
      <c r="AN167" s="386"/>
      <c r="AO167" s="386"/>
      <c r="AP167" s="386"/>
      <c r="AQ167" s="386"/>
      <c r="AR167" s="386"/>
      <c r="AS167" s="386"/>
      <c r="AT167" s="386"/>
      <c r="AU167" s="386"/>
      <c r="AV167" s="386"/>
      <c r="AW167" s="386"/>
      <c r="AX167" s="386"/>
      <c r="AY167" s="386"/>
      <c r="AZ167" s="386"/>
      <c r="BA167" s="386"/>
      <c r="BB167" s="386"/>
      <c r="BC167" s="386"/>
      <c r="BD167" s="386"/>
      <c r="BE167" s="386"/>
      <c r="BF167" s="386"/>
      <c r="BG167" s="386"/>
      <c r="BH167" s="386"/>
      <c r="BI167" s="386"/>
      <c r="BJ167" s="386"/>
      <c r="BK167" s="386"/>
      <c r="BL167" s="386"/>
      <c r="BM167" s="386"/>
      <c r="BN167" s="386"/>
      <c r="BO167" s="386"/>
      <c r="BP167" s="386"/>
      <c r="BQ167" s="386"/>
      <c r="BR167" s="386"/>
      <c r="BS167" s="386"/>
    </row>
    <row r="168" spans="1:91" s="267" customFormat="1">
      <c r="X168" s="386"/>
      <c r="Y168" s="386"/>
      <c r="Z168" s="386"/>
      <c r="AA168" s="386"/>
      <c r="AB168" s="386"/>
      <c r="AC168" s="386"/>
      <c r="AD168" s="386"/>
      <c r="AE168" s="386"/>
      <c r="AF168" s="386"/>
      <c r="AG168" s="386"/>
      <c r="AH168" s="386"/>
      <c r="AI168" s="386"/>
      <c r="AJ168" s="386"/>
      <c r="AK168" s="386"/>
      <c r="AL168" s="386"/>
      <c r="AM168" s="386"/>
      <c r="AN168" s="386"/>
      <c r="AO168" s="386"/>
      <c r="AP168" s="386"/>
      <c r="AQ168" s="386"/>
      <c r="AR168" s="386"/>
      <c r="AS168" s="386"/>
      <c r="AT168" s="386"/>
      <c r="AU168" s="386"/>
      <c r="AV168" s="386"/>
      <c r="AW168" s="386"/>
      <c r="AX168" s="386"/>
      <c r="AY168" s="386"/>
      <c r="AZ168" s="386"/>
      <c r="BA168" s="386"/>
      <c r="BB168" s="386"/>
      <c r="BC168" s="386"/>
      <c r="BD168" s="386"/>
      <c r="BE168" s="386"/>
      <c r="BF168" s="386"/>
      <c r="BG168" s="386"/>
      <c r="BH168" s="386"/>
      <c r="BI168" s="386"/>
      <c r="BJ168" s="386"/>
      <c r="BK168" s="386"/>
      <c r="BL168" s="386"/>
      <c r="BM168" s="386"/>
      <c r="BN168" s="386"/>
      <c r="BO168" s="386"/>
      <c r="BP168" s="386"/>
      <c r="BQ168" s="386"/>
      <c r="BR168" s="386"/>
      <c r="BS168" s="386"/>
    </row>
    <row r="169" spans="1:91" s="267" customFormat="1">
      <c r="X169" s="386"/>
      <c r="Y169" s="386"/>
      <c r="Z169" s="386"/>
      <c r="AA169" s="386"/>
      <c r="AB169" s="386"/>
      <c r="AC169" s="386"/>
      <c r="AD169" s="386"/>
      <c r="AE169" s="386"/>
      <c r="AF169" s="386"/>
      <c r="AG169" s="386"/>
      <c r="AH169" s="386"/>
      <c r="AI169" s="386"/>
      <c r="AJ169" s="386"/>
      <c r="AK169" s="386"/>
      <c r="AL169" s="386"/>
      <c r="AM169" s="386"/>
      <c r="AN169" s="386"/>
      <c r="AO169" s="386"/>
      <c r="AP169" s="386"/>
      <c r="AQ169" s="386"/>
      <c r="AR169" s="386"/>
      <c r="AS169" s="386"/>
      <c r="AT169" s="386"/>
      <c r="AU169" s="386"/>
      <c r="AV169" s="386"/>
      <c r="AW169" s="386"/>
      <c r="AX169" s="386"/>
      <c r="AY169" s="386"/>
      <c r="AZ169" s="386"/>
      <c r="BA169" s="386"/>
      <c r="BB169" s="386"/>
      <c r="BC169" s="386"/>
      <c r="BD169" s="386"/>
      <c r="BE169" s="386"/>
      <c r="BF169" s="386"/>
      <c r="BG169" s="386"/>
      <c r="BH169" s="386"/>
      <c r="BI169" s="386"/>
      <c r="BJ169" s="386"/>
      <c r="BK169" s="386"/>
      <c r="BL169" s="386"/>
      <c r="BM169" s="386"/>
      <c r="BN169" s="386"/>
      <c r="BO169" s="386"/>
      <c r="BP169" s="386"/>
      <c r="BQ169" s="386"/>
      <c r="BR169" s="386"/>
      <c r="BS169" s="386"/>
    </row>
    <row r="170" spans="1:91" s="267" customFormat="1">
      <c r="X170" s="386"/>
      <c r="Y170" s="386"/>
      <c r="Z170" s="386"/>
      <c r="AA170" s="386"/>
      <c r="AB170" s="386"/>
      <c r="AC170" s="386"/>
      <c r="AD170" s="386"/>
      <c r="AE170" s="386"/>
      <c r="AF170" s="386"/>
      <c r="AG170" s="386"/>
      <c r="AH170" s="386"/>
      <c r="AI170" s="386"/>
      <c r="AJ170" s="386"/>
      <c r="AK170" s="386"/>
      <c r="AL170" s="386"/>
      <c r="AM170" s="386"/>
      <c r="AN170" s="386"/>
      <c r="AO170" s="386"/>
      <c r="AP170" s="386"/>
      <c r="AQ170" s="386"/>
      <c r="AR170" s="386"/>
      <c r="AS170" s="386"/>
      <c r="AT170" s="386"/>
      <c r="AU170" s="386"/>
      <c r="AV170" s="386"/>
      <c r="AW170" s="386"/>
      <c r="AX170" s="386"/>
      <c r="AY170" s="386"/>
      <c r="AZ170" s="386"/>
      <c r="BA170" s="386"/>
      <c r="BB170" s="386"/>
      <c r="BC170" s="386"/>
      <c r="BD170" s="386"/>
      <c r="BE170" s="386"/>
      <c r="BF170" s="386"/>
      <c r="BG170" s="386"/>
      <c r="BH170" s="386"/>
      <c r="BI170" s="386"/>
      <c r="BJ170" s="386"/>
      <c r="BK170" s="386"/>
      <c r="BL170" s="386"/>
      <c r="BM170" s="386"/>
      <c r="BN170" s="386"/>
      <c r="BO170" s="386"/>
      <c r="BP170" s="386"/>
      <c r="BQ170" s="386"/>
      <c r="BR170" s="386"/>
      <c r="BS170" s="386"/>
    </row>
    <row r="171" spans="1:91" s="267" customFormat="1">
      <c r="X171" s="386"/>
      <c r="Y171" s="386"/>
      <c r="Z171" s="386"/>
      <c r="AA171" s="386"/>
      <c r="AB171" s="386"/>
      <c r="AC171" s="386"/>
      <c r="AD171" s="386"/>
      <c r="AE171" s="386"/>
      <c r="AF171" s="386"/>
      <c r="AG171" s="386"/>
      <c r="AH171" s="386"/>
      <c r="AI171" s="386"/>
      <c r="AJ171" s="386"/>
      <c r="AK171" s="386"/>
      <c r="AL171" s="386"/>
      <c r="AM171" s="386"/>
      <c r="AN171" s="386"/>
      <c r="AO171" s="386"/>
      <c r="AP171" s="386"/>
      <c r="AQ171" s="386"/>
      <c r="AR171" s="386"/>
      <c r="AS171" s="386"/>
      <c r="AT171" s="386"/>
      <c r="AU171" s="386"/>
      <c r="AV171" s="386"/>
      <c r="AW171" s="386"/>
      <c r="AX171" s="386"/>
      <c r="AY171" s="386"/>
      <c r="AZ171" s="386"/>
      <c r="BA171" s="386"/>
      <c r="BB171" s="386"/>
      <c r="BC171" s="386"/>
      <c r="BD171" s="386"/>
      <c r="BE171" s="386"/>
      <c r="BF171" s="386"/>
      <c r="BG171" s="386"/>
      <c r="BH171" s="386"/>
      <c r="BI171" s="386"/>
      <c r="BJ171" s="386"/>
      <c r="BK171" s="386"/>
      <c r="BL171" s="386"/>
      <c r="BM171" s="386"/>
      <c r="BN171" s="386"/>
      <c r="BO171" s="386"/>
      <c r="BP171" s="386"/>
      <c r="BQ171" s="386"/>
      <c r="BR171" s="386"/>
      <c r="BS171" s="386"/>
    </row>
    <row r="172" spans="1:91" s="267" customFormat="1">
      <c r="A172" s="325"/>
      <c r="B172" s="386"/>
      <c r="C172" s="386"/>
      <c r="D172" s="386"/>
      <c r="E172" s="386"/>
      <c r="F172" s="386"/>
      <c r="G172" s="386"/>
      <c r="H172" s="386"/>
      <c r="I172" s="386"/>
      <c r="J172" s="386"/>
      <c r="K172" s="386"/>
      <c r="L172" s="386"/>
      <c r="M172" s="386"/>
      <c r="N172" s="386"/>
      <c r="O172" s="386"/>
      <c r="P172" s="386"/>
      <c r="Q172" s="386"/>
      <c r="R172" s="386"/>
      <c r="S172" s="386"/>
      <c r="T172" s="386"/>
      <c r="U172" s="386"/>
      <c r="V172" s="386"/>
      <c r="X172" s="386"/>
      <c r="Y172" s="386"/>
      <c r="Z172" s="386"/>
      <c r="AA172" s="386"/>
      <c r="AB172" s="386"/>
      <c r="AC172" s="386"/>
      <c r="AD172" s="386"/>
      <c r="AE172" s="386"/>
      <c r="AF172" s="386"/>
      <c r="AG172" s="386"/>
      <c r="AH172" s="386"/>
      <c r="AI172" s="386"/>
      <c r="AJ172" s="386"/>
      <c r="AK172" s="386"/>
      <c r="AL172" s="386"/>
      <c r="AM172" s="386"/>
      <c r="AN172" s="386"/>
      <c r="AO172" s="386"/>
      <c r="AP172" s="386"/>
      <c r="AQ172" s="386"/>
      <c r="AR172" s="386"/>
      <c r="AS172" s="386"/>
      <c r="AT172" s="386"/>
      <c r="AU172" s="386"/>
      <c r="AV172" s="386"/>
      <c r="AW172" s="386"/>
      <c r="AX172" s="386"/>
      <c r="AY172" s="386"/>
      <c r="AZ172" s="386"/>
      <c r="BA172" s="386"/>
      <c r="BB172" s="386"/>
      <c r="BC172" s="386"/>
      <c r="BD172" s="386"/>
      <c r="BE172" s="386"/>
      <c r="BF172" s="386"/>
      <c r="BG172" s="386"/>
      <c r="BH172" s="386"/>
      <c r="BI172" s="386"/>
      <c r="BJ172" s="386"/>
      <c r="BK172" s="386"/>
      <c r="BL172" s="386"/>
      <c r="BM172" s="386"/>
      <c r="BN172" s="386"/>
      <c r="BO172" s="386"/>
      <c r="BP172" s="386"/>
      <c r="BQ172" s="386"/>
      <c r="BR172" s="386"/>
      <c r="BS172" s="386"/>
    </row>
    <row r="173" spans="1:91" s="5" customFormat="1">
      <c r="A173" s="1"/>
      <c r="B173" s="307"/>
      <c r="C173" s="307"/>
      <c r="D173" s="307"/>
      <c r="E173" s="307"/>
      <c r="F173" s="307"/>
      <c r="G173" s="307"/>
      <c r="H173" s="307"/>
      <c r="I173" s="39"/>
      <c r="J173" s="39"/>
      <c r="K173" s="39"/>
      <c r="L173" s="39"/>
      <c r="M173" s="39"/>
      <c r="N173" s="307"/>
      <c r="O173" s="307"/>
      <c r="P173" s="307"/>
      <c r="Q173" s="307"/>
      <c r="R173" s="307"/>
      <c r="S173" s="307"/>
      <c r="T173" s="307"/>
      <c r="U173" s="307"/>
      <c r="V173" s="307"/>
      <c r="X173" s="312"/>
      <c r="Y173" s="312"/>
      <c r="Z173" s="312"/>
      <c r="AA173" s="312"/>
      <c r="AB173" s="312"/>
      <c r="AC173" s="312"/>
      <c r="AD173" s="312"/>
      <c r="AE173" s="312"/>
      <c r="AF173" s="312"/>
      <c r="AG173" s="312"/>
      <c r="AH173" s="312"/>
      <c r="AI173" s="312"/>
      <c r="AJ173" s="312"/>
      <c r="AK173" s="312"/>
      <c r="AL173" s="312"/>
      <c r="AM173" s="312"/>
      <c r="AN173" s="312"/>
      <c r="AO173" s="312"/>
      <c r="AP173" s="312"/>
      <c r="AQ173" s="312"/>
      <c r="AR173" s="312"/>
      <c r="AS173" s="312"/>
      <c r="AT173" s="312"/>
      <c r="AU173" s="312"/>
      <c r="AV173" s="312"/>
      <c r="AW173" s="312"/>
      <c r="AX173" s="312"/>
      <c r="AY173" s="312"/>
      <c r="AZ173" s="312"/>
      <c r="BA173" s="312"/>
      <c r="BB173" s="312"/>
      <c r="BD173" s="312"/>
      <c r="BE173" s="312"/>
      <c r="BF173" s="312"/>
      <c r="BG173" s="312"/>
      <c r="BH173" s="312"/>
      <c r="BI173" s="312"/>
      <c r="BJ173" s="312"/>
      <c r="BK173" s="312"/>
      <c r="BL173" s="312"/>
      <c r="BM173" s="307"/>
      <c r="BN173" s="307"/>
      <c r="BO173" s="102"/>
      <c r="BP173" s="310"/>
      <c r="BQ173" s="307"/>
      <c r="BR173" s="307"/>
      <c r="BS173" s="102"/>
    </row>
    <row r="174" spans="1:91" s="5" customFormat="1">
      <c r="A174" s="1"/>
    </row>
    <row r="175" spans="1:91" s="5" customFormat="1">
      <c r="A175" s="1"/>
    </row>
    <row r="176" spans="1:91" s="5" customFormat="1">
      <c r="A176" s="1"/>
      <c r="B176" s="307"/>
      <c r="C176" s="307"/>
      <c r="D176" s="307"/>
      <c r="E176" s="307"/>
      <c r="F176" s="307"/>
      <c r="G176" s="307"/>
      <c r="H176" s="307"/>
      <c r="I176" s="39"/>
      <c r="J176" s="39"/>
      <c r="K176" s="39"/>
      <c r="L176" s="39"/>
      <c r="M176" s="39"/>
      <c r="N176" s="307"/>
      <c r="O176" s="307"/>
      <c r="P176" s="307"/>
      <c r="Q176" s="307"/>
      <c r="R176" s="307"/>
      <c r="S176" s="307"/>
      <c r="T176" s="307"/>
      <c r="U176" s="307"/>
      <c r="V176" s="307"/>
      <c r="X176" s="312"/>
      <c r="Y176" s="312"/>
      <c r="Z176" s="312"/>
      <c r="AA176" s="312"/>
      <c r="AB176" s="312"/>
      <c r="AC176" s="312"/>
      <c r="AD176" s="312"/>
      <c r="AE176" s="312"/>
      <c r="AF176" s="312"/>
      <c r="AG176" s="312"/>
      <c r="AH176" s="312"/>
      <c r="AI176" s="312"/>
      <c r="AJ176" s="312"/>
      <c r="AK176" s="312"/>
      <c r="AL176" s="312"/>
      <c r="AM176" s="312"/>
      <c r="AN176" s="312"/>
      <c r="AO176" s="312"/>
      <c r="AP176" s="312"/>
      <c r="AQ176" s="312"/>
      <c r="AR176" s="312"/>
      <c r="AS176" s="312"/>
      <c r="AT176" s="312"/>
      <c r="AU176" s="312"/>
      <c r="AV176" s="312"/>
      <c r="AW176" s="312"/>
      <c r="AX176" s="312"/>
      <c r="AY176" s="312"/>
      <c r="AZ176" s="312"/>
      <c r="BA176" s="312"/>
      <c r="BB176" s="312"/>
      <c r="BC176" s="312"/>
      <c r="BD176" s="312"/>
      <c r="BE176" s="312"/>
      <c r="BF176" s="312"/>
      <c r="BG176" s="312"/>
      <c r="BH176" s="312"/>
      <c r="BI176" s="312"/>
      <c r="BJ176" s="312"/>
      <c r="BK176" s="312"/>
      <c r="BL176" s="312"/>
      <c r="BM176" s="307"/>
      <c r="BN176" s="307"/>
      <c r="BO176" s="102"/>
      <c r="BP176" s="310"/>
      <c r="BQ176" s="307"/>
      <c r="BR176" s="307"/>
      <c r="BS176" s="102"/>
    </row>
    <row r="177" spans="1:71" s="5" customFormat="1" ht="17.5">
      <c r="A177" s="1"/>
      <c r="B177" s="307"/>
      <c r="C177" s="307"/>
      <c r="D177" s="307"/>
      <c r="E177" s="307"/>
      <c r="F177" s="307"/>
      <c r="G177" s="307"/>
      <c r="H177" s="307"/>
      <c r="I177" s="39"/>
      <c r="J177" s="39"/>
      <c r="K177" s="39"/>
      <c r="L177" s="39"/>
      <c r="M177" s="39"/>
      <c r="N177" s="307"/>
      <c r="O177" s="307"/>
      <c r="P177" s="307"/>
      <c r="Q177" s="307"/>
      <c r="R177" s="307"/>
      <c r="S177" s="307"/>
      <c r="T177" s="307"/>
      <c r="U177" s="307"/>
      <c r="V177" s="307"/>
      <c r="X177" s="312"/>
      <c r="Y177" s="312"/>
      <c r="Z177" s="312"/>
      <c r="AA177" s="312"/>
      <c r="AB177" s="312"/>
      <c r="AC177" s="312"/>
      <c r="AD177" s="312"/>
      <c r="AE177" s="312"/>
      <c r="AF177" s="312"/>
      <c r="AG177" s="312"/>
      <c r="AH177" s="312"/>
      <c r="AI177" s="312"/>
      <c r="AJ177" s="312"/>
      <c r="AK177" s="312"/>
      <c r="AL177" s="312"/>
      <c r="AM177" s="312"/>
      <c r="AN177" s="312"/>
      <c r="AO177" s="312"/>
      <c r="AP177" s="312"/>
      <c r="AQ177" s="313"/>
      <c r="AR177" s="312"/>
      <c r="AS177" s="312"/>
      <c r="AT177" s="312"/>
      <c r="AU177" s="312"/>
      <c r="AV177" s="312"/>
      <c r="AW177" s="312"/>
      <c r="AX177" s="312"/>
      <c r="AY177" s="312"/>
      <c r="AZ177" s="312"/>
      <c r="BA177" s="312"/>
      <c r="BB177" s="312"/>
      <c r="BC177" s="312"/>
      <c r="BD177" s="312"/>
      <c r="BE177" s="312"/>
      <c r="BF177" s="312"/>
      <c r="BG177" s="312"/>
      <c r="BH177" s="312"/>
      <c r="BI177" s="312"/>
      <c r="BJ177" s="312"/>
      <c r="BK177" s="312"/>
      <c r="BL177" s="312"/>
      <c r="BM177" s="307"/>
      <c r="BN177" s="307"/>
      <c r="BO177" s="102"/>
      <c r="BP177" s="310"/>
      <c r="BQ177" s="307"/>
      <c r="BR177" s="307"/>
      <c r="BS177" s="102"/>
    </row>
    <row r="178" spans="1:71" s="5" customFormat="1">
      <c r="A178" s="1"/>
      <c r="B178" s="307"/>
      <c r="C178" s="307"/>
      <c r="D178" s="307"/>
      <c r="E178" s="307"/>
      <c r="F178" s="307"/>
      <c r="G178" s="307"/>
      <c r="H178" s="307"/>
      <c r="I178" s="39"/>
      <c r="J178" s="39"/>
      <c r="K178" s="39"/>
      <c r="L178" s="39"/>
      <c r="M178" s="39"/>
      <c r="N178" s="307"/>
      <c r="O178" s="307"/>
      <c r="P178" s="307"/>
      <c r="Q178" s="307"/>
      <c r="R178" s="307"/>
      <c r="S178" s="307"/>
      <c r="T178" s="307"/>
      <c r="U178" s="307"/>
      <c r="V178" s="307"/>
      <c r="X178" s="312"/>
      <c r="Y178" s="312"/>
      <c r="Z178" s="312"/>
      <c r="AA178" s="312"/>
      <c r="AB178" s="312"/>
      <c r="AC178" s="312"/>
      <c r="AD178" s="312"/>
      <c r="AE178" s="312"/>
      <c r="AF178" s="312"/>
      <c r="AG178" s="312"/>
      <c r="AH178" s="312"/>
      <c r="AI178" s="312"/>
      <c r="AJ178" s="312"/>
      <c r="AK178" s="312"/>
      <c r="AL178" s="312"/>
      <c r="AM178" s="312"/>
      <c r="AN178" s="312"/>
      <c r="AO178" s="312"/>
      <c r="AP178" s="312"/>
      <c r="AQ178" s="312"/>
      <c r="AR178" s="312"/>
      <c r="AS178" s="312"/>
      <c r="AT178" s="312"/>
      <c r="AU178" s="312"/>
      <c r="AV178" s="312"/>
      <c r="AW178" s="312"/>
      <c r="AX178" s="312"/>
      <c r="AY178" s="312"/>
      <c r="AZ178" s="312"/>
      <c r="BA178" s="312"/>
      <c r="BB178" s="312"/>
      <c r="BC178" s="312"/>
      <c r="BD178" s="312"/>
      <c r="BE178" s="312"/>
      <c r="BF178" s="312"/>
      <c r="BG178" s="312"/>
      <c r="BH178" s="312"/>
      <c r="BI178" s="312"/>
      <c r="BJ178" s="312"/>
      <c r="BK178" s="312"/>
      <c r="BL178" s="312"/>
      <c r="BM178" s="307"/>
      <c r="BN178" s="307"/>
      <c r="BO178" s="102"/>
      <c r="BP178" s="310"/>
      <c r="BQ178" s="307"/>
      <c r="BR178" s="307"/>
      <c r="BS178" s="102"/>
    </row>
    <row r="179" spans="1:71" s="5" customFormat="1">
      <c r="A179" s="12"/>
      <c r="B179" s="307"/>
      <c r="C179" s="307"/>
      <c r="D179" s="307"/>
      <c r="E179" s="307"/>
      <c r="F179" s="307"/>
      <c r="G179" s="307"/>
      <c r="H179" s="307"/>
      <c r="I179" s="39"/>
      <c r="J179" s="39"/>
      <c r="K179" s="39"/>
      <c r="L179" s="39"/>
      <c r="M179" s="39"/>
      <c r="N179" s="307"/>
      <c r="O179" s="307"/>
      <c r="P179" s="307"/>
      <c r="Q179" s="307"/>
      <c r="R179" s="307"/>
      <c r="S179" s="307"/>
      <c r="T179" s="307"/>
      <c r="U179" s="307"/>
      <c r="V179" s="307"/>
      <c r="X179" s="307"/>
      <c r="Y179" s="307"/>
      <c r="Z179" s="307"/>
      <c r="AA179" s="307"/>
      <c r="AB179" s="307"/>
      <c r="AC179" s="307"/>
      <c r="AD179" s="307"/>
      <c r="AE179" s="307"/>
      <c r="AF179" s="307"/>
      <c r="AG179" s="307"/>
      <c r="AH179" s="307"/>
      <c r="AI179" s="307"/>
      <c r="AJ179" s="307"/>
      <c r="AK179" s="307"/>
      <c r="AL179" s="307"/>
      <c r="AM179" s="307"/>
      <c r="AN179" s="307"/>
      <c r="AO179" s="307"/>
      <c r="AP179" s="307"/>
      <c r="AQ179" s="307"/>
      <c r="AR179" s="307"/>
      <c r="AS179" s="307"/>
      <c r="AT179" s="307"/>
      <c r="AU179" s="102"/>
      <c r="AV179" s="307"/>
      <c r="AW179" s="307"/>
      <c r="AX179" s="307"/>
      <c r="AY179" s="102"/>
      <c r="AZ179" s="39"/>
      <c r="BA179" s="104"/>
      <c r="BB179" s="39"/>
      <c r="BC179" s="104"/>
      <c r="BD179" s="39"/>
      <c r="BE179" s="39"/>
      <c r="BF179" s="39"/>
      <c r="BG179" s="104"/>
      <c r="BH179" s="39"/>
      <c r="BI179" s="39"/>
      <c r="BJ179" s="39"/>
      <c r="BK179" s="104"/>
      <c r="BL179" s="39"/>
      <c r="BM179" s="307"/>
      <c r="BN179" s="307"/>
      <c r="BO179" s="102"/>
      <c r="BP179" s="310"/>
      <c r="BQ179" s="307"/>
      <c r="BR179" s="307"/>
      <c r="BS179" s="102"/>
    </row>
    <row r="180" spans="1:71" s="5" customFormat="1">
      <c r="A180" s="12"/>
      <c r="B180" s="307"/>
      <c r="C180" s="307"/>
      <c r="D180" s="307"/>
      <c r="E180" s="307"/>
      <c r="F180" s="307"/>
      <c r="G180" s="307"/>
      <c r="H180" s="307"/>
      <c r="I180" s="39"/>
      <c r="J180" s="39"/>
      <c r="K180" s="39"/>
      <c r="L180" s="39"/>
      <c r="M180" s="39"/>
      <c r="N180" s="307"/>
      <c r="O180" s="307"/>
      <c r="P180" s="307"/>
      <c r="Q180" s="307"/>
      <c r="R180" s="307"/>
      <c r="S180" s="307"/>
      <c r="T180" s="307"/>
      <c r="U180" s="307"/>
      <c r="V180" s="307"/>
      <c r="X180" s="307"/>
      <c r="Y180" s="307"/>
      <c r="Z180" s="307"/>
      <c r="AA180" s="307"/>
      <c r="AB180" s="307"/>
      <c r="AC180" s="307"/>
      <c r="AD180" s="307"/>
      <c r="AE180" s="307"/>
      <c r="AF180" s="307"/>
      <c r="AG180" s="307"/>
      <c r="AH180" s="307"/>
      <c r="AI180" s="307"/>
      <c r="AJ180" s="307"/>
      <c r="AK180" s="307"/>
      <c r="AL180" s="307"/>
      <c r="AM180" s="307"/>
      <c r="AN180" s="307"/>
      <c r="AO180" s="307"/>
      <c r="AP180" s="307"/>
      <c r="AQ180" s="307"/>
      <c r="AR180" s="307"/>
      <c r="AS180" s="307"/>
      <c r="AT180" s="307"/>
      <c r="AU180" s="102"/>
      <c r="AV180" s="307"/>
      <c r="AW180" s="307"/>
      <c r="AX180" s="307"/>
      <c r="AY180" s="102"/>
      <c r="AZ180" s="39"/>
      <c r="BA180" s="104"/>
      <c r="BB180" s="39"/>
      <c r="BC180" s="104"/>
      <c r="BD180" s="39"/>
      <c r="BE180" s="39"/>
      <c r="BF180" s="39"/>
      <c r="BG180" s="104"/>
      <c r="BH180" s="39"/>
      <c r="BI180" s="39"/>
      <c r="BJ180" s="39"/>
      <c r="BK180" s="104"/>
      <c r="BL180" s="39"/>
      <c r="BM180" s="307"/>
      <c r="BN180" s="307"/>
      <c r="BO180" s="102"/>
      <c r="BP180" s="310"/>
      <c r="BQ180" s="307"/>
      <c r="BR180" s="307"/>
      <c r="BS180" s="102"/>
    </row>
    <row r="181" spans="1:71" s="5" customFormat="1">
      <c r="A181" s="12"/>
      <c r="B181" s="307"/>
      <c r="C181" s="307"/>
      <c r="D181" s="307"/>
      <c r="E181" s="307"/>
      <c r="F181" s="307"/>
      <c r="G181" s="307"/>
      <c r="H181" s="307"/>
      <c r="I181" s="39"/>
      <c r="J181" s="39"/>
      <c r="K181" s="39"/>
      <c r="L181" s="39"/>
      <c r="M181" s="39"/>
      <c r="N181" s="307"/>
      <c r="O181" s="307"/>
      <c r="P181" s="307"/>
      <c r="Q181" s="307"/>
      <c r="R181" s="307"/>
      <c r="S181" s="307"/>
      <c r="T181" s="307"/>
      <c r="U181" s="307"/>
      <c r="V181" s="307"/>
      <c r="X181" s="307"/>
      <c r="Y181" s="307"/>
      <c r="Z181" s="307"/>
      <c r="AA181" s="307"/>
      <c r="AB181" s="307"/>
      <c r="AC181" s="307"/>
      <c r="AD181" s="307"/>
      <c r="AE181" s="307"/>
      <c r="AF181" s="307"/>
      <c r="AG181" s="307"/>
      <c r="AH181" s="307"/>
      <c r="AI181" s="307"/>
      <c r="AJ181" s="307"/>
      <c r="AK181" s="307"/>
      <c r="AL181" s="307"/>
      <c r="AM181" s="307"/>
      <c r="AN181" s="307"/>
      <c r="AO181" s="307"/>
      <c r="AP181" s="307"/>
      <c r="AQ181" s="307"/>
      <c r="AR181" s="307"/>
      <c r="AS181" s="307"/>
      <c r="AT181" s="307"/>
      <c r="AU181" s="102"/>
      <c r="AV181" s="307"/>
      <c r="AW181" s="307"/>
      <c r="AX181" s="307"/>
      <c r="AY181" s="102"/>
      <c r="AZ181" s="39"/>
      <c r="BA181" s="104"/>
      <c r="BB181" s="39"/>
      <c r="BC181" s="104"/>
      <c r="BD181" s="39"/>
      <c r="BE181" s="39"/>
      <c r="BF181" s="39"/>
      <c r="BG181" s="104"/>
      <c r="BH181" s="39"/>
      <c r="BI181" s="39"/>
      <c r="BJ181" s="39"/>
      <c r="BK181" s="104"/>
      <c r="BL181" s="39"/>
      <c r="BM181" s="307"/>
      <c r="BN181" s="307"/>
      <c r="BO181" s="102"/>
      <c r="BP181" s="310"/>
      <c r="BQ181" s="307"/>
      <c r="BR181" s="307"/>
      <c r="BS181" s="102"/>
    </row>
    <row r="182" spans="1:71" s="5" customFormat="1">
      <c r="A182" s="12"/>
      <c r="B182" s="307"/>
      <c r="C182" s="307"/>
      <c r="D182" s="307"/>
      <c r="E182" s="307"/>
      <c r="F182" s="307"/>
      <c r="G182" s="307"/>
      <c r="H182" s="307"/>
      <c r="I182" s="39"/>
      <c r="J182" s="39"/>
      <c r="K182" s="39"/>
      <c r="L182" s="39"/>
      <c r="M182" s="39"/>
      <c r="N182" s="307"/>
      <c r="O182" s="307"/>
      <c r="P182" s="307"/>
      <c r="Q182" s="307"/>
      <c r="R182" s="307"/>
      <c r="S182" s="307"/>
      <c r="T182" s="307"/>
      <c r="U182" s="307"/>
      <c r="V182" s="307"/>
      <c r="X182" s="307"/>
      <c r="Y182" s="307"/>
      <c r="Z182" s="307"/>
      <c r="AA182" s="307"/>
      <c r="AB182" s="307"/>
      <c r="AC182" s="307"/>
      <c r="AD182" s="307"/>
      <c r="AE182" s="307"/>
      <c r="AF182" s="307"/>
      <c r="AG182" s="307"/>
      <c r="AH182" s="307"/>
      <c r="AI182" s="307"/>
      <c r="AJ182" s="307"/>
      <c r="AK182" s="307"/>
      <c r="AL182" s="307"/>
      <c r="AM182" s="307"/>
      <c r="AN182" s="307"/>
      <c r="AO182" s="307"/>
      <c r="AP182" s="307"/>
      <c r="AQ182" s="307"/>
      <c r="AR182" s="307"/>
      <c r="AS182" s="307"/>
      <c r="AT182" s="307"/>
      <c r="AU182" s="102"/>
      <c r="AV182" s="307"/>
      <c r="AW182" s="307"/>
      <c r="AX182" s="307"/>
      <c r="AY182" s="102"/>
      <c r="AZ182" s="39"/>
      <c r="BA182" s="104"/>
      <c r="BB182" s="39"/>
      <c r="BC182" s="104"/>
      <c r="BD182" s="39"/>
      <c r="BE182" s="39"/>
      <c r="BF182" s="39"/>
      <c r="BG182" s="104"/>
      <c r="BH182" s="39"/>
      <c r="BI182" s="39"/>
      <c r="BJ182" s="39"/>
      <c r="BK182" s="104"/>
      <c r="BL182" s="39"/>
      <c r="BM182" s="307"/>
      <c r="BN182" s="307"/>
      <c r="BO182" s="102"/>
      <c r="BP182" s="310"/>
      <c r="BQ182" s="307"/>
      <c r="BR182" s="307"/>
      <c r="BS182" s="102"/>
    </row>
    <row r="183" spans="1:71" s="5" customFormat="1">
      <c r="A183" s="12"/>
      <c r="B183" s="307"/>
      <c r="C183" s="307"/>
      <c r="D183" s="307"/>
      <c r="E183" s="307"/>
      <c r="F183" s="307"/>
      <c r="G183" s="307"/>
      <c r="H183" s="307"/>
      <c r="I183" s="39"/>
      <c r="J183" s="39"/>
      <c r="K183" s="39"/>
      <c r="L183" s="39"/>
      <c r="M183" s="39"/>
      <c r="N183" s="307"/>
      <c r="O183" s="307"/>
      <c r="P183" s="307"/>
      <c r="Q183" s="307"/>
      <c r="R183" s="307"/>
      <c r="S183" s="307"/>
      <c r="T183" s="307"/>
      <c r="U183" s="307"/>
      <c r="V183" s="307"/>
      <c r="X183" s="307"/>
      <c r="Y183" s="307"/>
      <c r="Z183" s="307"/>
      <c r="AA183" s="307"/>
      <c r="AB183" s="307"/>
      <c r="AC183" s="307"/>
      <c r="AD183" s="307"/>
      <c r="AE183" s="307"/>
      <c r="AF183" s="307"/>
      <c r="AG183" s="307"/>
      <c r="AH183" s="307"/>
      <c r="AI183" s="307"/>
      <c r="AJ183" s="307"/>
      <c r="AK183" s="307"/>
      <c r="AL183" s="307"/>
      <c r="AM183" s="307"/>
      <c r="AN183" s="307"/>
      <c r="AO183" s="307"/>
      <c r="AP183" s="307"/>
      <c r="AQ183" s="307"/>
      <c r="AR183" s="307"/>
      <c r="AS183" s="307"/>
      <c r="AT183" s="307"/>
      <c r="AU183" s="102"/>
      <c r="AV183" s="307"/>
      <c r="AW183" s="307"/>
      <c r="AX183" s="307"/>
      <c r="AY183" s="102"/>
      <c r="AZ183" s="39"/>
      <c r="BA183" s="104"/>
      <c r="BB183" s="39"/>
      <c r="BC183" s="104"/>
      <c r="BD183" s="39"/>
      <c r="BE183" s="39"/>
      <c r="BF183" s="39"/>
      <c r="BG183" s="104"/>
      <c r="BH183" s="39"/>
      <c r="BI183" s="39"/>
      <c r="BJ183" s="39"/>
      <c r="BK183" s="104"/>
      <c r="BL183" s="39"/>
      <c r="BM183" s="307"/>
      <c r="BN183" s="307"/>
      <c r="BO183" s="102"/>
      <c r="BP183" s="310"/>
      <c r="BQ183" s="307"/>
      <c r="BR183" s="307"/>
      <c r="BS183" s="102"/>
    </row>
    <row r="184" spans="1:71" s="5" customFormat="1">
      <c r="A184" s="12"/>
      <c r="B184" s="307"/>
      <c r="C184" s="307"/>
      <c r="D184" s="307"/>
      <c r="E184" s="307"/>
      <c r="F184" s="307"/>
      <c r="G184" s="307"/>
      <c r="H184" s="307"/>
      <c r="I184" s="39"/>
      <c r="J184" s="39"/>
      <c r="K184" s="39"/>
      <c r="L184" s="39"/>
      <c r="M184" s="39"/>
      <c r="N184" s="307"/>
      <c r="O184" s="307"/>
      <c r="P184" s="307"/>
      <c r="Q184" s="307"/>
      <c r="R184" s="307"/>
      <c r="S184" s="307"/>
      <c r="T184" s="307"/>
      <c r="U184" s="307"/>
      <c r="V184" s="307"/>
      <c r="X184" s="307"/>
      <c r="Y184" s="307"/>
      <c r="Z184" s="307"/>
      <c r="AA184" s="307"/>
      <c r="AB184" s="307"/>
      <c r="AC184" s="307"/>
      <c r="AD184" s="307"/>
      <c r="AE184" s="307"/>
      <c r="AF184" s="307"/>
      <c r="AG184" s="307"/>
      <c r="AH184" s="307"/>
      <c r="AI184" s="307"/>
      <c r="AJ184" s="307"/>
      <c r="AK184" s="307"/>
      <c r="AL184" s="307"/>
      <c r="AM184" s="307"/>
      <c r="AN184" s="307"/>
      <c r="AO184" s="307"/>
      <c r="AP184" s="307"/>
      <c r="AQ184" s="307"/>
      <c r="AR184" s="307"/>
      <c r="AS184" s="307"/>
      <c r="AT184" s="307"/>
      <c r="AU184" s="102"/>
      <c r="AV184" s="307"/>
      <c r="AW184" s="307"/>
      <c r="AX184" s="307"/>
      <c r="AY184" s="102"/>
      <c r="AZ184" s="39"/>
      <c r="BA184" s="104"/>
      <c r="BB184" s="39"/>
      <c r="BC184" s="104"/>
      <c r="BD184" s="39"/>
      <c r="BE184" s="39"/>
      <c r="BF184" s="39"/>
      <c r="BG184" s="104"/>
      <c r="BH184" s="39"/>
      <c r="BI184" s="39"/>
      <c r="BJ184" s="39"/>
      <c r="BK184" s="104"/>
      <c r="BL184" s="39"/>
      <c r="BM184" s="307"/>
      <c r="BN184" s="307"/>
      <c r="BO184" s="102"/>
      <c r="BP184" s="310"/>
      <c r="BQ184" s="307"/>
      <c r="BR184" s="307"/>
      <c r="BS184" s="102"/>
    </row>
    <row r="185" spans="1:71" s="5" customFormat="1">
      <c r="A185" s="12"/>
      <c r="B185" s="307"/>
      <c r="C185" s="307"/>
      <c r="D185" s="307"/>
      <c r="E185" s="307"/>
      <c r="F185" s="307"/>
      <c r="G185" s="307"/>
      <c r="H185" s="307"/>
      <c r="I185" s="39"/>
      <c r="J185" s="39"/>
      <c r="K185" s="39"/>
      <c r="L185" s="39"/>
      <c r="M185" s="39"/>
      <c r="N185" s="307"/>
      <c r="O185" s="307"/>
      <c r="P185" s="307"/>
      <c r="Q185" s="307"/>
      <c r="R185" s="307"/>
      <c r="S185" s="307"/>
      <c r="T185" s="307"/>
      <c r="U185" s="307"/>
      <c r="V185" s="307"/>
      <c r="X185" s="307"/>
      <c r="Y185" s="307"/>
      <c r="Z185" s="307"/>
      <c r="AA185" s="307"/>
      <c r="AB185" s="307"/>
      <c r="AC185" s="307"/>
      <c r="AD185" s="307"/>
      <c r="AE185" s="307"/>
      <c r="AF185" s="307"/>
      <c r="AG185" s="307"/>
      <c r="AH185" s="307"/>
      <c r="AI185" s="307"/>
      <c r="AJ185" s="307"/>
      <c r="AK185" s="307"/>
      <c r="AL185" s="307"/>
      <c r="AM185" s="307"/>
      <c r="AN185" s="307"/>
      <c r="AO185" s="307"/>
      <c r="AP185" s="307"/>
      <c r="AQ185" s="307"/>
      <c r="AR185" s="307"/>
      <c r="AS185" s="307"/>
      <c r="AT185" s="307"/>
      <c r="AU185" s="102"/>
      <c r="AV185" s="307"/>
      <c r="AW185" s="307"/>
      <c r="AX185" s="307"/>
      <c r="AY185" s="102"/>
      <c r="AZ185" s="39"/>
      <c r="BA185" s="104"/>
      <c r="BB185" s="39"/>
      <c r="BC185" s="104"/>
      <c r="BD185" s="39"/>
      <c r="BE185" s="39"/>
      <c r="BF185" s="39"/>
      <c r="BG185" s="104"/>
      <c r="BH185" s="39"/>
      <c r="BI185" s="39"/>
      <c r="BJ185" s="39"/>
      <c r="BK185" s="104"/>
      <c r="BL185" s="39"/>
      <c r="BM185" s="307"/>
      <c r="BN185" s="307"/>
      <c r="BO185" s="102"/>
      <c r="BP185" s="310"/>
      <c r="BQ185" s="307"/>
      <c r="BR185" s="307"/>
      <c r="BS185" s="102"/>
    </row>
    <row r="186" spans="1:71" s="5" customFormat="1">
      <c r="A186" s="12"/>
      <c r="B186" s="307"/>
      <c r="C186" s="307"/>
      <c r="D186" s="307"/>
      <c r="E186" s="307"/>
      <c r="F186" s="307"/>
      <c r="G186" s="307"/>
      <c r="H186" s="307"/>
      <c r="I186" s="39"/>
      <c r="J186" s="39"/>
      <c r="K186" s="39"/>
      <c r="L186" s="39"/>
      <c r="M186" s="39"/>
      <c r="N186" s="307"/>
      <c r="O186" s="307"/>
      <c r="P186" s="307"/>
      <c r="Q186" s="307"/>
      <c r="R186" s="307"/>
      <c r="S186" s="307"/>
      <c r="T186" s="307"/>
      <c r="U186" s="307"/>
      <c r="V186" s="307"/>
      <c r="X186" s="307"/>
      <c r="Y186" s="307"/>
      <c r="Z186" s="307"/>
      <c r="AA186" s="307"/>
      <c r="AB186" s="307"/>
      <c r="AC186" s="307"/>
      <c r="AD186" s="307"/>
      <c r="AE186" s="307"/>
      <c r="AF186" s="307"/>
      <c r="AG186" s="307"/>
      <c r="AH186" s="307"/>
      <c r="AI186" s="307"/>
      <c r="AJ186" s="307"/>
      <c r="AK186" s="307"/>
      <c r="AL186" s="307"/>
      <c r="AM186" s="307"/>
      <c r="AN186" s="307"/>
      <c r="AO186" s="307"/>
      <c r="AP186" s="307"/>
      <c r="AQ186" s="307"/>
      <c r="AR186" s="307"/>
      <c r="AS186" s="307"/>
      <c r="AT186" s="307"/>
      <c r="AU186" s="102"/>
      <c r="AV186" s="307"/>
      <c r="AW186" s="307"/>
      <c r="AX186" s="307"/>
      <c r="AY186" s="102"/>
      <c r="AZ186" s="39"/>
      <c r="BA186" s="104"/>
      <c r="BB186" s="39"/>
      <c r="BC186" s="104"/>
      <c r="BD186" s="39"/>
      <c r="BE186" s="39"/>
      <c r="BF186" s="39"/>
      <c r="BG186" s="104"/>
      <c r="BH186" s="39"/>
      <c r="BI186" s="39"/>
      <c r="BJ186" s="39"/>
      <c r="BK186" s="104"/>
      <c r="BL186" s="39"/>
      <c r="BM186" s="307"/>
      <c r="BN186" s="307"/>
      <c r="BO186" s="102"/>
      <c r="BP186" s="310"/>
      <c r="BQ186" s="307"/>
      <c r="BR186" s="307"/>
      <c r="BS186" s="102"/>
    </row>
    <row r="187" spans="1:71" s="5" customFormat="1">
      <c r="A187" s="12"/>
      <c r="B187" s="307"/>
      <c r="C187" s="307"/>
      <c r="D187" s="307"/>
      <c r="E187" s="307"/>
      <c r="F187" s="307"/>
      <c r="G187" s="307"/>
      <c r="H187" s="307"/>
      <c r="I187" s="39"/>
      <c r="J187" s="39"/>
      <c r="K187" s="39"/>
      <c r="L187" s="39"/>
      <c r="M187" s="39"/>
      <c r="N187" s="307"/>
      <c r="O187" s="307"/>
      <c r="P187" s="307"/>
      <c r="Q187" s="307"/>
      <c r="R187" s="307"/>
      <c r="S187" s="307"/>
      <c r="T187" s="307"/>
      <c r="U187" s="307"/>
      <c r="V187" s="307"/>
      <c r="X187" s="307"/>
      <c r="Y187" s="307"/>
      <c r="Z187" s="307"/>
      <c r="AA187" s="307"/>
      <c r="AB187" s="307"/>
      <c r="AC187" s="307"/>
      <c r="AD187" s="307"/>
      <c r="AE187" s="307"/>
      <c r="AF187" s="307"/>
      <c r="AG187" s="307"/>
      <c r="AH187" s="307"/>
      <c r="AI187" s="307"/>
      <c r="AJ187" s="307"/>
      <c r="AK187" s="307"/>
      <c r="AL187" s="307"/>
      <c r="AM187" s="307"/>
      <c r="AN187" s="307"/>
      <c r="AO187" s="307"/>
      <c r="AP187" s="307"/>
      <c r="AQ187" s="307"/>
      <c r="AR187" s="307"/>
      <c r="AS187" s="307"/>
      <c r="AT187" s="307"/>
      <c r="AU187" s="102"/>
      <c r="AV187" s="307"/>
      <c r="AW187" s="307"/>
      <c r="AX187" s="307"/>
      <c r="AY187" s="102"/>
      <c r="AZ187" s="39"/>
      <c r="BA187" s="104"/>
      <c r="BB187" s="39"/>
      <c r="BC187" s="104"/>
      <c r="BD187" s="39"/>
      <c r="BE187" s="39"/>
      <c r="BF187" s="39"/>
      <c r="BG187" s="104"/>
      <c r="BH187" s="39"/>
      <c r="BI187" s="39"/>
      <c r="BJ187" s="39"/>
      <c r="BK187" s="104"/>
      <c r="BL187" s="39"/>
      <c r="BM187" s="307"/>
      <c r="BN187" s="307"/>
      <c r="BO187" s="102"/>
      <c r="BP187" s="310"/>
      <c r="BQ187" s="307"/>
      <c r="BR187" s="307"/>
      <c r="BS187" s="102"/>
    </row>
    <row r="188" spans="1:71" s="5" customFormat="1">
      <c r="A188" s="12"/>
      <c r="B188" s="307"/>
      <c r="C188" s="307"/>
      <c r="D188" s="307"/>
      <c r="E188" s="307"/>
      <c r="F188" s="307"/>
      <c r="G188" s="307"/>
      <c r="H188" s="307"/>
      <c r="I188" s="39"/>
      <c r="J188" s="39"/>
      <c r="K188" s="39"/>
      <c r="L188" s="39"/>
      <c r="M188" s="39"/>
      <c r="N188" s="307"/>
      <c r="O188" s="307"/>
      <c r="P188" s="307"/>
      <c r="Q188" s="307"/>
      <c r="R188" s="307"/>
      <c r="S188" s="307"/>
      <c r="T188" s="307"/>
      <c r="U188" s="307"/>
      <c r="V188" s="307"/>
      <c r="X188" s="307"/>
      <c r="Y188" s="307"/>
      <c r="Z188" s="307"/>
      <c r="AA188" s="307"/>
      <c r="AB188" s="307"/>
      <c r="AC188" s="307"/>
      <c r="AD188" s="307"/>
      <c r="AE188" s="307"/>
      <c r="AF188" s="307"/>
      <c r="AG188" s="307"/>
      <c r="AH188" s="307"/>
      <c r="AI188" s="307"/>
      <c r="AJ188" s="307"/>
      <c r="AK188" s="307"/>
      <c r="AL188" s="307"/>
      <c r="AM188" s="307"/>
      <c r="AN188" s="307"/>
      <c r="AO188" s="307"/>
      <c r="AP188" s="307"/>
      <c r="AQ188" s="307"/>
      <c r="AR188" s="307"/>
      <c r="AS188" s="307"/>
      <c r="AT188" s="307"/>
      <c r="AU188" s="102"/>
      <c r="AV188" s="307"/>
      <c r="AW188" s="307"/>
      <c r="AX188" s="307"/>
      <c r="AY188" s="102"/>
      <c r="AZ188" s="39"/>
      <c r="BA188" s="104"/>
      <c r="BB188" s="39"/>
      <c r="BC188" s="104"/>
      <c r="BD188" s="39"/>
      <c r="BE188" s="39"/>
      <c r="BF188" s="39"/>
      <c r="BG188" s="104"/>
      <c r="BH188" s="39"/>
      <c r="BI188" s="39"/>
      <c r="BJ188" s="39"/>
      <c r="BK188" s="104"/>
      <c r="BL188" s="39"/>
      <c r="BM188" s="307"/>
      <c r="BN188" s="307"/>
      <c r="BO188" s="102"/>
      <c r="BP188" s="310"/>
      <c r="BQ188" s="307"/>
      <c r="BR188" s="307"/>
      <c r="BS188" s="102"/>
    </row>
    <row r="189" spans="1:71" s="5" customFormat="1">
      <c r="A189" s="12"/>
      <c r="B189" s="307"/>
      <c r="C189" s="307"/>
      <c r="D189" s="307"/>
      <c r="E189" s="307"/>
      <c r="F189" s="307"/>
      <c r="G189" s="307"/>
      <c r="H189" s="307"/>
      <c r="I189" s="39"/>
      <c r="J189" s="39"/>
      <c r="K189" s="39"/>
      <c r="L189" s="39"/>
      <c r="M189" s="39"/>
      <c r="N189" s="307"/>
      <c r="O189" s="307"/>
      <c r="P189" s="307"/>
      <c r="Q189" s="307"/>
      <c r="R189" s="307"/>
      <c r="S189" s="307"/>
      <c r="T189" s="307"/>
      <c r="U189" s="307"/>
      <c r="V189" s="307"/>
      <c r="X189" s="307"/>
      <c r="Y189" s="307"/>
      <c r="Z189" s="307"/>
      <c r="AA189" s="307"/>
      <c r="AB189" s="307"/>
      <c r="AC189" s="307"/>
      <c r="AD189" s="307"/>
      <c r="AE189" s="307"/>
      <c r="AF189" s="307"/>
      <c r="AG189" s="307"/>
      <c r="AH189" s="307"/>
      <c r="AI189" s="307"/>
      <c r="AJ189" s="307"/>
      <c r="AK189" s="307"/>
      <c r="AL189" s="307"/>
      <c r="AM189" s="307"/>
      <c r="AN189" s="307"/>
      <c r="AO189" s="307"/>
      <c r="AP189" s="307"/>
      <c r="AQ189" s="307"/>
      <c r="AR189" s="307"/>
      <c r="AS189" s="307"/>
      <c r="AT189" s="307"/>
      <c r="AU189" s="102"/>
      <c r="AV189" s="307"/>
      <c r="AW189" s="307"/>
      <c r="AX189" s="307"/>
      <c r="AY189" s="102"/>
      <c r="AZ189" s="39"/>
      <c r="BA189" s="104"/>
      <c r="BB189" s="39"/>
      <c r="BC189" s="104"/>
      <c r="BD189" s="39"/>
      <c r="BE189" s="39"/>
      <c r="BF189" s="39"/>
      <c r="BG189" s="104"/>
      <c r="BH189" s="39"/>
      <c r="BI189" s="39"/>
      <c r="BJ189" s="39"/>
      <c r="BK189" s="104"/>
      <c r="BL189" s="39"/>
      <c r="BM189" s="307"/>
      <c r="BN189" s="307"/>
      <c r="BO189" s="102"/>
      <c r="BP189" s="310"/>
      <c r="BQ189" s="307"/>
      <c r="BR189" s="307"/>
      <c r="BS189" s="102"/>
    </row>
    <row r="190" spans="1:71" s="5" customFormat="1">
      <c r="A190" s="12"/>
      <c r="B190" s="307"/>
      <c r="C190" s="307"/>
      <c r="D190" s="307"/>
      <c r="E190" s="307"/>
      <c r="F190" s="307"/>
      <c r="G190" s="307"/>
      <c r="H190" s="307"/>
      <c r="I190" s="39"/>
      <c r="J190" s="39"/>
      <c r="K190" s="39"/>
      <c r="L190" s="39"/>
      <c r="M190" s="39"/>
      <c r="N190" s="307"/>
      <c r="O190" s="307"/>
      <c r="P190" s="307"/>
      <c r="Q190" s="307"/>
      <c r="R190" s="307"/>
      <c r="S190" s="307"/>
      <c r="T190" s="307"/>
      <c r="U190" s="307"/>
      <c r="V190" s="307"/>
      <c r="X190" s="307"/>
      <c r="Y190" s="307"/>
      <c r="Z190" s="307"/>
      <c r="AA190" s="307"/>
      <c r="AB190" s="307"/>
      <c r="AC190" s="307"/>
      <c r="AD190" s="307"/>
      <c r="AE190" s="307"/>
      <c r="AF190" s="307"/>
      <c r="AG190" s="307"/>
      <c r="AH190" s="307"/>
      <c r="AI190" s="307"/>
      <c r="AJ190" s="307"/>
      <c r="AK190" s="307"/>
      <c r="AL190" s="307"/>
      <c r="AM190" s="307"/>
      <c r="AN190" s="307"/>
      <c r="AO190" s="307"/>
      <c r="AP190" s="307"/>
      <c r="AQ190" s="307"/>
      <c r="AR190" s="307"/>
      <c r="AS190" s="307"/>
      <c r="AT190" s="307"/>
      <c r="AU190" s="102"/>
      <c r="AV190" s="307"/>
      <c r="AW190" s="307"/>
      <c r="AX190" s="307"/>
      <c r="AY190" s="102"/>
      <c r="AZ190" s="39"/>
      <c r="BA190" s="104"/>
      <c r="BB190" s="39"/>
      <c r="BC190" s="104"/>
      <c r="BD190" s="39"/>
      <c r="BE190" s="39"/>
      <c r="BF190" s="39"/>
      <c r="BG190" s="104"/>
      <c r="BH190" s="39"/>
      <c r="BI190" s="39"/>
      <c r="BJ190" s="39"/>
      <c r="BK190" s="104"/>
      <c r="BL190" s="39"/>
      <c r="BM190" s="307"/>
      <c r="BN190" s="307"/>
      <c r="BO190" s="102"/>
      <c r="BP190" s="310"/>
      <c r="BQ190" s="307"/>
      <c r="BR190" s="307"/>
      <c r="BS190" s="102"/>
    </row>
    <row r="191" spans="1:71" s="5" customFormat="1">
      <c r="A191" s="12"/>
      <c r="B191" s="307"/>
      <c r="C191" s="307"/>
      <c r="D191" s="307"/>
      <c r="E191" s="307"/>
      <c r="F191" s="307"/>
      <c r="G191" s="307"/>
      <c r="H191" s="307"/>
      <c r="I191" s="39"/>
      <c r="J191" s="39"/>
      <c r="K191" s="39"/>
      <c r="L191" s="39"/>
      <c r="M191" s="39"/>
      <c r="N191" s="307"/>
      <c r="O191" s="307"/>
      <c r="P191" s="307"/>
      <c r="Q191" s="307"/>
      <c r="R191" s="307"/>
      <c r="S191" s="307"/>
      <c r="T191" s="307"/>
      <c r="U191" s="307"/>
      <c r="V191" s="307"/>
      <c r="X191" s="307"/>
      <c r="Y191" s="307"/>
      <c r="Z191" s="307"/>
      <c r="AA191" s="307"/>
      <c r="AB191" s="307"/>
      <c r="AC191" s="307"/>
      <c r="AD191" s="307"/>
      <c r="AE191" s="307"/>
      <c r="AF191" s="307"/>
      <c r="AG191" s="307"/>
      <c r="AH191" s="307"/>
      <c r="AI191" s="307"/>
      <c r="AJ191" s="307"/>
      <c r="AK191" s="307"/>
      <c r="AL191" s="307"/>
      <c r="AM191" s="307"/>
      <c r="AN191" s="307"/>
      <c r="AO191" s="307"/>
      <c r="AP191" s="307"/>
      <c r="AQ191" s="307"/>
      <c r="AR191" s="307"/>
      <c r="AS191" s="307"/>
      <c r="AT191" s="307"/>
      <c r="AU191" s="102"/>
      <c r="AV191" s="307"/>
      <c r="AW191" s="307"/>
      <c r="AX191" s="307"/>
      <c r="AY191" s="102"/>
      <c r="AZ191" s="39"/>
      <c r="BA191" s="104"/>
      <c r="BB191" s="39"/>
      <c r="BC191" s="104"/>
      <c r="BD191" s="39"/>
      <c r="BE191" s="39"/>
      <c r="BF191" s="39"/>
      <c r="BG191" s="104"/>
      <c r="BH191" s="39"/>
      <c r="BI191" s="39"/>
      <c r="BJ191" s="39"/>
      <c r="BK191" s="104"/>
      <c r="BL191" s="39"/>
      <c r="BM191" s="307"/>
      <c r="BN191" s="307"/>
      <c r="BO191" s="102"/>
      <c r="BP191" s="310"/>
      <c r="BQ191" s="307"/>
      <c r="BR191" s="307"/>
      <c r="BS191" s="102"/>
    </row>
    <row r="192" spans="1:71" s="5" customFormat="1">
      <c r="A192" s="12"/>
      <c r="B192" s="307"/>
      <c r="C192" s="307"/>
      <c r="D192" s="307"/>
      <c r="E192" s="307"/>
      <c r="F192" s="307"/>
      <c r="G192" s="307"/>
      <c r="H192" s="307"/>
      <c r="I192" s="39"/>
      <c r="J192" s="39"/>
      <c r="K192" s="39"/>
      <c r="L192" s="39"/>
      <c r="M192" s="39"/>
      <c r="N192" s="307"/>
      <c r="O192" s="307"/>
      <c r="P192" s="307"/>
      <c r="Q192" s="307"/>
      <c r="R192" s="307"/>
      <c r="S192" s="307"/>
      <c r="T192" s="307"/>
      <c r="U192" s="307"/>
      <c r="V192" s="307"/>
      <c r="X192" s="307"/>
      <c r="Y192" s="307"/>
      <c r="Z192" s="307"/>
      <c r="AA192" s="307"/>
      <c r="AB192" s="307"/>
      <c r="AC192" s="307"/>
      <c r="AD192" s="307"/>
      <c r="AE192" s="307"/>
      <c r="AF192" s="307"/>
      <c r="AG192" s="307"/>
      <c r="AH192" s="307"/>
      <c r="AI192" s="307"/>
      <c r="AJ192" s="307"/>
      <c r="AK192" s="307"/>
      <c r="AL192" s="307"/>
      <c r="AM192" s="307"/>
      <c r="AN192" s="307"/>
      <c r="AO192" s="307"/>
      <c r="AP192" s="307"/>
      <c r="AQ192" s="307"/>
      <c r="AR192" s="307"/>
      <c r="AS192" s="307"/>
      <c r="AT192" s="307"/>
      <c r="AU192" s="102"/>
      <c r="AV192" s="307"/>
      <c r="AW192" s="307"/>
      <c r="AX192" s="307"/>
      <c r="AY192" s="102"/>
      <c r="AZ192" s="39"/>
      <c r="BA192" s="104"/>
      <c r="BB192" s="39"/>
      <c r="BC192" s="104"/>
      <c r="BD192" s="39"/>
      <c r="BE192" s="39"/>
      <c r="BF192" s="39"/>
      <c r="BG192" s="104"/>
      <c r="BH192" s="39"/>
      <c r="BI192" s="39"/>
      <c r="BJ192" s="39"/>
      <c r="BK192" s="104"/>
      <c r="BL192" s="39"/>
      <c r="BM192" s="307"/>
      <c r="BN192" s="307"/>
      <c r="BO192" s="102"/>
      <c r="BP192" s="310"/>
      <c r="BQ192" s="307"/>
      <c r="BR192" s="307"/>
      <c r="BS192" s="102"/>
    </row>
    <row r="193" spans="1:71" s="5" customFormat="1">
      <c r="A193" s="12"/>
      <c r="B193" s="307"/>
      <c r="C193" s="307"/>
      <c r="D193" s="307"/>
      <c r="E193" s="307"/>
      <c r="F193" s="307"/>
      <c r="G193" s="307"/>
      <c r="H193" s="307"/>
      <c r="I193" s="39"/>
      <c r="J193" s="39"/>
      <c r="K193" s="39"/>
      <c r="L193" s="39"/>
      <c r="M193" s="39"/>
      <c r="N193" s="307"/>
      <c r="O193" s="307"/>
      <c r="P193" s="307"/>
      <c r="Q193" s="307"/>
      <c r="R193" s="307"/>
      <c r="S193" s="307"/>
      <c r="T193" s="307"/>
      <c r="U193" s="307"/>
      <c r="V193" s="307"/>
      <c r="X193" s="307"/>
      <c r="Y193" s="307"/>
      <c r="Z193" s="307"/>
      <c r="AA193" s="307"/>
      <c r="AB193" s="307"/>
      <c r="AC193" s="307"/>
      <c r="AD193" s="307"/>
      <c r="AE193" s="307"/>
      <c r="AF193" s="307"/>
      <c r="AG193" s="307"/>
      <c r="AH193" s="307"/>
      <c r="AI193" s="307"/>
      <c r="AJ193" s="307"/>
      <c r="AK193" s="307"/>
      <c r="AL193" s="307"/>
      <c r="AM193" s="307"/>
      <c r="AN193" s="307"/>
      <c r="AO193" s="307"/>
      <c r="AP193" s="307"/>
      <c r="AQ193" s="307"/>
      <c r="AR193" s="307"/>
      <c r="AS193" s="307"/>
      <c r="AT193" s="307"/>
      <c r="AU193" s="102"/>
      <c r="AV193" s="307"/>
      <c r="AW193" s="307"/>
      <c r="AX193" s="307"/>
      <c r="AY193" s="102"/>
      <c r="AZ193" s="39"/>
      <c r="BA193" s="104"/>
      <c r="BB193" s="39"/>
      <c r="BC193" s="104"/>
      <c r="BD193" s="39"/>
      <c r="BE193" s="39"/>
      <c r="BF193" s="39"/>
      <c r="BG193" s="104"/>
      <c r="BH193" s="39"/>
      <c r="BI193" s="39"/>
      <c r="BJ193" s="39"/>
      <c r="BK193" s="104"/>
      <c r="BL193" s="39"/>
      <c r="BM193" s="307"/>
      <c r="BN193" s="307"/>
      <c r="BO193" s="102"/>
      <c r="BP193" s="310"/>
      <c r="BQ193" s="307"/>
      <c r="BR193" s="307"/>
      <c r="BS193" s="102"/>
    </row>
    <row r="194" spans="1:71" s="5" customFormat="1">
      <c r="A194" s="12"/>
      <c r="B194" s="307"/>
      <c r="C194" s="307"/>
      <c r="D194" s="307"/>
      <c r="E194" s="307"/>
      <c r="F194" s="307"/>
      <c r="G194" s="307"/>
      <c r="H194" s="307"/>
      <c r="I194" s="39"/>
      <c r="J194" s="39"/>
      <c r="K194" s="39"/>
      <c r="L194" s="39"/>
      <c r="M194" s="39"/>
      <c r="N194" s="307"/>
      <c r="O194" s="307"/>
      <c r="P194" s="307"/>
      <c r="Q194" s="307"/>
      <c r="R194" s="307"/>
      <c r="S194" s="307"/>
      <c r="T194" s="307"/>
      <c r="U194" s="307"/>
      <c r="V194" s="307"/>
      <c r="X194" s="307"/>
      <c r="Y194" s="307"/>
      <c r="Z194" s="307"/>
      <c r="AA194" s="307"/>
      <c r="AB194" s="307"/>
      <c r="AC194" s="307"/>
      <c r="AD194" s="307"/>
      <c r="AE194" s="307"/>
      <c r="AF194" s="307"/>
      <c r="AG194" s="307"/>
      <c r="AH194" s="307"/>
      <c r="AI194" s="307"/>
      <c r="AJ194" s="307"/>
      <c r="AK194" s="307"/>
      <c r="AL194" s="307"/>
      <c r="AM194" s="307"/>
      <c r="AN194" s="307"/>
      <c r="AO194" s="307"/>
      <c r="AP194" s="307"/>
      <c r="AQ194" s="307"/>
      <c r="AR194" s="307"/>
      <c r="AS194" s="307"/>
      <c r="AT194" s="307"/>
      <c r="AU194" s="102"/>
      <c r="AV194" s="307"/>
      <c r="AW194" s="307"/>
      <c r="AX194" s="307"/>
      <c r="AY194" s="102"/>
      <c r="AZ194" s="39"/>
      <c r="BA194" s="104"/>
      <c r="BB194" s="39"/>
      <c r="BC194" s="104"/>
      <c r="BD194" s="39"/>
      <c r="BE194" s="39"/>
      <c r="BF194" s="39"/>
      <c r="BG194" s="104"/>
      <c r="BH194" s="39"/>
      <c r="BI194" s="39"/>
      <c r="BJ194" s="39"/>
      <c r="BK194" s="104"/>
      <c r="BL194" s="39"/>
      <c r="BM194" s="307"/>
      <c r="BN194" s="307"/>
      <c r="BO194" s="102"/>
      <c r="BP194" s="310"/>
      <c r="BQ194" s="307"/>
      <c r="BR194" s="307"/>
      <c r="BS194" s="102"/>
    </row>
    <row r="195" spans="1:71" s="5" customFormat="1">
      <c r="A195" s="12"/>
      <c r="B195" s="307"/>
      <c r="C195" s="307"/>
      <c r="D195" s="307"/>
      <c r="E195" s="307"/>
      <c r="F195" s="307"/>
      <c r="G195" s="307"/>
      <c r="H195" s="307"/>
      <c r="I195" s="39"/>
      <c r="J195" s="39"/>
      <c r="K195" s="39"/>
      <c r="L195" s="39"/>
      <c r="M195" s="39"/>
      <c r="N195" s="307"/>
      <c r="O195" s="307"/>
      <c r="P195" s="307"/>
      <c r="Q195" s="307"/>
      <c r="R195" s="307"/>
      <c r="S195" s="307"/>
      <c r="T195" s="307"/>
      <c r="U195" s="307"/>
      <c r="V195" s="307"/>
      <c r="X195" s="307"/>
      <c r="Y195" s="307"/>
      <c r="Z195" s="307"/>
      <c r="AA195" s="307"/>
      <c r="AB195" s="307"/>
      <c r="AC195" s="307"/>
      <c r="AD195" s="307"/>
      <c r="AE195" s="307"/>
      <c r="AF195" s="307"/>
      <c r="AG195" s="307"/>
      <c r="AH195" s="307"/>
      <c r="AI195" s="307"/>
      <c r="AJ195" s="307"/>
      <c r="AK195" s="307"/>
      <c r="AL195" s="307"/>
      <c r="AM195" s="307"/>
      <c r="AN195" s="307"/>
      <c r="AO195" s="307"/>
      <c r="AP195" s="307"/>
      <c r="AQ195" s="307"/>
      <c r="AR195" s="307"/>
      <c r="AS195" s="307"/>
      <c r="AT195" s="307"/>
      <c r="AU195" s="102"/>
      <c r="AV195" s="307"/>
      <c r="AW195" s="307"/>
      <c r="AX195" s="307"/>
      <c r="AY195" s="102"/>
      <c r="AZ195" s="39"/>
      <c r="BA195" s="104"/>
      <c r="BB195" s="39"/>
      <c r="BC195" s="104"/>
      <c r="BD195" s="39"/>
      <c r="BE195" s="39"/>
      <c r="BF195" s="39"/>
      <c r="BG195" s="104"/>
      <c r="BH195" s="39"/>
      <c r="BI195" s="39"/>
      <c r="BJ195" s="39"/>
      <c r="BK195" s="104"/>
      <c r="BL195" s="39"/>
      <c r="BM195" s="307"/>
      <c r="BN195" s="307"/>
      <c r="BO195" s="102"/>
      <c r="BP195" s="310"/>
      <c r="BQ195" s="307"/>
      <c r="BR195" s="307"/>
      <c r="BS195" s="102"/>
    </row>
    <row r="196" spans="1:71" s="5" customFormat="1">
      <c r="A196" s="12"/>
      <c r="B196" s="307"/>
      <c r="C196" s="307"/>
      <c r="D196" s="307"/>
      <c r="E196" s="307"/>
      <c r="F196" s="307"/>
      <c r="G196" s="307"/>
      <c r="H196" s="307"/>
      <c r="I196" s="39"/>
      <c r="J196" s="39"/>
      <c r="K196" s="39"/>
      <c r="L196" s="39"/>
      <c r="M196" s="39"/>
      <c r="N196" s="307"/>
      <c r="O196" s="307"/>
      <c r="P196" s="307"/>
      <c r="Q196" s="307"/>
      <c r="R196" s="307"/>
      <c r="S196" s="307"/>
      <c r="T196" s="307"/>
      <c r="U196" s="307"/>
      <c r="V196" s="307"/>
      <c r="X196" s="307"/>
      <c r="Y196" s="307"/>
      <c r="Z196" s="307"/>
      <c r="AA196" s="307"/>
      <c r="AB196" s="307"/>
      <c r="AC196" s="307"/>
      <c r="AD196" s="307"/>
      <c r="AE196" s="307"/>
      <c r="AF196" s="307"/>
      <c r="AG196" s="307"/>
      <c r="AH196" s="307"/>
      <c r="AI196" s="307"/>
      <c r="AJ196" s="307"/>
      <c r="AK196" s="307"/>
      <c r="AL196" s="307"/>
      <c r="AM196" s="307"/>
      <c r="AN196" s="307"/>
      <c r="AO196" s="307"/>
      <c r="AP196" s="307"/>
      <c r="AQ196" s="307"/>
      <c r="AR196" s="307"/>
      <c r="AS196" s="307"/>
      <c r="AT196" s="307"/>
      <c r="AU196" s="102"/>
      <c r="AV196" s="307"/>
      <c r="AW196" s="307"/>
      <c r="AX196" s="307"/>
      <c r="AY196" s="102"/>
      <c r="AZ196" s="39"/>
      <c r="BA196" s="104"/>
      <c r="BB196" s="39"/>
      <c r="BC196" s="104"/>
      <c r="BD196" s="39"/>
      <c r="BE196" s="39"/>
      <c r="BF196" s="39"/>
      <c r="BG196" s="104"/>
      <c r="BH196" s="39"/>
      <c r="BI196" s="39"/>
      <c r="BJ196" s="39"/>
      <c r="BK196" s="104"/>
      <c r="BL196" s="39"/>
      <c r="BM196" s="307"/>
      <c r="BN196" s="307"/>
      <c r="BO196" s="102"/>
      <c r="BP196" s="310"/>
      <c r="BQ196" s="307"/>
      <c r="BR196" s="307"/>
      <c r="BS196" s="102"/>
    </row>
    <row r="197" spans="1:71" s="5" customFormat="1">
      <c r="A197" s="12"/>
      <c r="B197" s="307"/>
      <c r="C197" s="307"/>
      <c r="D197" s="307"/>
      <c r="E197" s="307"/>
      <c r="F197" s="307"/>
      <c r="G197" s="307"/>
      <c r="H197" s="307"/>
      <c r="I197" s="39"/>
      <c r="J197" s="39"/>
      <c r="K197" s="39"/>
      <c r="L197" s="39"/>
      <c r="M197" s="39"/>
      <c r="N197" s="307"/>
      <c r="O197" s="307"/>
      <c r="P197" s="307"/>
      <c r="Q197" s="307"/>
      <c r="R197" s="307"/>
      <c r="S197" s="307"/>
      <c r="T197" s="307"/>
      <c r="U197" s="307"/>
      <c r="V197" s="307"/>
      <c r="X197" s="307"/>
      <c r="Y197" s="307"/>
      <c r="Z197" s="307"/>
      <c r="AA197" s="307"/>
      <c r="AB197" s="307"/>
      <c r="AC197" s="307"/>
      <c r="AD197" s="307"/>
      <c r="AE197" s="307"/>
      <c r="AF197" s="307"/>
      <c r="AG197" s="307"/>
      <c r="AH197" s="307"/>
      <c r="AI197" s="307"/>
      <c r="AJ197" s="307"/>
      <c r="AK197" s="307"/>
      <c r="AL197" s="307"/>
      <c r="AM197" s="307"/>
      <c r="AN197" s="307"/>
      <c r="AO197" s="307"/>
      <c r="AP197" s="307"/>
      <c r="AQ197" s="307"/>
      <c r="AR197" s="307"/>
      <c r="AS197" s="307"/>
      <c r="AT197" s="307"/>
      <c r="AU197" s="102"/>
      <c r="AV197" s="307"/>
      <c r="AW197" s="307"/>
      <c r="AX197" s="307"/>
      <c r="AY197" s="102"/>
      <c r="AZ197" s="39"/>
      <c r="BA197" s="104"/>
      <c r="BB197" s="39"/>
      <c r="BC197" s="104"/>
      <c r="BD197" s="39"/>
      <c r="BE197" s="39"/>
      <c r="BF197" s="39"/>
      <c r="BG197" s="104"/>
      <c r="BH197" s="39"/>
      <c r="BI197" s="39"/>
      <c r="BJ197" s="39"/>
      <c r="BK197" s="104"/>
      <c r="BL197" s="39"/>
      <c r="BM197" s="307"/>
      <c r="BN197" s="307"/>
      <c r="BO197" s="102"/>
      <c r="BP197" s="310"/>
      <c r="BQ197" s="307"/>
      <c r="BR197" s="307"/>
      <c r="BS197" s="102"/>
    </row>
    <row r="198" spans="1:71" s="5" customFormat="1">
      <c r="A198" s="12"/>
      <c r="B198" s="307"/>
      <c r="C198" s="307"/>
      <c r="D198" s="307"/>
      <c r="E198" s="307"/>
      <c r="F198" s="307"/>
      <c r="G198" s="307"/>
      <c r="H198" s="307"/>
      <c r="I198" s="39"/>
      <c r="J198" s="39"/>
      <c r="K198" s="39"/>
      <c r="L198" s="39"/>
      <c r="M198" s="39"/>
      <c r="N198" s="307"/>
      <c r="O198" s="307"/>
      <c r="P198" s="307"/>
      <c r="Q198" s="307"/>
      <c r="R198" s="307"/>
      <c r="S198" s="307"/>
      <c r="T198" s="307"/>
      <c r="U198" s="307"/>
      <c r="V198" s="307"/>
      <c r="X198" s="307"/>
      <c r="Y198" s="307"/>
      <c r="Z198" s="307"/>
      <c r="AA198" s="307"/>
      <c r="AB198" s="307"/>
      <c r="AC198" s="307"/>
      <c r="AD198" s="307"/>
      <c r="AE198" s="307"/>
      <c r="AF198" s="307"/>
      <c r="AG198" s="307"/>
      <c r="AH198" s="307"/>
      <c r="AI198" s="307"/>
      <c r="AJ198" s="307"/>
      <c r="AK198" s="307"/>
      <c r="AL198" s="307"/>
      <c r="AM198" s="307"/>
      <c r="AN198" s="307"/>
      <c r="AO198" s="307"/>
      <c r="AP198" s="307"/>
      <c r="AQ198" s="307"/>
      <c r="AR198" s="307"/>
      <c r="AS198" s="307"/>
      <c r="AT198" s="307"/>
      <c r="AU198" s="102"/>
      <c r="AV198" s="307"/>
      <c r="AW198" s="307"/>
      <c r="AX198" s="307"/>
      <c r="AY198" s="102"/>
      <c r="AZ198" s="39"/>
      <c r="BA198" s="104"/>
      <c r="BB198" s="39"/>
      <c r="BC198" s="104"/>
      <c r="BD198" s="39"/>
      <c r="BE198" s="39"/>
      <c r="BF198" s="39"/>
      <c r="BG198" s="104"/>
      <c r="BH198" s="39"/>
      <c r="BI198" s="39"/>
      <c r="BJ198" s="39"/>
      <c r="BK198" s="104"/>
      <c r="BL198" s="39"/>
      <c r="BM198" s="307"/>
      <c r="BN198" s="307"/>
      <c r="BO198" s="102"/>
      <c r="BP198" s="310"/>
      <c r="BQ198" s="307"/>
      <c r="BR198" s="307"/>
      <c r="BS198" s="102"/>
    </row>
    <row r="199" spans="1:71" s="5" customFormat="1">
      <c r="A199" s="12"/>
      <c r="B199" s="307"/>
      <c r="C199" s="307"/>
      <c r="D199" s="307"/>
      <c r="E199" s="307"/>
      <c r="F199" s="307"/>
      <c r="G199" s="307"/>
      <c r="H199" s="307"/>
      <c r="I199" s="39"/>
      <c r="J199" s="39"/>
      <c r="K199" s="39"/>
      <c r="L199" s="39"/>
      <c r="M199" s="39"/>
      <c r="N199" s="307"/>
      <c r="O199" s="307"/>
      <c r="P199" s="307"/>
      <c r="Q199" s="307"/>
      <c r="R199" s="307"/>
      <c r="S199" s="307"/>
      <c r="T199" s="307"/>
      <c r="U199" s="307"/>
      <c r="V199" s="307"/>
      <c r="X199" s="307"/>
      <c r="Y199" s="307"/>
      <c r="Z199" s="307"/>
      <c r="AA199" s="307"/>
      <c r="AB199" s="307"/>
      <c r="AC199" s="307"/>
      <c r="AD199" s="307"/>
      <c r="AE199" s="307"/>
      <c r="AF199" s="307"/>
      <c r="AG199" s="307"/>
      <c r="AH199" s="307"/>
      <c r="AI199" s="307"/>
      <c r="AJ199" s="307"/>
      <c r="AK199" s="307"/>
      <c r="AL199" s="307"/>
      <c r="AM199" s="307"/>
      <c r="AN199" s="307"/>
      <c r="AO199" s="307"/>
      <c r="AP199" s="307"/>
      <c r="AQ199" s="307"/>
      <c r="AR199" s="307"/>
      <c r="AS199" s="307"/>
      <c r="AT199" s="307"/>
      <c r="AU199" s="102"/>
      <c r="AV199" s="307"/>
      <c r="AW199" s="307"/>
      <c r="AX199" s="307"/>
      <c r="AY199" s="102"/>
      <c r="AZ199" s="39"/>
      <c r="BA199" s="104"/>
      <c r="BB199" s="39"/>
      <c r="BC199" s="104"/>
      <c r="BD199" s="39"/>
      <c r="BE199" s="39"/>
      <c r="BF199" s="39"/>
      <c r="BG199" s="104"/>
      <c r="BH199" s="39"/>
      <c r="BI199" s="39"/>
      <c r="BJ199" s="39"/>
      <c r="BK199" s="104"/>
      <c r="BL199" s="39"/>
      <c r="BM199" s="307"/>
      <c r="BN199" s="307"/>
      <c r="BO199" s="102"/>
      <c r="BP199" s="310"/>
      <c r="BQ199" s="307"/>
      <c r="BR199" s="307"/>
      <c r="BS199" s="102"/>
    </row>
    <row r="200" spans="1:71" s="5" customFormat="1">
      <c r="A200" s="12"/>
      <c r="B200" s="307"/>
      <c r="C200" s="307"/>
      <c r="D200" s="307"/>
      <c r="E200" s="307"/>
      <c r="F200" s="307"/>
      <c r="G200" s="307"/>
      <c r="H200" s="307"/>
      <c r="I200" s="39"/>
      <c r="J200" s="39"/>
      <c r="K200" s="39"/>
      <c r="L200" s="39"/>
      <c r="M200" s="39"/>
      <c r="N200" s="307"/>
      <c r="O200" s="307"/>
      <c r="P200" s="307"/>
      <c r="Q200" s="307"/>
      <c r="R200" s="307"/>
      <c r="S200" s="307"/>
      <c r="T200" s="307"/>
      <c r="U200" s="307"/>
      <c r="V200" s="307"/>
      <c r="X200" s="307"/>
      <c r="Y200" s="307"/>
      <c r="Z200" s="307"/>
      <c r="AA200" s="307"/>
      <c r="AB200" s="307"/>
      <c r="AC200" s="307"/>
      <c r="AD200" s="307"/>
      <c r="AE200" s="307"/>
      <c r="AF200" s="307"/>
      <c r="AG200" s="307"/>
      <c r="AH200" s="307"/>
      <c r="AI200" s="307"/>
      <c r="AJ200" s="307"/>
      <c r="AK200" s="307"/>
      <c r="AL200" s="307"/>
      <c r="AM200" s="307"/>
      <c r="AN200" s="307"/>
      <c r="AO200" s="307"/>
      <c r="AP200" s="307"/>
      <c r="AQ200" s="307"/>
      <c r="AR200" s="307"/>
      <c r="AS200" s="307"/>
      <c r="AT200" s="307"/>
      <c r="AU200" s="102"/>
      <c r="AV200" s="307"/>
      <c r="AW200" s="307"/>
      <c r="AX200" s="307"/>
      <c r="AY200" s="102"/>
      <c r="AZ200" s="39"/>
      <c r="BA200" s="104"/>
      <c r="BB200" s="39"/>
      <c r="BC200" s="104"/>
      <c r="BD200" s="39"/>
      <c r="BE200" s="39"/>
      <c r="BF200" s="39"/>
      <c r="BG200" s="104"/>
      <c r="BH200" s="39"/>
      <c r="BI200" s="39"/>
      <c r="BJ200" s="39"/>
      <c r="BK200" s="104"/>
      <c r="BL200" s="39"/>
      <c r="BM200" s="307"/>
      <c r="BN200" s="307"/>
      <c r="BO200" s="102"/>
      <c r="BP200" s="310"/>
      <c r="BQ200" s="307"/>
      <c r="BR200" s="307"/>
      <c r="BS200" s="102"/>
    </row>
    <row r="201" spans="1:71" s="5" customFormat="1">
      <c r="A201" s="12"/>
      <c r="B201" s="307"/>
      <c r="C201" s="307"/>
      <c r="D201" s="307"/>
      <c r="E201" s="307"/>
      <c r="F201" s="307"/>
      <c r="G201" s="307"/>
      <c r="H201" s="307"/>
      <c r="I201" s="39"/>
      <c r="J201" s="39"/>
      <c r="K201" s="39"/>
      <c r="L201" s="39"/>
      <c r="M201" s="39"/>
      <c r="N201" s="307"/>
      <c r="O201" s="307"/>
      <c r="P201" s="307"/>
      <c r="Q201" s="307"/>
      <c r="R201" s="307"/>
      <c r="S201" s="307"/>
      <c r="T201" s="307"/>
      <c r="U201" s="307"/>
      <c r="V201" s="307"/>
      <c r="X201" s="307"/>
      <c r="Y201" s="307"/>
      <c r="Z201" s="307"/>
      <c r="AA201" s="307"/>
      <c r="AB201" s="307"/>
      <c r="AC201" s="307"/>
      <c r="AD201" s="307"/>
      <c r="AE201" s="307"/>
      <c r="AF201" s="307"/>
      <c r="AG201" s="307"/>
      <c r="AH201" s="307"/>
      <c r="AI201" s="307"/>
      <c r="AJ201" s="307"/>
      <c r="AK201" s="307"/>
      <c r="AL201" s="307"/>
      <c r="AM201" s="307"/>
      <c r="AN201" s="307"/>
      <c r="AO201" s="307"/>
      <c r="AP201" s="307"/>
      <c r="AQ201" s="307"/>
      <c r="AR201" s="307"/>
      <c r="AS201" s="307"/>
      <c r="AT201" s="307"/>
      <c r="AU201" s="102"/>
      <c r="AV201" s="307"/>
      <c r="AW201" s="307"/>
      <c r="AX201" s="307"/>
      <c r="AY201" s="102"/>
      <c r="AZ201" s="39"/>
      <c r="BA201" s="104"/>
      <c r="BB201" s="39"/>
      <c r="BC201" s="104"/>
      <c r="BD201" s="39"/>
      <c r="BE201" s="39"/>
      <c r="BF201" s="39"/>
      <c r="BG201" s="104"/>
      <c r="BH201" s="39"/>
      <c r="BI201" s="39"/>
      <c r="BJ201" s="39"/>
      <c r="BK201" s="104"/>
      <c r="BL201" s="39"/>
      <c r="BM201" s="307"/>
      <c r="BN201" s="307"/>
      <c r="BO201" s="102"/>
      <c r="BP201" s="310"/>
      <c r="BQ201" s="307"/>
      <c r="BR201" s="307"/>
      <c r="BS201" s="102"/>
    </row>
    <row r="202" spans="1:71" s="5" customFormat="1">
      <c r="A202" s="12"/>
      <c r="B202" s="307"/>
      <c r="C202" s="307"/>
      <c r="D202" s="307"/>
      <c r="E202" s="307"/>
      <c r="F202" s="307"/>
      <c r="G202" s="307"/>
      <c r="H202" s="307"/>
      <c r="I202" s="39"/>
      <c r="J202" s="39"/>
      <c r="K202" s="39"/>
      <c r="L202" s="39"/>
      <c r="M202" s="39"/>
      <c r="N202" s="307"/>
      <c r="O202" s="307"/>
      <c r="P202" s="307"/>
      <c r="Q202" s="307"/>
      <c r="R202" s="307"/>
      <c r="S202" s="307"/>
      <c r="T202" s="307"/>
      <c r="U202" s="307"/>
      <c r="V202" s="307"/>
      <c r="X202" s="307"/>
      <c r="Y202" s="307"/>
      <c r="Z202" s="307"/>
      <c r="AA202" s="307"/>
      <c r="AB202" s="307"/>
      <c r="AC202" s="307"/>
      <c r="AD202" s="307"/>
      <c r="AE202" s="307"/>
      <c r="AF202" s="307"/>
      <c r="AG202" s="307"/>
      <c r="AH202" s="307"/>
      <c r="AI202" s="307"/>
      <c r="AJ202" s="307"/>
      <c r="AK202" s="307"/>
      <c r="AL202" s="307"/>
      <c r="AM202" s="307"/>
      <c r="AN202" s="307"/>
      <c r="AO202" s="307"/>
      <c r="AP202" s="307"/>
      <c r="AQ202" s="307"/>
      <c r="AR202" s="307"/>
      <c r="AS202" s="307"/>
      <c r="AT202" s="307"/>
      <c r="AU202" s="102"/>
      <c r="AV202" s="307"/>
      <c r="AW202" s="307"/>
      <c r="AX202" s="307"/>
      <c r="AY202" s="102"/>
      <c r="AZ202" s="39"/>
      <c r="BA202" s="104"/>
      <c r="BB202" s="39"/>
      <c r="BC202" s="104"/>
      <c r="BD202" s="39"/>
      <c r="BE202" s="39"/>
      <c r="BF202" s="39"/>
      <c r="BG202" s="104"/>
      <c r="BH202" s="39"/>
      <c r="BI202" s="39"/>
      <c r="BJ202" s="39"/>
      <c r="BK202" s="104"/>
      <c r="BL202" s="39"/>
      <c r="BM202" s="307"/>
      <c r="BN202" s="307"/>
      <c r="BO202" s="102"/>
      <c r="BP202" s="310"/>
      <c r="BQ202" s="307"/>
      <c r="BR202" s="307"/>
      <c r="BS202" s="102"/>
    </row>
    <row r="203" spans="1:71" s="5" customFormat="1">
      <c r="A203" s="12"/>
      <c r="B203" s="307"/>
      <c r="C203" s="307"/>
      <c r="D203" s="307"/>
      <c r="E203" s="307"/>
      <c r="F203" s="307"/>
      <c r="G203" s="307"/>
      <c r="H203" s="307"/>
      <c r="I203" s="39"/>
      <c r="J203" s="39"/>
      <c r="K203" s="39"/>
      <c r="L203" s="39"/>
      <c r="M203" s="39"/>
      <c r="N203" s="307"/>
      <c r="O203" s="307"/>
      <c r="P203" s="307"/>
      <c r="Q203" s="307"/>
      <c r="R203" s="307"/>
      <c r="S203" s="307"/>
      <c r="T203" s="307"/>
      <c r="U203" s="307"/>
      <c r="V203" s="307"/>
      <c r="X203" s="307"/>
      <c r="Y203" s="307"/>
      <c r="Z203" s="307"/>
      <c r="AA203" s="307"/>
      <c r="AB203" s="307"/>
      <c r="AC203" s="307"/>
      <c r="AD203" s="307"/>
      <c r="AE203" s="307"/>
      <c r="AF203" s="307"/>
      <c r="AG203" s="307"/>
      <c r="AH203" s="307"/>
      <c r="AI203" s="307"/>
      <c r="AJ203" s="307"/>
      <c r="AK203" s="307"/>
      <c r="AL203" s="307"/>
      <c r="AM203" s="307"/>
      <c r="AN203" s="307"/>
      <c r="AO203" s="307"/>
      <c r="AP203" s="307"/>
      <c r="AQ203" s="307"/>
      <c r="AR203" s="307"/>
      <c r="AS203" s="307"/>
      <c r="AT203" s="307"/>
      <c r="AU203" s="102"/>
      <c r="AV203" s="307"/>
      <c r="AW203" s="307"/>
      <c r="AX203" s="307"/>
      <c r="AY203" s="102"/>
      <c r="AZ203" s="39"/>
      <c r="BA203" s="104"/>
      <c r="BB203" s="39"/>
      <c r="BC203" s="104"/>
      <c r="BD203" s="39"/>
      <c r="BE203" s="39"/>
      <c r="BF203" s="39"/>
      <c r="BG203" s="104"/>
      <c r="BH203" s="39"/>
      <c r="BI203" s="39"/>
      <c r="BJ203" s="39"/>
      <c r="BK203" s="104"/>
      <c r="BL203" s="39"/>
      <c r="BM203" s="307"/>
      <c r="BN203" s="307"/>
      <c r="BO203" s="102"/>
      <c r="BP203" s="310"/>
      <c r="BQ203" s="307"/>
      <c r="BR203" s="307"/>
      <c r="BS203" s="102"/>
    </row>
    <row r="204" spans="1:71" s="5" customFormat="1">
      <c r="A204" s="12"/>
      <c r="B204" s="307"/>
      <c r="C204" s="307"/>
      <c r="D204" s="307"/>
      <c r="E204" s="307"/>
      <c r="F204" s="307"/>
      <c r="G204" s="307"/>
      <c r="H204" s="307"/>
      <c r="I204" s="39"/>
      <c r="J204" s="39"/>
      <c r="K204" s="39"/>
      <c r="L204" s="39"/>
      <c r="M204" s="39"/>
      <c r="N204" s="307"/>
      <c r="O204" s="307"/>
      <c r="P204" s="307"/>
      <c r="Q204" s="307"/>
      <c r="R204" s="307"/>
      <c r="S204" s="307"/>
      <c r="T204" s="307"/>
      <c r="U204" s="307"/>
      <c r="V204" s="307"/>
      <c r="X204" s="307"/>
      <c r="Y204" s="307"/>
      <c r="Z204" s="307"/>
      <c r="AA204" s="307"/>
      <c r="AB204" s="307"/>
      <c r="AC204" s="307"/>
      <c r="AD204" s="307"/>
      <c r="AE204" s="307"/>
      <c r="AF204" s="307"/>
      <c r="AG204" s="307"/>
      <c r="AH204" s="307"/>
      <c r="AI204" s="307"/>
      <c r="AJ204" s="307"/>
      <c r="AK204" s="307"/>
      <c r="AL204" s="307"/>
      <c r="AM204" s="307"/>
      <c r="AN204" s="307"/>
      <c r="AO204" s="307"/>
      <c r="AP204" s="307"/>
      <c r="AQ204" s="307"/>
      <c r="AR204" s="307"/>
      <c r="AS204" s="307"/>
      <c r="AT204" s="307"/>
      <c r="AU204" s="102"/>
      <c r="AV204" s="307"/>
      <c r="AW204" s="307"/>
      <c r="AX204" s="307"/>
      <c r="AY204" s="102"/>
      <c r="AZ204" s="39"/>
      <c r="BA204" s="104"/>
      <c r="BB204" s="39"/>
      <c r="BC204" s="104"/>
      <c r="BD204" s="39"/>
      <c r="BE204" s="39"/>
      <c r="BF204" s="39"/>
      <c r="BG204" s="104"/>
      <c r="BH204" s="39"/>
      <c r="BI204" s="39"/>
      <c r="BJ204" s="39"/>
      <c r="BK204" s="104"/>
      <c r="BL204" s="39"/>
      <c r="BM204" s="307"/>
      <c r="BN204" s="307"/>
      <c r="BO204" s="102"/>
      <c r="BP204" s="310"/>
      <c r="BQ204" s="307"/>
      <c r="BR204" s="307"/>
      <c r="BS204" s="102"/>
    </row>
    <row r="205" spans="1:71" s="5" customFormat="1">
      <c r="A205" s="12"/>
      <c r="B205" s="307"/>
      <c r="C205" s="307"/>
      <c r="D205" s="307"/>
      <c r="E205" s="307"/>
      <c r="F205" s="307"/>
      <c r="G205" s="307"/>
      <c r="H205" s="307"/>
      <c r="I205" s="39"/>
      <c r="J205" s="39"/>
      <c r="K205" s="39"/>
      <c r="L205" s="39"/>
      <c r="M205" s="39"/>
      <c r="N205" s="307"/>
      <c r="O205" s="307"/>
      <c r="P205" s="307"/>
      <c r="Q205" s="307"/>
      <c r="R205" s="307"/>
      <c r="S205" s="307"/>
      <c r="T205" s="307"/>
      <c r="U205" s="307"/>
      <c r="V205" s="307"/>
      <c r="X205" s="307"/>
      <c r="Y205" s="307"/>
      <c r="Z205" s="307"/>
      <c r="AA205" s="307"/>
      <c r="AB205" s="307"/>
      <c r="AC205" s="307"/>
      <c r="AD205" s="307"/>
      <c r="AE205" s="307"/>
      <c r="AF205" s="307"/>
      <c r="AG205" s="307"/>
      <c r="AH205" s="307"/>
      <c r="AI205" s="307"/>
      <c r="AJ205" s="307"/>
      <c r="AK205" s="307"/>
      <c r="AL205" s="307"/>
      <c r="AM205" s="307"/>
      <c r="AN205" s="307"/>
      <c r="AO205" s="307"/>
      <c r="AP205" s="307"/>
      <c r="AQ205" s="307"/>
      <c r="AR205" s="307"/>
      <c r="AS205" s="307"/>
      <c r="AT205" s="307"/>
      <c r="AU205" s="102"/>
      <c r="AV205" s="307"/>
      <c r="AW205" s="307"/>
      <c r="AX205" s="307"/>
      <c r="AY205" s="102"/>
      <c r="AZ205" s="39"/>
      <c r="BA205" s="104"/>
      <c r="BB205" s="39"/>
      <c r="BC205" s="104"/>
      <c r="BD205" s="39"/>
      <c r="BE205" s="39"/>
      <c r="BF205" s="39"/>
      <c r="BG205" s="104"/>
      <c r="BH205" s="39"/>
      <c r="BI205" s="39"/>
      <c r="BJ205" s="39"/>
      <c r="BK205" s="104"/>
      <c r="BL205" s="39"/>
      <c r="BM205" s="307"/>
      <c r="BN205" s="307"/>
      <c r="BO205" s="102"/>
      <c r="BP205" s="310"/>
      <c r="BQ205" s="307"/>
      <c r="BR205" s="307"/>
      <c r="BS205" s="102"/>
    </row>
    <row r="206" spans="1:71" s="5" customFormat="1">
      <c r="A206" s="12"/>
      <c r="B206" s="307"/>
      <c r="C206" s="307"/>
      <c r="D206" s="307"/>
      <c r="E206" s="307"/>
      <c r="F206" s="307"/>
      <c r="G206" s="307"/>
      <c r="H206" s="307"/>
      <c r="I206" s="39"/>
      <c r="J206" s="39"/>
      <c r="K206" s="39"/>
      <c r="L206" s="39"/>
      <c r="M206" s="39"/>
      <c r="N206" s="307"/>
      <c r="O206" s="307"/>
      <c r="P206" s="307"/>
      <c r="Q206" s="307"/>
      <c r="R206" s="307"/>
      <c r="S206" s="307"/>
      <c r="T206" s="307"/>
      <c r="U206" s="307"/>
      <c r="V206" s="307"/>
      <c r="X206" s="307"/>
      <c r="Y206" s="307"/>
      <c r="Z206" s="307"/>
      <c r="AA206" s="307"/>
      <c r="AB206" s="307"/>
      <c r="AC206" s="307"/>
      <c r="AD206" s="307"/>
      <c r="AE206" s="307"/>
      <c r="AF206" s="307"/>
      <c r="AG206" s="307"/>
      <c r="AH206" s="307"/>
      <c r="AI206" s="307"/>
      <c r="AJ206" s="307"/>
      <c r="AK206" s="307"/>
      <c r="AL206" s="307"/>
      <c r="AM206" s="307"/>
      <c r="AN206" s="307"/>
      <c r="AO206" s="307"/>
      <c r="AP206" s="307"/>
      <c r="AQ206" s="307"/>
      <c r="AR206" s="307"/>
      <c r="AS206" s="307"/>
      <c r="AT206" s="307"/>
      <c r="AU206" s="102"/>
      <c r="AV206" s="307"/>
      <c r="AW206" s="307"/>
      <c r="AX206" s="307"/>
      <c r="AY206" s="102"/>
      <c r="AZ206" s="39"/>
      <c r="BA206" s="104"/>
      <c r="BB206" s="39"/>
      <c r="BC206" s="104"/>
      <c r="BD206" s="39"/>
      <c r="BE206" s="39"/>
      <c r="BF206" s="39"/>
      <c r="BG206" s="104"/>
      <c r="BH206" s="39"/>
      <c r="BI206" s="39"/>
      <c r="BJ206" s="39"/>
      <c r="BK206" s="104"/>
      <c r="BL206" s="39"/>
      <c r="BM206" s="307"/>
      <c r="BN206" s="307"/>
      <c r="BO206" s="102"/>
      <c r="BP206" s="310"/>
      <c r="BQ206" s="307"/>
      <c r="BR206" s="307"/>
      <c r="BS206" s="102"/>
    </row>
    <row r="207" spans="1:71" s="5" customFormat="1">
      <c r="A207" s="12"/>
      <c r="B207" s="307"/>
      <c r="C207" s="307"/>
      <c r="D207" s="307"/>
      <c r="E207" s="307"/>
      <c r="F207" s="307"/>
      <c r="G207" s="307"/>
      <c r="H207" s="307"/>
      <c r="I207" s="39"/>
      <c r="J207" s="39"/>
      <c r="K207" s="39"/>
      <c r="L207" s="39"/>
      <c r="M207" s="39"/>
      <c r="N207" s="307"/>
      <c r="O207" s="307"/>
      <c r="P207" s="307"/>
      <c r="Q207" s="307"/>
      <c r="R207" s="307"/>
      <c r="S207" s="307"/>
      <c r="T207" s="307"/>
      <c r="U207" s="307"/>
      <c r="V207" s="307"/>
      <c r="X207" s="307"/>
      <c r="Y207" s="307"/>
      <c r="Z207" s="307"/>
      <c r="AA207" s="307"/>
      <c r="AB207" s="307"/>
      <c r="AC207" s="307"/>
      <c r="AD207" s="307"/>
      <c r="AE207" s="307"/>
      <c r="AF207" s="307"/>
      <c r="AG207" s="307"/>
      <c r="AH207" s="307"/>
      <c r="AI207" s="307"/>
      <c r="AJ207" s="307"/>
      <c r="AK207" s="307"/>
      <c r="AL207" s="307"/>
      <c r="AM207" s="307"/>
      <c r="AN207" s="307"/>
      <c r="AO207" s="307"/>
      <c r="AP207" s="307"/>
      <c r="AQ207" s="307"/>
      <c r="AR207" s="307"/>
      <c r="AS207" s="307"/>
      <c r="AT207" s="307"/>
      <c r="AU207" s="102"/>
      <c r="AV207" s="307"/>
      <c r="AW207" s="307"/>
      <c r="AX207" s="307"/>
      <c r="AY207" s="102"/>
      <c r="AZ207" s="39"/>
      <c r="BA207" s="104"/>
      <c r="BB207" s="39"/>
      <c r="BC207" s="104"/>
      <c r="BD207" s="39"/>
      <c r="BE207" s="39"/>
      <c r="BF207" s="39"/>
      <c r="BG207" s="104"/>
      <c r="BH207" s="39"/>
      <c r="BI207" s="39"/>
      <c r="BJ207" s="39"/>
      <c r="BK207" s="104"/>
      <c r="BL207" s="39"/>
      <c r="BM207" s="307"/>
      <c r="BN207" s="307"/>
      <c r="BO207" s="102"/>
      <c r="BP207" s="310"/>
      <c r="BQ207" s="307"/>
      <c r="BR207" s="307"/>
      <c r="BS207" s="102"/>
    </row>
    <row r="208" spans="1:71" s="5" customFormat="1">
      <c r="A208" s="12"/>
      <c r="B208" s="307"/>
      <c r="C208" s="307"/>
      <c r="D208" s="307"/>
      <c r="E208" s="307"/>
      <c r="F208" s="307"/>
      <c r="G208" s="307"/>
      <c r="H208" s="307"/>
      <c r="I208" s="39"/>
      <c r="J208" s="39"/>
      <c r="K208" s="39"/>
      <c r="L208" s="39"/>
      <c r="M208" s="39"/>
      <c r="N208" s="307"/>
      <c r="O208" s="307"/>
      <c r="P208" s="307"/>
      <c r="Q208" s="307"/>
      <c r="R208" s="307"/>
      <c r="S208" s="307"/>
      <c r="T208" s="307"/>
      <c r="U208" s="307"/>
      <c r="V208" s="307"/>
      <c r="X208" s="307"/>
      <c r="Y208" s="307"/>
      <c r="Z208" s="307"/>
      <c r="AA208" s="307"/>
      <c r="AB208" s="307"/>
      <c r="AC208" s="307"/>
      <c r="AD208" s="307"/>
      <c r="AE208" s="307"/>
      <c r="AF208" s="307"/>
      <c r="AG208" s="307"/>
      <c r="AH208" s="307"/>
      <c r="AI208" s="307"/>
      <c r="AJ208" s="307"/>
      <c r="AK208" s="307"/>
      <c r="AL208" s="307"/>
      <c r="AM208" s="307"/>
      <c r="AN208" s="307"/>
      <c r="AO208" s="307"/>
      <c r="AP208" s="307"/>
      <c r="AQ208" s="307"/>
      <c r="AR208" s="307"/>
      <c r="AS208" s="307"/>
      <c r="AT208" s="307"/>
      <c r="AU208" s="102"/>
      <c r="AV208" s="307"/>
      <c r="AW208" s="307"/>
      <c r="AX208" s="307"/>
      <c r="AY208" s="102"/>
      <c r="AZ208" s="39"/>
      <c r="BA208" s="104"/>
      <c r="BB208" s="39"/>
      <c r="BC208" s="104"/>
      <c r="BD208" s="39"/>
      <c r="BE208" s="39"/>
      <c r="BF208" s="39"/>
      <c r="BG208" s="104"/>
      <c r="BH208" s="39"/>
      <c r="BI208" s="39"/>
      <c r="BJ208" s="39"/>
      <c r="BK208" s="104"/>
      <c r="BL208" s="39"/>
      <c r="BM208" s="307"/>
      <c r="BN208" s="307"/>
      <c r="BO208" s="102"/>
      <c r="BP208" s="310"/>
      <c r="BQ208" s="307"/>
      <c r="BR208" s="307"/>
      <c r="BS208" s="102"/>
    </row>
    <row r="209" spans="1:71" s="5" customFormat="1">
      <c r="A209" s="12"/>
      <c r="B209" s="307"/>
      <c r="C209" s="307"/>
      <c r="D209" s="307"/>
      <c r="E209" s="307"/>
      <c r="F209" s="307"/>
      <c r="G209" s="307"/>
      <c r="H209" s="307"/>
      <c r="I209" s="39"/>
      <c r="J209" s="39"/>
      <c r="K209" s="39"/>
      <c r="L209" s="39"/>
      <c r="M209" s="39"/>
      <c r="N209" s="307"/>
      <c r="O209" s="307"/>
      <c r="P209" s="307"/>
      <c r="Q209" s="307"/>
      <c r="R209" s="307"/>
      <c r="S209" s="307"/>
      <c r="T209" s="307"/>
      <c r="U209" s="307"/>
      <c r="V209" s="307"/>
      <c r="X209" s="307"/>
      <c r="Y209" s="307"/>
      <c r="Z209" s="307"/>
      <c r="AA209" s="307"/>
      <c r="AB209" s="307"/>
      <c r="AC209" s="307"/>
      <c r="AD209" s="307"/>
      <c r="AE209" s="307"/>
      <c r="AF209" s="307"/>
      <c r="AG209" s="307"/>
      <c r="AH209" s="307"/>
      <c r="AI209" s="307"/>
      <c r="AJ209" s="307"/>
      <c r="AK209" s="307"/>
      <c r="AL209" s="307"/>
      <c r="AM209" s="307"/>
      <c r="AN209" s="307"/>
      <c r="AO209" s="307"/>
      <c r="AP209" s="307"/>
      <c r="AQ209" s="307"/>
      <c r="AR209" s="307"/>
      <c r="AS209" s="307"/>
      <c r="AT209" s="307"/>
      <c r="AU209" s="102"/>
      <c r="AV209" s="307"/>
      <c r="AW209" s="307"/>
      <c r="AX209" s="307"/>
      <c r="AY209" s="102"/>
      <c r="AZ209" s="39"/>
      <c r="BA209" s="104"/>
      <c r="BB209" s="39"/>
      <c r="BC209" s="104"/>
      <c r="BD209" s="39"/>
      <c r="BE209" s="39"/>
      <c r="BF209" s="39"/>
      <c r="BG209" s="104"/>
      <c r="BH209" s="39"/>
      <c r="BI209" s="39"/>
      <c r="BJ209" s="39"/>
      <c r="BK209" s="104"/>
      <c r="BL209" s="39"/>
      <c r="BM209" s="307"/>
      <c r="BN209" s="307"/>
      <c r="BO209" s="102"/>
      <c r="BP209" s="310"/>
      <c r="BQ209" s="307"/>
      <c r="BR209" s="307"/>
      <c r="BS209" s="102"/>
    </row>
    <row r="210" spans="1:71" s="5" customFormat="1">
      <c r="A210" s="12"/>
      <c r="B210" s="307"/>
      <c r="C210" s="307"/>
      <c r="D210" s="307"/>
      <c r="E210" s="307"/>
      <c r="F210" s="307"/>
      <c r="G210" s="307"/>
      <c r="H210" s="307"/>
      <c r="I210" s="39"/>
      <c r="J210" s="39"/>
      <c r="K210" s="39"/>
      <c r="L210" s="39"/>
      <c r="M210" s="39"/>
      <c r="N210" s="307"/>
      <c r="O210" s="307"/>
      <c r="P210" s="307"/>
      <c r="Q210" s="307"/>
      <c r="R210" s="307"/>
      <c r="S210" s="307"/>
      <c r="T210" s="307"/>
      <c r="U210" s="307"/>
      <c r="V210" s="307"/>
      <c r="X210" s="307"/>
      <c r="Y210" s="307"/>
      <c r="Z210" s="307"/>
      <c r="AA210" s="307"/>
      <c r="AB210" s="307"/>
      <c r="AC210" s="307"/>
      <c r="AD210" s="307"/>
      <c r="AE210" s="307"/>
      <c r="AF210" s="307"/>
      <c r="AG210" s="307"/>
      <c r="AH210" s="307"/>
      <c r="AI210" s="307"/>
      <c r="AJ210" s="307"/>
      <c r="AK210" s="307"/>
      <c r="AL210" s="307"/>
      <c r="AM210" s="307"/>
      <c r="AN210" s="307"/>
      <c r="AO210" s="307"/>
      <c r="AP210" s="307"/>
      <c r="AQ210" s="307"/>
      <c r="AR210" s="307"/>
      <c r="AS210" s="307"/>
      <c r="AT210" s="307"/>
      <c r="AU210" s="102"/>
      <c r="AV210" s="307"/>
      <c r="AW210" s="307"/>
      <c r="AX210" s="307"/>
      <c r="AY210" s="102"/>
      <c r="AZ210" s="39"/>
      <c r="BA210" s="104"/>
      <c r="BB210" s="39"/>
      <c r="BC210" s="104"/>
      <c r="BD210" s="39"/>
      <c r="BE210" s="39"/>
      <c r="BF210" s="39"/>
      <c r="BG210" s="104"/>
      <c r="BH210" s="39"/>
      <c r="BI210" s="39"/>
      <c r="BJ210" s="39"/>
      <c r="BK210" s="104"/>
      <c r="BL210" s="39"/>
      <c r="BM210" s="307"/>
      <c r="BN210" s="307"/>
      <c r="BO210" s="102"/>
      <c r="BP210" s="310"/>
      <c r="BQ210" s="307"/>
      <c r="BR210" s="307"/>
      <c r="BS210" s="102"/>
    </row>
    <row r="211" spans="1:71" s="5" customFormat="1">
      <c r="A211" s="12"/>
      <c r="B211" s="307"/>
      <c r="C211" s="307"/>
      <c r="D211" s="307"/>
      <c r="E211" s="307"/>
      <c r="F211" s="307"/>
      <c r="G211" s="307"/>
      <c r="H211" s="307"/>
      <c r="I211" s="39"/>
      <c r="J211" s="39"/>
      <c r="K211" s="39"/>
      <c r="L211" s="39"/>
      <c r="M211" s="39"/>
      <c r="N211" s="307"/>
      <c r="O211" s="307"/>
      <c r="P211" s="307"/>
      <c r="Q211" s="307"/>
      <c r="R211" s="307"/>
      <c r="S211" s="307"/>
      <c r="T211" s="307"/>
      <c r="U211" s="307"/>
      <c r="V211" s="307"/>
      <c r="X211" s="307"/>
      <c r="Y211" s="307"/>
      <c r="Z211" s="307"/>
      <c r="AA211" s="307"/>
      <c r="AB211" s="307"/>
      <c r="AC211" s="307"/>
      <c r="AD211" s="307"/>
      <c r="AE211" s="307"/>
      <c r="AF211" s="307"/>
      <c r="AG211" s="307"/>
      <c r="AH211" s="307"/>
      <c r="AI211" s="307"/>
      <c r="AJ211" s="307"/>
      <c r="AK211" s="307"/>
      <c r="AL211" s="307"/>
      <c r="AM211" s="307"/>
      <c r="AN211" s="307"/>
      <c r="AO211" s="307"/>
      <c r="AP211" s="307"/>
      <c r="AQ211" s="307"/>
      <c r="AR211" s="307"/>
      <c r="AS211" s="307"/>
      <c r="AT211" s="307"/>
      <c r="AU211" s="102"/>
      <c r="AV211" s="307"/>
      <c r="AW211" s="307"/>
      <c r="AX211" s="307"/>
      <c r="AY211" s="102"/>
      <c r="AZ211" s="39"/>
      <c r="BA211" s="104"/>
      <c r="BB211" s="39"/>
      <c r="BC211" s="104"/>
      <c r="BD211" s="39"/>
      <c r="BE211" s="39"/>
      <c r="BF211" s="39"/>
      <c r="BG211" s="104"/>
      <c r="BH211" s="39"/>
      <c r="BI211" s="39"/>
      <c r="BJ211" s="39"/>
      <c r="BK211" s="104"/>
      <c r="BL211" s="39"/>
      <c r="BM211" s="307"/>
      <c r="BN211" s="307"/>
      <c r="BO211" s="102"/>
      <c r="BP211" s="310"/>
      <c r="BQ211" s="307"/>
      <c r="BR211" s="307"/>
      <c r="BS211" s="102"/>
    </row>
    <row r="212" spans="1:71" s="5" customFormat="1">
      <c r="A212" s="12"/>
      <c r="B212" s="307"/>
      <c r="C212" s="307"/>
      <c r="D212" s="307"/>
      <c r="E212" s="307"/>
      <c r="F212" s="307"/>
      <c r="G212" s="307"/>
      <c r="H212" s="307"/>
      <c r="I212" s="39"/>
      <c r="J212" s="39"/>
      <c r="K212" s="39"/>
      <c r="L212" s="39"/>
      <c r="M212" s="39"/>
      <c r="N212" s="307"/>
      <c r="O212" s="307"/>
      <c r="P212" s="307"/>
      <c r="Q212" s="307"/>
      <c r="R212" s="307"/>
      <c r="S212" s="307"/>
      <c r="T212" s="307"/>
      <c r="U212" s="307"/>
      <c r="V212" s="307"/>
      <c r="X212" s="307"/>
      <c r="Y212" s="307"/>
      <c r="Z212" s="307"/>
      <c r="AA212" s="307"/>
      <c r="AB212" s="307"/>
      <c r="AC212" s="307"/>
      <c r="AD212" s="307"/>
      <c r="AE212" s="307"/>
      <c r="AF212" s="307"/>
      <c r="AG212" s="307"/>
      <c r="AH212" s="307"/>
      <c r="AI212" s="307"/>
      <c r="AJ212" s="307"/>
      <c r="AK212" s="307"/>
      <c r="AL212" s="307"/>
      <c r="AM212" s="307"/>
      <c r="AN212" s="307"/>
      <c r="AO212" s="307"/>
      <c r="AP212" s="307"/>
      <c r="AQ212" s="307"/>
      <c r="AR212" s="307"/>
      <c r="AS212" s="307"/>
      <c r="AT212" s="307"/>
      <c r="AU212" s="102"/>
      <c r="AV212" s="307"/>
      <c r="AW212" s="307"/>
      <c r="AX212" s="307"/>
      <c r="AY212" s="102"/>
      <c r="AZ212" s="39"/>
      <c r="BA212" s="104"/>
      <c r="BB212" s="39"/>
      <c r="BC212" s="104"/>
      <c r="BD212" s="39"/>
      <c r="BE212" s="39"/>
      <c r="BF212" s="39"/>
      <c r="BG212" s="104"/>
      <c r="BH212" s="39"/>
      <c r="BI212" s="39"/>
      <c r="BJ212" s="39"/>
      <c r="BK212" s="104"/>
      <c r="BL212" s="39"/>
      <c r="BM212" s="307"/>
      <c r="BN212" s="307"/>
      <c r="BO212" s="102"/>
      <c r="BP212" s="310"/>
      <c r="BQ212" s="307"/>
      <c r="BR212" s="307"/>
      <c r="BS212" s="102"/>
    </row>
    <row r="213" spans="1:71" s="5" customFormat="1">
      <c r="A213" s="12"/>
      <c r="B213" s="307"/>
      <c r="C213" s="307"/>
      <c r="D213" s="307"/>
      <c r="E213" s="307"/>
      <c r="F213" s="307"/>
      <c r="G213" s="307"/>
      <c r="H213" s="307"/>
      <c r="I213" s="39"/>
      <c r="J213" s="39"/>
      <c r="K213" s="39"/>
      <c r="L213" s="39"/>
      <c r="M213" s="39"/>
      <c r="N213" s="307"/>
      <c r="O213" s="307"/>
      <c r="P213" s="307"/>
      <c r="Q213" s="307"/>
      <c r="R213" s="307"/>
      <c r="S213" s="307"/>
      <c r="T213" s="307"/>
      <c r="U213" s="307"/>
      <c r="V213" s="307"/>
      <c r="X213" s="307"/>
      <c r="Y213" s="307"/>
      <c r="Z213" s="307"/>
      <c r="AA213" s="307"/>
      <c r="AB213" s="307"/>
      <c r="AC213" s="307"/>
      <c r="AD213" s="307"/>
      <c r="AE213" s="307"/>
      <c r="AF213" s="307"/>
      <c r="AG213" s="307"/>
      <c r="AH213" s="307"/>
      <c r="AI213" s="307"/>
      <c r="AJ213" s="307"/>
      <c r="AK213" s="307"/>
      <c r="AL213" s="307"/>
      <c r="AM213" s="307"/>
      <c r="AN213" s="307"/>
      <c r="AO213" s="307"/>
      <c r="AP213" s="307"/>
      <c r="AQ213" s="307"/>
      <c r="AR213" s="307"/>
      <c r="AS213" s="307"/>
      <c r="AT213" s="307"/>
      <c r="AU213" s="102"/>
      <c r="AV213" s="307"/>
      <c r="AW213" s="307"/>
      <c r="AX213" s="307"/>
      <c r="AY213" s="102"/>
      <c r="AZ213" s="39"/>
      <c r="BA213" s="104"/>
      <c r="BB213" s="39"/>
      <c r="BC213" s="104"/>
      <c r="BD213" s="39"/>
      <c r="BE213" s="39"/>
      <c r="BF213" s="39"/>
      <c r="BG213" s="104"/>
      <c r="BH213" s="39"/>
      <c r="BI213" s="39"/>
      <c r="BJ213" s="39"/>
      <c r="BK213" s="104"/>
      <c r="BL213" s="39"/>
      <c r="BM213" s="307"/>
      <c r="BN213" s="307"/>
      <c r="BO213" s="102"/>
      <c r="BP213" s="310"/>
      <c r="BQ213" s="307"/>
      <c r="BR213" s="307"/>
      <c r="BS213" s="102"/>
    </row>
    <row r="214" spans="1:71" s="5" customFormat="1">
      <c r="A214" s="12"/>
      <c r="B214" s="307"/>
      <c r="C214" s="307"/>
      <c r="D214" s="307"/>
      <c r="E214" s="307"/>
      <c r="F214" s="307"/>
      <c r="G214" s="307"/>
      <c r="H214" s="307"/>
      <c r="I214" s="39"/>
      <c r="J214" s="39"/>
      <c r="K214" s="39"/>
      <c r="L214" s="39"/>
      <c r="M214" s="39"/>
      <c r="N214" s="307"/>
      <c r="O214" s="307"/>
      <c r="P214" s="307"/>
      <c r="Q214" s="307"/>
      <c r="R214" s="307"/>
      <c r="S214" s="307"/>
      <c r="T214" s="307"/>
      <c r="U214" s="307"/>
      <c r="V214" s="307"/>
      <c r="X214" s="307"/>
      <c r="Y214" s="307"/>
      <c r="Z214" s="307"/>
      <c r="AA214" s="307"/>
      <c r="AB214" s="307"/>
      <c r="AC214" s="307"/>
      <c r="AD214" s="307"/>
      <c r="AE214" s="307"/>
      <c r="AF214" s="307"/>
      <c r="AG214" s="307"/>
      <c r="AH214" s="307"/>
      <c r="AI214" s="307"/>
      <c r="AJ214" s="307"/>
      <c r="AK214" s="307"/>
      <c r="AL214" s="307"/>
      <c r="AM214" s="307"/>
      <c r="AN214" s="307"/>
      <c r="AO214" s="307"/>
      <c r="AP214" s="307"/>
      <c r="AQ214" s="307"/>
      <c r="AR214" s="307"/>
      <c r="AS214" s="307"/>
      <c r="AT214" s="307"/>
      <c r="AU214" s="102"/>
      <c r="AV214" s="307"/>
      <c r="AW214" s="307"/>
      <c r="AX214" s="307"/>
      <c r="AY214" s="102"/>
      <c r="AZ214" s="39"/>
      <c r="BA214" s="104"/>
      <c r="BB214" s="39"/>
      <c r="BC214" s="104"/>
      <c r="BD214" s="39"/>
      <c r="BE214" s="39"/>
      <c r="BF214" s="39"/>
      <c r="BG214" s="104"/>
      <c r="BH214" s="39"/>
      <c r="BI214" s="39"/>
      <c r="BJ214" s="39"/>
      <c r="BK214" s="104"/>
      <c r="BL214" s="39"/>
      <c r="BM214" s="307"/>
      <c r="BN214" s="307"/>
      <c r="BO214" s="102"/>
      <c r="BP214" s="310"/>
      <c r="BQ214" s="307"/>
      <c r="BR214" s="307"/>
      <c r="BS214" s="102"/>
    </row>
    <row r="215" spans="1:71" s="5" customFormat="1">
      <c r="A215" s="12"/>
      <c r="B215" s="307"/>
      <c r="C215" s="307"/>
      <c r="D215" s="307"/>
      <c r="E215" s="307"/>
      <c r="F215" s="307"/>
      <c r="G215" s="307"/>
      <c r="H215" s="307"/>
      <c r="I215" s="39"/>
      <c r="J215" s="39"/>
      <c r="K215" s="39"/>
      <c r="L215" s="39"/>
      <c r="M215" s="39"/>
      <c r="N215" s="307"/>
      <c r="O215" s="307"/>
      <c r="P215" s="307"/>
      <c r="Q215" s="307"/>
      <c r="R215" s="307"/>
      <c r="S215" s="307"/>
      <c r="T215" s="307"/>
      <c r="U215" s="307"/>
      <c r="V215" s="307"/>
      <c r="X215" s="307"/>
      <c r="Y215" s="307"/>
      <c r="Z215" s="307"/>
      <c r="AA215" s="307"/>
      <c r="AB215" s="307"/>
      <c r="AC215" s="307"/>
      <c r="AD215" s="307"/>
      <c r="AE215" s="307"/>
      <c r="AF215" s="307"/>
      <c r="AG215" s="307"/>
      <c r="AH215" s="307"/>
      <c r="AI215" s="307"/>
      <c r="AJ215" s="307"/>
      <c r="AK215" s="307"/>
      <c r="AL215" s="307"/>
      <c r="AM215" s="307"/>
      <c r="AN215" s="307"/>
      <c r="AO215" s="307"/>
      <c r="AP215" s="307"/>
      <c r="AQ215" s="307"/>
      <c r="AR215" s="307"/>
      <c r="AS215" s="307"/>
      <c r="AT215" s="307"/>
      <c r="AU215" s="102"/>
      <c r="AV215" s="307"/>
      <c r="AW215" s="307"/>
      <c r="AX215" s="307"/>
      <c r="AY215" s="102"/>
      <c r="AZ215" s="39"/>
      <c r="BA215" s="104"/>
      <c r="BB215" s="39"/>
      <c r="BC215" s="104"/>
      <c r="BD215" s="39"/>
      <c r="BE215" s="39"/>
      <c r="BF215" s="39"/>
      <c r="BG215" s="104"/>
      <c r="BH215" s="39"/>
      <c r="BI215" s="39"/>
      <c r="BJ215" s="39"/>
      <c r="BK215" s="104"/>
      <c r="BL215" s="39"/>
      <c r="BM215" s="307"/>
      <c r="BN215" s="307"/>
      <c r="BO215" s="102"/>
      <c r="BP215" s="310"/>
      <c r="BQ215" s="307"/>
      <c r="BR215" s="307"/>
      <c r="BS215" s="102"/>
    </row>
    <row r="216" spans="1:71" s="5" customFormat="1">
      <c r="A216" s="12"/>
      <c r="B216" s="307"/>
      <c r="C216" s="307"/>
      <c r="D216" s="307"/>
      <c r="E216" s="307"/>
      <c r="F216" s="307"/>
      <c r="G216" s="307"/>
      <c r="H216" s="307"/>
      <c r="I216" s="39"/>
      <c r="J216" s="39"/>
      <c r="K216" s="39"/>
      <c r="L216" s="39"/>
      <c r="M216" s="39"/>
      <c r="N216" s="307"/>
      <c r="O216" s="307"/>
      <c r="P216" s="307"/>
      <c r="Q216" s="307"/>
      <c r="R216" s="307"/>
      <c r="S216" s="307"/>
      <c r="T216" s="307"/>
      <c r="U216" s="307"/>
      <c r="V216" s="307"/>
      <c r="X216" s="307"/>
      <c r="Y216" s="307"/>
      <c r="Z216" s="307"/>
      <c r="AA216" s="307"/>
      <c r="AB216" s="307"/>
      <c r="AC216" s="307"/>
      <c r="AD216" s="307"/>
      <c r="AE216" s="307"/>
      <c r="AF216" s="307"/>
      <c r="AG216" s="307"/>
      <c r="AH216" s="307"/>
      <c r="AI216" s="307"/>
      <c r="AJ216" s="307"/>
      <c r="AK216" s="307"/>
      <c r="AL216" s="307"/>
      <c r="AM216" s="307"/>
      <c r="AN216" s="307"/>
      <c r="AO216" s="307"/>
      <c r="AP216" s="307"/>
      <c r="AQ216" s="307"/>
      <c r="AR216" s="307"/>
      <c r="AS216" s="307"/>
      <c r="AT216" s="307"/>
      <c r="AU216" s="102"/>
      <c r="AV216" s="307"/>
      <c r="AW216" s="307"/>
      <c r="AX216" s="307"/>
      <c r="AY216" s="102"/>
      <c r="AZ216" s="39"/>
      <c r="BA216" s="104"/>
      <c r="BB216" s="39"/>
      <c r="BC216" s="104"/>
      <c r="BD216" s="39"/>
      <c r="BE216" s="39"/>
      <c r="BF216" s="39"/>
      <c r="BG216" s="104"/>
      <c r="BH216" s="39"/>
      <c r="BI216" s="39"/>
      <c r="BJ216" s="39"/>
      <c r="BK216" s="104"/>
      <c r="BL216" s="39"/>
      <c r="BM216" s="307"/>
      <c r="BN216" s="307"/>
      <c r="BO216" s="102"/>
      <c r="BP216" s="310"/>
      <c r="BQ216" s="307"/>
      <c r="BR216" s="307"/>
      <c r="BS216" s="102"/>
    </row>
    <row r="217" spans="1:71" s="5" customFormat="1">
      <c r="A217" s="12"/>
      <c r="B217" s="307"/>
      <c r="C217" s="307"/>
      <c r="D217" s="307"/>
      <c r="E217" s="307"/>
      <c r="F217" s="307"/>
      <c r="G217" s="307"/>
      <c r="H217" s="307"/>
      <c r="I217" s="39"/>
      <c r="J217" s="39"/>
      <c r="K217" s="39"/>
      <c r="L217" s="39"/>
      <c r="M217" s="39"/>
      <c r="N217" s="307"/>
      <c r="O217" s="307"/>
      <c r="P217" s="307"/>
      <c r="Q217" s="307"/>
      <c r="R217" s="307"/>
      <c r="S217" s="307"/>
      <c r="T217" s="307"/>
      <c r="U217" s="307"/>
      <c r="V217" s="307"/>
      <c r="X217" s="307"/>
      <c r="Y217" s="307"/>
      <c r="Z217" s="307"/>
      <c r="AA217" s="307"/>
      <c r="AB217" s="307"/>
      <c r="AC217" s="307"/>
      <c r="AD217" s="307"/>
      <c r="AE217" s="307"/>
      <c r="AF217" s="307"/>
      <c r="AG217" s="307"/>
      <c r="AH217" s="307"/>
      <c r="AI217" s="307"/>
      <c r="AJ217" s="307"/>
      <c r="AK217" s="307"/>
      <c r="AL217" s="307"/>
      <c r="AM217" s="307"/>
      <c r="AN217" s="307"/>
      <c r="AO217" s="307"/>
      <c r="AP217" s="307"/>
      <c r="AQ217" s="307"/>
      <c r="AR217" s="307"/>
      <c r="AS217" s="307"/>
      <c r="AT217" s="307"/>
      <c r="AU217" s="102"/>
      <c r="AV217" s="307"/>
      <c r="AW217" s="307"/>
      <c r="AX217" s="307"/>
      <c r="AY217" s="102"/>
      <c r="AZ217" s="39"/>
      <c r="BA217" s="104"/>
      <c r="BB217" s="39"/>
      <c r="BC217" s="104"/>
      <c r="BD217" s="39"/>
      <c r="BE217" s="39"/>
      <c r="BF217" s="39"/>
      <c r="BG217" s="104"/>
      <c r="BH217" s="39"/>
      <c r="BI217" s="39"/>
      <c r="BJ217" s="39"/>
      <c r="BK217" s="104"/>
      <c r="BL217" s="39"/>
      <c r="BM217" s="307"/>
      <c r="BN217" s="307"/>
      <c r="BO217" s="102"/>
      <c r="BP217" s="310"/>
      <c r="BQ217" s="307"/>
      <c r="BR217" s="307"/>
      <c r="BS217" s="102"/>
    </row>
    <row r="218" spans="1:71" s="5" customFormat="1">
      <c r="A218" s="12"/>
      <c r="B218" s="307"/>
      <c r="C218" s="307"/>
      <c r="D218" s="307"/>
      <c r="E218" s="307"/>
      <c r="F218" s="307"/>
      <c r="G218" s="307"/>
      <c r="H218" s="307"/>
      <c r="I218" s="39"/>
      <c r="J218" s="39"/>
      <c r="K218" s="39"/>
      <c r="L218" s="39"/>
      <c r="M218" s="39"/>
      <c r="N218" s="307"/>
      <c r="O218" s="307"/>
      <c r="P218" s="307"/>
      <c r="Q218" s="307"/>
      <c r="R218" s="307"/>
      <c r="S218" s="307"/>
      <c r="T218" s="307"/>
      <c r="U218" s="307"/>
      <c r="V218" s="307"/>
      <c r="X218" s="307"/>
      <c r="Y218" s="307"/>
      <c r="Z218" s="307"/>
      <c r="AA218" s="307"/>
      <c r="AB218" s="307"/>
      <c r="AC218" s="307"/>
      <c r="AD218" s="307"/>
      <c r="AE218" s="307"/>
      <c r="AF218" s="307"/>
      <c r="AG218" s="307"/>
      <c r="AH218" s="307"/>
      <c r="AI218" s="307"/>
      <c r="AJ218" s="307"/>
      <c r="AK218" s="307"/>
      <c r="AL218" s="307"/>
      <c r="AM218" s="307"/>
      <c r="AN218" s="307"/>
      <c r="AO218" s="307"/>
      <c r="AP218" s="307"/>
      <c r="AQ218" s="307"/>
      <c r="AR218" s="307"/>
      <c r="AS218" s="307"/>
      <c r="AT218" s="307"/>
      <c r="AU218" s="102"/>
      <c r="AV218" s="307"/>
      <c r="AW218" s="307"/>
      <c r="AX218" s="307"/>
      <c r="AY218" s="102"/>
      <c r="AZ218" s="39"/>
      <c r="BA218" s="104"/>
      <c r="BB218" s="39"/>
      <c r="BC218" s="104"/>
      <c r="BD218" s="39"/>
      <c r="BE218" s="39"/>
      <c r="BF218" s="39"/>
      <c r="BG218" s="104"/>
      <c r="BH218" s="39"/>
      <c r="BI218" s="39"/>
      <c r="BJ218" s="39"/>
      <c r="BK218" s="104"/>
      <c r="BL218" s="39"/>
      <c r="BM218" s="307"/>
      <c r="BN218" s="307"/>
      <c r="BO218" s="102"/>
      <c r="BP218" s="310"/>
      <c r="BQ218" s="307"/>
      <c r="BR218" s="307"/>
      <c r="BS218" s="102"/>
    </row>
    <row r="219" spans="1:71" s="5" customFormat="1">
      <c r="A219" s="12"/>
      <c r="B219" s="307"/>
      <c r="C219" s="307"/>
      <c r="D219" s="307"/>
      <c r="E219" s="307"/>
      <c r="F219" s="307"/>
      <c r="G219" s="307"/>
      <c r="H219" s="307"/>
      <c r="I219" s="39"/>
      <c r="J219" s="39"/>
      <c r="K219" s="39"/>
      <c r="L219" s="39"/>
      <c r="M219" s="39"/>
      <c r="N219" s="307"/>
      <c r="O219" s="307"/>
      <c r="P219" s="307"/>
      <c r="Q219" s="307"/>
      <c r="R219" s="307"/>
      <c r="S219" s="307"/>
      <c r="T219" s="307"/>
      <c r="U219" s="307"/>
      <c r="V219" s="307"/>
      <c r="X219" s="307"/>
      <c r="Y219" s="307"/>
      <c r="Z219" s="307"/>
      <c r="AA219" s="307"/>
      <c r="AB219" s="307"/>
      <c r="AC219" s="307"/>
      <c r="AD219" s="307"/>
      <c r="AE219" s="307"/>
      <c r="AF219" s="307"/>
      <c r="AG219" s="307"/>
      <c r="AH219" s="307"/>
      <c r="AI219" s="307"/>
      <c r="AJ219" s="307"/>
      <c r="AK219" s="307"/>
      <c r="AL219" s="307"/>
      <c r="AM219" s="307"/>
      <c r="AN219" s="307"/>
      <c r="AO219" s="307"/>
      <c r="AP219" s="307"/>
      <c r="AQ219" s="307"/>
      <c r="AR219" s="307"/>
      <c r="AS219" s="307"/>
      <c r="AT219" s="307"/>
      <c r="AU219" s="102"/>
      <c r="AV219" s="307"/>
      <c r="AW219" s="307"/>
      <c r="AX219" s="307"/>
      <c r="AY219" s="102"/>
      <c r="AZ219" s="39"/>
      <c r="BA219" s="104"/>
      <c r="BB219" s="39"/>
      <c r="BC219" s="104"/>
      <c r="BD219" s="39"/>
      <c r="BE219" s="39"/>
      <c r="BF219" s="39"/>
      <c r="BG219" s="104"/>
      <c r="BH219" s="39"/>
      <c r="BI219" s="39"/>
      <c r="BJ219" s="39"/>
      <c r="BK219" s="104"/>
      <c r="BL219" s="39"/>
      <c r="BM219" s="307"/>
      <c r="BN219" s="307"/>
      <c r="BO219" s="102"/>
      <c r="BP219" s="310"/>
      <c r="BQ219" s="307"/>
      <c r="BR219" s="307"/>
      <c r="BS219" s="102"/>
    </row>
    <row r="220" spans="1:71" s="5" customFormat="1">
      <c r="A220" s="12"/>
      <c r="B220" s="307"/>
      <c r="C220" s="307"/>
      <c r="D220" s="307"/>
      <c r="E220" s="307"/>
      <c r="F220" s="307"/>
      <c r="G220" s="307"/>
      <c r="H220" s="307"/>
      <c r="I220" s="39"/>
      <c r="J220" s="39"/>
      <c r="K220" s="39"/>
      <c r="L220" s="39"/>
      <c r="M220" s="39"/>
      <c r="N220" s="307"/>
      <c r="O220" s="307"/>
      <c r="P220" s="307"/>
      <c r="Q220" s="307"/>
      <c r="R220" s="307"/>
      <c r="S220" s="307"/>
      <c r="T220" s="307"/>
      <c r="U220" s="307"/>
      <c r="V220" s="307"/>
      <c r="X220" s="307"/>
      <c r="Y220" s="307"/>
      <c r="Z220" s="307"/>
      <c r="AA220" s="307"/>
      <c r="AB220" s="307"/>
      <c r="AC220" s="307"/>
      <c r="AD220" s="307"/>
      <c r="AE220" s="307"/>
      <c r="AF220" s="307"/>
      <c r="AG220" s="307"/>
      <c r="AH220" s="307"/>
      <c r="AI220" s="307"/>
      <c r="AJ220" s="307"/>
      <c r="AK220" s="307"/>
      <c r="AL220" s="307"/>
      <c r="AM220" s="307"/>
      <c r="AN220" s="307"/>
      <c r="AO220" s="307"/>
      <c r="AP220" s="307"/>
      <c r="AQ220" s="307"/>
      <c r="AR220" s="307"/>
      <c r="AS220" s="307"/>
      <c r="AT220" s="307"/>
      <c r="AU220" s="102"/>
      <c r="AV220" s="307"/>
      <c r="AW220" s="307"/>
      <c r="AX220" s="307"/>
      <c r="AY220" s="102"/>
      <c r="AZ220" s="39"/>
      <c r="BA220" s="104"/>
      <c r="BB220" s="39"/>
      <c r="BC220" s="104"/>
      <c r="BD220" s="39"/>
      <c r="BE220" s="39"/>
      <c r="BF220" s="39"/>
      <c r="BG220" s="104"/>
      <c r="BH220" s="39"/>
      <c r="BI220" s="39"/>
      <c r="BJ220" s="39"/>
      <c r="BK220" s="104"/>
      <c r="BL220" s="39"/>
      <c r="BM220" s="307"/>
      <c r="BN220" s="307"/>
      <c r="BO220" s="102"/>
      <c r="BP220" s="310"/>
      <c r="BQ220" s="307"/>
      <c r="BR220" s="307"/>
      <c r="BS220" s="102"/>
    </row>
    <row r="221" spans="1:71" s="5" customFormat="1">
      <c r="A221" s="12"/>
      <c r="B221" s="307"/>
      <c r="C221" s="307"/>
      <c r="D221" s="307"/>
      <c r="E221" s="307"/>
      <c r="F221" s="307"/>
      <c r="G221" s="307"/>
      <c r="H221" s="307"/>
      <c r="I221" s="39"/>
      <c r="J221" s="39"/>
      <c r="K221" s="39"/>
      <c r="L221" s="39"/>
      <c r="M221" s="39"/>
      <c r="N221" s="307"/>
      <c r="O221" s="307"/>
      <c r="P221" s="307"/>
      <c r="Q221" s="307"/>
      <c r="R221" s="307"/>
      <c r="S221" s="307"/>
      <c r="T221" s="307"/>
      <c r="U221" s="307"/>
      <c r="V221" s="307"/>
      <c r="X221" s="307"/>
      <c r="Y221" s="307"/>
      <c r="Z221" s="307"/>
      <c r="AA221" s="307"/>
      <c r="AB221" s="307"/>
      <c r="AC221" s="307"/>
      <c r="AD221" s="307"/>
      <c r="AE221" s="307"/>
      <c r="AF221" s="307"/>
      <c r="AG221" s="307"/>
      <c r="AH221" s="307"/>
      <c r="AI221" s="307"/>
      <c r="AJ221" s="307"/>
      <c r="AK221" s="307"/>
      <c r="AL221" s="307"/>
      <c r="AM221" s="307"/>
      <c r="AN221" s="307"/>
      <c r="AO221" s="307"/>
      <c r="AP221" s="307"/>
      <c r="AQ221" s="307"/>
      <c r="AR221" s="307"/>
      <c r="AS221" s="307"/>
      <c r="AT221" s="307"/>
      <c r="AU221" s="102"/>
      <c r="AV221" s="307"/>
      <c r="AW221" s="307"/>
      <c r="AX221" s="307"/>
      <c r="AY221" s="102"/>
      <c r="AZ221" s="39"/>
      <c r="BA221" s="104"/>
      <c r="BB221" s="39"/>
      <c r="BC221" s="104"/>
      <c r="BD221" s="39"/>
      <c r="BE221" s="39"/>
      <c r="BF221" s="39"/>
      <c r="BG221" s="104"/>
      <c r="BH221" s="39"/>
      <c r="BI221" s="39"/>
      <c r="BJ221" s="39"/>
      <c r="BK221" s="104"/>
      <c r="BL221" s="39"/>
      <c r="BM221" s="307"/>
      <c r="BN221" s="307"/>
      <c r="BO221" s="102"/>
      <c r="BP221" s="310"/>
      <c r="BQ221" s="307"/>
      <c r="BR221" s="307"/>
      <c r="BS221" s="102"/>
    </row>
    <row r="222" spans="1:71" s="5" customFormat="1">
      <c r="A222" s="12"/>
      <c r="B222" s="307"/>
      <c r="C222" s="307"/>
      <c r="D222" s="307"/>
      <c r="E222" s="307"/>
      <c r="F222" s="307"/>
      <c r="G222" s="307"/>
      <c r="H222" s="307"/>
      <c r="I222" s="39"/>
      <c r="J222" s="39"/>
      <c r="K222" s="39"/>
      <c r="L222" s="39"/>
      <c r="M222" s="39"/>
      <c r="N222" s="307"/>
      <c r="O222" s="307"/>
      <c r="P222" s="307"/>
      <c r="Q222" s="307"/>
      <c r="R222" s="307"/>
      <c r="S222" s="307"/>
      <c r="T222" s="307"/>
      <c r="U222" s="307"/>
      <c r="V222" s="307"/>
      <c r="X222" s="307"/>
      <c r="Y222" s="307"/>
      <c r="Z222" s="307"/>
      <c r="AA222" s="307"/>
      <c r="AB222" s="307"/>
      <c r="AC222" s="307"/>
      <c r="AD222" s="307"/>
      <c r="AE222" s="307"/>
      <c r="AF222" s="307"/>
      <c r="AG222" s="307"/>
      <c r="AH222" s="307"/>
      <c r="AI222" s="307"/>
      <c r="AJ222" s="307"/>
      <c r="AK222" s="307"/>
      <c r="AL222" s="307"/>
      <c r="AM222" s="307"/>
      <c r="AN222" s="307"/>
      <c r="AO222" s="307"/>
      <c r="AP222" s="307"/>
      <c r="AQ222" s="307"/>
      <c r="AR222" s="307"/>
      <c r="AS222" s="307"/>
      <c r="AT222" s="307"/>
      <c r="AU222" s="102"/>
      <c r="AV222" s="307"/>
      <c r="AW222" s="307"/>
      <c r="AX222" s="307"/>
      <c r="AY222" s="102"/>
      <c r="AZ222" s="39"/>
      <c r="BA222" s="104"/>
      <c r="BB222" s="39"/>
      <c r="BC222" s="104"/>
      <c r="BD222" s="39"/>
      <c r="BE222" s="39"/>
      <c r="BF222" s="39"/>
      <c r="BG222" s="104"/>
      <c r="BH222" s="39"/>
      <c r="BI222" s="39"/>
      <c r="BJ222" s="39"/>
      <c r="BK222" s="104"/>
      <c r="BL222" s="39"/>
      <c r="BM222" s="307"/>
      <c r="BN222" s="307"/>
      <c r="BO222" s="102"/>
      <c r="BP222" s="310"/>
      <c r="BQ222" s="307"/>
      <c r="BR222" s="307"/>
      <c r="BS222" s="102"/>
    </row>
    <row r="223" spans="1:71" s="5" customFormat="1">
      <c r="A223" s="12"/>
      <c r="B223" s="307"/>
      <c r="C223" s="307"/>
      <c r="D223" s="307"/>
      <c r="E223" s="307"/>
      <c r="F223" s="307"/>
      <c r="G223" s="307"/>
      <c r="H223" s="307"/>
      <c r="I223" s="39"/>
      <c r="J223" s="39"/>
      <c r="K223" s="39"/>
      <c r="L223" s="39"/>
      <c r="M223" s="39"/>
      <c r="N223" s="307"/>
      <c r="O223" s="307"/>
      <c r="P223" s="307"/>
      <c r="Q223" s="307"/>
      <c r="R223" s="307"/>
      <c r="S223" s="307"/>
      <c r="T223" s="307"/>
      <c r="U223" s="307"/>
      <c r="V223" s="307"/>
      <c r="X223" s="307"/>
      <c r="Y223" s="307"/>
      <c r="Z223" s="307"/>
      <c r="AA223" s="307"/>
      <c r="AB223" s="307"/>
      <c r="AC223" s="307"/>
      <c r="AD223" s="307"/>
      <c r="AE223" s="307"/>
      <c r="AF223" s="307"/>
      <c r="AG223" s="307"/>
      <c r="AH223" s="307"/>
      <c r="AI223" s="307"/>
      <c r="AJ223" s="307"/>
      <c r="AK223" s="307"/>
      <c r="AL223" s="307"/>
      <c r="AM223" s="307"/>
      <c r="AN223" s="307"/>
      <c r="AO223" s="307"/>
      <c r="AP223" s="307"/>
      <c r="AQ223" s="307"/>
      <c r="AR223" s="307"/>
      <c r="AS223" s="307"/>
      <c r="AT223" s="307"/>
      <c r="AU223" s="102"/>
      <c r="AV223" s="307"/>
      <c r="AW223" s="307"/>
      <c r="AX223" s="307"/>
      <c r="AY223" s="102"/>
      <c r="AZ223" s="39"/>
      <c r="BA223" s="104"/>
      <c r="BB223" s="39"/>
      <c r="BC223" s="104"/>
      <c r="BD223" s="39"/>
      <c r="BE223" s="39"/>
      <c r="BF223" s="39"/>
      <c r="BG223" s="104"/>
      <c r="BH223" s="39"/>
      <c r="BI223" s="39"/>
      <c r="BJ223" s="39"/>
      <c r="BK223" s="104"/>
      <c r="BL223" s="39"/>
      <c r="BM223" s="307"/>
      <c r="BN223" s="307"/>
      <c r="BO223" s="102"/>
      <c r="BP223" s="310"/>
      <c r="BQ223" s="307"/>
      <c r="BR223" s="307"/>
      <c r="BS223" s="102"/>
    </row>
    <row r="224" spans="1:71" s="5" customFormat="1">
      <c r="A224" s="12"/>
      <c r="B224" s="307"/>
      <c r="C224" s="307"/>
      <c r="D224" s="307"/>
      <c r="E224" s="307"/>
      <c r="F224" s="307"/>
      <c r="G224" s="307"/>
      <c r="H224" s="307"/>
      <c r="I224" s="39"/>
      <c r="J224" s="39"/>
      <c r="K224" s="39"/>
      <c r="L224" s="39"/>
      <c r="M224" s="39"/>
      <c r="N224" s="307"/>
      <c r="O224" s="307"/>
      <c r="P224" s="307"/>
      <c r="Q224" s="307"/>
      <c r="R224" s="307"/>
      <c r="S224" s="307"/>
      <c r="T224" s="307"/>
      <c r="U224" s="307"/>
      <c r="V224" s="307"/>
      <c r="X224" s="307"/>
      <c r="Y224" s="307"/>
      <c r="Z224" s="307"/>
      <c r="AA224" s="307"/>
      <c r="AB224" s="307"/>
      <c r="AC224" s="307"/>
      <c r="AD224" s="307"/>
      <c r="AE224" s="307"/>
      <c r="AF224" s="307"/>
      <c r="AG224" s="307"/>
      <c r="AH224" s="307"/>
      <c r="AI224" s="307"/>
      <c r="AJ224" s="307"/>
      <c r="AK224" s="307"/>
      <c r="AL224" s="307"/>
      <c r="AM224" s="307"/>
      <c r="AN224" s="307"/>
      <c r="AO224" s="307"/>
      <c r="AP224" s="307"/>
      <c r="AQ224" s="307"/>
      <c r="AR224" s="307"/>
      <c r="AS224" s="307"/>
      <c r="AT224" s="307"/>
      <c r="AU224" s="102"/>
      <c r="AV224" s="307"/>
      <c r="AW224" s="307"/>
      <c r="AX224" s="307"/>
      <c r="AY224" s="102"/>
      <c r="AZ224" s="39"/>
      <c r="BA224" s="104"/>
      <c r="BB224" s="39"/>
      <c r="BC224" s="104"/>
      <c r="BD224" s="39"/>
      <c r="BE224" s="39"/>
      <c r="BF224" s="39"/>
      <c r="BG224" s="104"/>
      <c r="BH224" s="39"/>
      <c r="BI224" s="39"/>
      <c r="BJ224" s="39"/>
      <c r="BK224" s="104"/>
      <c r="BL224" s="39"/>
      <c r="BM224" s="307"/>
      <c r="BN224" s="307"/>
      <c r="BO224" s="102"/>
      <c r="BP224" s="310"/>
      <c r="BQ224" s="307"/>
      <c r="BR224" s="307"/>
      <c r="BS224" s="102"/>
    </row>
    <row r="225" spans="1:71" s="5" customFormat="1">
      <c r="A225" s="12"/>
      <c r="B225" s="307"/>
      <c r="C225" s="307"/>
      <c r="D225" s="307"/>
      <c r="E225" s="307"/>
      <c r="F225" s="307"/>
      <c r="G225" s="307"/>
      <c r="H225" s="307"/>
      <c r="I225" s="39"/>
      <c r="J225" s="39"/>
      <c r="K225" s="39"/>
      <c r="L225" s="39"/>
      <c r="M225" s="39"/>
      <c r="N225" s="307"/>
      <c r="O225" s="307"/>
      <c r="P225" s="307"/>
      <c r="Q225" s="307"/>
      <c r="R225" s="307"/>
      <c r="S225" s="307"/>
      <c r="T225" s="307"/>
      <c r="U225" s="307"/>
      <c r="V225" s="307"/>
      <c r="X225" s="307"/>
      <c r="Y225" s="307"/>
      <c r="Z225" s="307"/>
      <c r="AA225" s="307"/>
      <c r="AB225" s="307"/>
      <c r="AC225" s="307"/>
      <c r="AD225" s="307"/>
      <c r="AE225" s="307"/>
      <c r="AF225" s="307"/>
      <c r="AG225" s="307"/>
      <c r="AH225" s="307"/>
      <c r="AI225" s="307"/>
      <c r="AJ225" s="307"/>
      <c r="AK225" s="307"/>
      <c r="AL225" s="307"/>
      <c r="AM225" s="307"/>
      <c r="AN225" s="307"/>
      <c r="AO225" s="307"/>
      <c r="AP225" s="307"/>
      <c r="AQ225" s="307"/>
      <c r="AR225" s="307"/>
      <c r="AS225" s="307"/>
      <c r="AT225" s="307"/>
      <c r="AU225" s="102"/>
      <c r="AV225" s="307"/>
      <c r="AW225" s="307"/>
      <c r="AX225" s="307"/>
      <c r="AY225" s="102"/>
      <c r="AZ225" s="39"/>
      <c r="BA225" s="104"/>
      <c r="BB225" s="39"/>
      <c r="BC225" s="104"/>
      <c r="BD225" s="39"/>
      <c r="BE225" s="39"/>
      <c r="BF225" s="39"/>
      <c r="BG225" s="104"/>
      <c r="BH225" s="39"/>
      <c r="BI225" s="39"/>
      <c r="BJ225" s="39"/>
      <c r="BK225" s="104"/>
      <c r="BL225" s="39"/>
      <c r="BM225" s="307"/>
      <c r="BN225" s="307"/>
      <c r="BO225" s="102"/>
      <c r="BP225" s="310"/>
      <c r="BQ225" s="307"/>
      <c r="BR225" s="307"/>
      <c r="BS225" s="102"/>
    </row>
    <row r="226" spans="1:71" s="5" customFormat="1">
      <c r="A226" s="12"/>
      <c r="B226" s="307"/>
      <c r="C226" s="307"/>
      <c r="D226" s="307"/>
      <c r="E226" s="307"/>
      <c r="F226" s="307"/>
      <c r="G226" s="307"/>
      <c r="H226" s="307"/>
      <c r="I226" s="39"/>
      <c r="J226" s="39"/>
      <c r="K226" s="39"/>
      <c r="L226" s="39"/>
      <c r="M226" s="39"/>
      <c r="N226" s="307"/>
      <c r="O226" s="307"/>
      <c r="P226" s="307"/>
      <c r="Q226" s="307"/>
      <c r="R226" s="307"/>
      <c r="S226" s="307"/>
      <c r="T226" s="307"/>
      <c r="U226" s="307"/>
      <c r="V226" s="307"/>
      <c r="X226" s="307"/>
      <c r="Y226" s="307"/>
      <c r="Z226" s="307"/>
      <c r="AA226" s="307"/>
      <c r="AB226" s="307"/>
      <c r="AC226" s="307"/>
      <c r="AD226" s="307"/>
      <c r="AE226" s="307"/>
      <c r="AF226" s="307"/>
      <c r="AG226" s="307"/>
      <c r="AH226" s="307"/>
      <c r="AI226" s="307"/>
      <c r="AJ226" s="307"/>
      <c r="AK226" s="307"/>
      <c r="AL226" s="307"/>
      <c r="AM226" s="307"/>
      <c r="AN226" s="307"/>
      <c r="AO226" s="307"/>
      <c r="AP226" s="307"/>
      <c r="AQ226" s="307"/>
      <c r="AR226" s="307"/>
      <c r="AS226" s="307"/>
      <c r="AT226" s="307"/>
      <c r="AU226" s="102"/>
      <c r="AV226" s="307"/>
      <c r="AW226" s="307"/>
      <c r="AX226" s="307"/>
      <c r="AY226" s="102"/>
      <c r="AZ226" s="39"/>
      <c r="BA226" s="104"/>
      <c r="BB226" s="39"/>
      <c r="BC226" s="104"/>
      <c r="BD226" s="39"/>
      <c r="BE226" s="39"/>
      <c r="BF226" s="39"/>
      <c r="BG226" s="104"/>
      <c r="BH226" s="39"/>
      <c r="BI226" s="39"/>
      <c r="BJ226" s="39"/>
      <c r="BK226" s="104"/>
      <c r="BL226" s="39"/>
      <c r="BM226" s="307"/>
      <c r="BN226" s="307"/>
      <c r="BO226" s="102"/>
      <c r="BP226" s="310"/>
      <c r="BQ226" s="307"/>
      <c r="BR226" s="307"/>
      <c r="BS226" s="102"/>
    </row>
    <row r="227" spans="1:71" s="5" customFormat="1">
      <c r="A227" s="12"/>
      <c r="B227" s="307"/>
      <c r="C227" s="307"/>
      <c r="D227" s="307"/>
      <c r="E227" s="307"/>
      <c r="F227" s="307"/>
      <c r="G227" s="307"/>
      <c r="H227" s="307"/>
      <c r="I227" s="39"/>
      <c r="J227" s="39"/>
      <c r="K227" s="39"/>
      <c r="L227" s="39"/>
      <c r="M227" s="39"/>
      <c r="N227" s="307"/>
      <c r="O227" s="307"/>
      <c r="P227" s="307"/>
      <c r="Q227" s="307"/>
      <c r="R227" s="307"/>
      <c r="S227" s="307"/>
      <c r="T227" s="307"/>
      <c r="U227" s="307"/>
      <c r="V227" s="307"/>
      <c r="X227" s="307"/>
      <c r="Y227" s="307"/>
      <c r="Z227" s="307"/>
      <c r="AA227" s="307"/>
      <c r="AB227" s="307"/>
      <c r="AC227" s="307"/>
      <c r="AD227" s="307"/>
      <c r="AE227" s="307"/>
      <c r="AF227" s="307"/>
      <c r="AG227" s="307"/>
      <c r="AH227" s="307"/>
      <c r="AI227" s="307"/>
      <c r="AJ227" s="307"/>
      <c r="AK227" s="307"/>
      <c r="AL227" s="307"/>
      <c r="AM227" s="307"/>
      <c r="AN227" s="307"/>
      <c r="AO227" s="307"/>
      <c r="AP227" s="307"/>
      <c r="AQ227" s="307"/>
      <c r="AR227" s="307"/>
      <c r="AS227" s="307"/>
      <c r="AT227" s="307"/>
      <c r="AU227" s="102"/>
      <c r="AV227" s="307"/>
      <c r="AW227" s="307"/>
      <c r="AX227" s="307"/>
      <c r="AY227" s="102"/>
      <c r="AZ227" s="39"/>
      <c r="BA227" s="104"/>
      <c r="BB227" s="39"/>
      <c r="BC227" s="104"/>
      <c r="BD227" s="39"/>
      <c r="BE227" s="39"/>
      <c r="BF227" s="39"/>
      <c r="BG227" s="104"/>
      <c r="BH227" s="39"/>
      <c r="BI227" s="39"/>
      <c r="BJ227" s="39"/>
      <c r="BK227" s="104"/>
      <c r="BL227" s="39"/>
      <c r="BM227" s="307"/>
      <c r="BN227" s="307"/>
      <c r="BO227" s="102"/>
      <c r="BP227" s="310"/>
      <c r="BQ227" s="307"/>
      <c r="BR227" s="307"/>
      <c r="BS227" s="102"/>
    </row>
    <row r="228" spans="1:71" s="5" customFormat="1">
      <c r="A228" s="12"/>
      <c r="B228" s="307"/>
      <c r="C228" s="307"/>
      <c r="D228" s="307"/>
      <c r="E228" s="307"/>
      <c r="F228" s="307"/>
      <c r="G228" s="307"/>
      <c r="H228" s="307"/>
      <c r="I228" s="39"/>
      <c r="J228" s="39"/>
      <c r="K228" s="39"/>
      <c r="L228" s="39"/>
      <c r="M228" s="39"/>
      <c r="N228" s="307"/>
      <c r="O228" s="307"/>
      <c r="P228" s="307"/>
      <c r="Q228" s="307"/>
      <c r="R228" s="307"/>
      <c r="S228" s="307"/>
      <c r="T228" s="307"/>
      <c r="U228" s="307"/>
      <c r="V228" s="307"/>
      <c r="X228" s="307"/>
      <c r="Y228" s="307"/>
      <c r="Z228" s="307"/>
      <c r="AA228" s="307"/>
      <c r="AB228" s="307"/>
      <c r="AC228" s="307"/>
      <c r="AD228" s="307"/>
      <c r="AE228" s="307"/>
      <c r="AF228" s="307"/>
      <c r="AG228" s="307"/>
      <c r="AH228" s="307"/>
      <c r="AI228" s="307"/>
      <c r="AJ228" s="307"/>
      <c r="AK228" s="307"/>
      <c r="AL228" s="307"/>
      <c r="AM228" s="307"/>
      <c r="AN228" s="307"/>
      <c r="AO228" s="307"/>
      <c r="AP228" s="307"/>
      <c r="AQ228" s="307"/>
      <c r="AR228" s="307"/>
      <c r="AS228" s="307"/>
      <c r="AT228" s="307"/>
      <c r="AU228" s="102"/>
      <c r="AV228" s="307"/>
      <c r="AW228" s="307"/>
      <c r="AX228" s="307"/>
      <c r="AY228" s="102"/>
      <c r="AZ228" s="39"/>
      <c r="BA228" s="104"/>
      <c r="BB228" s="39"/>
      <c r="BC228" s="104"/>
      <c r="BD228" s="39"/>
      <c r="BE228" s="39"/>
      <c r="BF228" s="39"/>
      <c r="BG228" s="104"/>
      <c r="BH228" s="39"/>
      <c r="BI228" s="39"/>
      <c r="BJ228" s="39"/>
      <c r="BK228" s="104"/>
      <c r="BL228" s="39"/>
      <c r="BM228" s="307"/>
      <c r="BN228" s="307"/>
      <c r="BO228" s="102"/>
      <c r="BP228" s="310"/>
      <c r="BQ228" s="307"/>
      <c r="BR228" s="307"/>
      <c r="BS228" s="102"/>
    </row>
    <row r="229" spans="1:71" s="5" customFormat="1">
      <c r="A229" s="12"/>
      <c r="B229" s="307"/>
      <c r="C229" s="307"/>
      <c r="D229" s="307"/>
      <c r="E229" s="307"/>
      <c r="F229" s="307"/>
      <c r="G229" s="307"/>
      <c r="H229" s="307"/>
      <c r="I229" s="39"/>
      <c r="J229" s="39"/>
      <c r="K229" s="39"/>
      <c r="L229" s="39"/>
      <c r="M229" s="39"/>
      <c r="N229" s="307"/>
      <c r="O229" s="307"/>
      <c r="P229" s="307"/>
      <c r="Q229" s="307"/>
      <c r="R229" s="307"/>
      <c r="S229" s="307"/>
      <c r="T229" s="307"/>
      <c r="U229" s="307"/>
      <c r="V229" s="307"/>
      <c r="X229" s="307"/>
      <c r="Y229" s="307"/>
      <c r="Z229" s="307"/>
      <c r="AA229" s="307"/>
      <c r="AB229" s="307"/>
      <c r="AC229" s="307"/>
      <c r="AD229" s="307"/>
      <c r="AE229" s="307"/>
      <c r="AF229" s="307"/>
      <c r="AG229" s="307"/>
      <c r="AH229" s="307"/>
      <c r="AI229" s="307"/>
      <c r="AJ229" s="307"/>
      <c r="AK229" s="307"/>
      <c r="AL229" s="307"/>
      <c r="AM229" s="307"/>
      <c r="AN229" s="307"/>
      <c r="AO229" s="307"/>
      <c r="AP229" s="307"/>
      <c r="AQ229" s="307"/>
      <c r="AR229" s="307"/>
      <c r="AS229" s="307"/>
      <c r="AT229" s="307"/>
      <c r="AU229" s="102"/>
      <c r="AV229" s="307"/>
      <c r="AW229" s="307"/>
      <c r="AX229" s="307"/>
      <c r="AY229" s="102"/>
      <c r="AZ229" s="39"/>
      <c r="BA229" s="104"/>
      <c r="BB229" s="39"/>
      <c r="BC229" s="104"/>
      <c r="BD229" s="39"/>
      <c r="BE229" s="39"/>
      <c r="BF229" s="39"/>
      <c r="BG229" s="104"/>
      <c r="BH229" s="39"/>
      <c r="BI229" s="39"/>
      <c r="BJ229" s="39"/>
      <c r="BK229" s="104"/>
      <c r="BL229" s="39"/>
      <c r="BM229" s="307"/>
      <c r="BN229" s="307"/>
      <c r="BO229" s="102"/>
      <c r="BP229" s="310"/>
      <c r="BQ229" s="307"/>
      <c r="BR229" s="307"/>
      <c r="BS229" s="102"/>
    </row>
    <row r="230" spans="1:71" s="5" customFormat="1">
      <c r="A230" s="12"/>
      <c r="B230" s="307"/>
      <c r="C230" s="307"/>
      <c r="D230" s="307"/>
      <c r="E230" s="307"/>
      <c r="F230" s="307"/>
      <c r="G230" s="307"/>
      <c r="H230" s="307"/>
      <c r="I230" s="39"/>
      <c r="J230" s="39"/>
      <c r="K230" s="39"/>
      <c r="L230" s="39"/>
      <c r="M230" s="39"/>
      <c r="N230" s="307"/>
      <c r="O230" s="307"/>
      <c r="P230" s="307"/>
      <c r="Q230" s="307"/>
      <c r="R230" s="307"/>
      <c r="S230" s="307"/>
      <c r="T230" s="307"/>
      <c r="U230" s="307"/>
      <c r="V230" s="307"/>
      <c r="X230" s="307"/>
      <c r="Y230" s="307"/>
      <c r="Z230" s="307"/>
      <c r="AA230" s="307"/>
      <c r="AB230" s="307"/>
      <c r="AC230" s="307"/>
      <c r="AD230" s="307"/>
      <c r="AE230" s="307"/>
      <c r="AF230" s="307"/>
      <c r="AG230" s="307"/>
      <c r="AH230" s="307"/>
      <c r="AI230" s="307"/>
      <c r="AJ230" s="307"/>
      <c r="AK230" s="307"/>
      <c r="AL230" s="307"/>
      <c r="AM230" s="307"/>
      <c r="AN230" s="307"/>
      <c r="AO230" s="307"/>
      <c r="AP230" s="307"/>
      <c r="AQ230" s="307"/>
      <c r="AR230" s="307"/>
      <c r="AS230" s="307"/>
      <c r="AT230" s="307"/>
      <c r="AU230" s="102"/>
      <c r="AV230" s="307"/>
      <c r="AW230" s="307"/>
      <c r="AX230" s="307"/>
      <c r="AY230" s="102"/>
      <c r="AZ230" s="39"/>
      <c r="BA230" s="104"/>
      <c r="BB230" s="39"/>
      <c r="BC230" s="104"/>
      <c r="BD230" s="39"/>
      <c r="BE230" s="39"/>
      <c r="BF230" s="39"/>
      <c r="BG230" s="104"/>
      <c r="BH230" s="39"/>
      <c r="BI230" s="39"/>
      <c r="BJ230" s="39"/>
      <c r="BK230" s="104"/>
      <c r="BL230" s="39"/>
      <c r="BM230" s="307"/>
      <c r="BN230" s="307"/>
      <c r="BO230" s="102"/>
      <c r="BP230" s="310"/>
      <c r="BQ230" s="307"/>
      <c r="BR230" s="307"/>
      <c r="BS230" s="102"/>
    </row>
    <row r="231" spans="1:71" s="5" customFormat="1">
      <c r="A231" s="12"/>
      <c r="B231" s="307"/>
      <c r="C231" s="307"/>
      <c r="D231" s="307"/>
      <c r="E231" s="307"/>
      <c r="F231" s="307"/>
      <c r="G231" s="307"/>
      <c r="H231" s="307"/>
      <c r="I231" s="39"/>
      <c r="J231" s="39"/>
      <c r="K231" s="39"/>
      <c r="L231" s="39"/>
      <c r="M231" s="39"/>
      <c r="N231" s="307"/>
      <c r="O231" s="307"/>
      <c r="P231" s="307"/>
      <c r="Q231" s="307"/>
      <c r="R231" s="307"/>
      <c r="S231" s="307"/>
      <c r="T231" s="307"/>
      <c r="U231" s="307"/>
      <c r="V231" s="307"/>
      <c r="X231" s="307"/>
      <c r="Y231" s="307"/>
      <c r="Z231" s="307"/>
      <c r="AA231" s="307"/>
      <c r="AB231" s="307"/>
      <c r="AC231" s="307"/>
      <c r="AD231" s="307"/>
      <c r="AE231" s="307"/>
      <c r="AF231" s="307"/>
      <c r="AG231" s="307"/>
      <c r="AH231" s="307"/>
      <c r="AI231" s="307"/>
      <c r="AJ231" s="307"/>
      <c r="AK231" s="307"/>
      <c r="AL231" s="307"/>
      <c r="AM231" s="307"/>
      <c r="AN231" s="307"/>
      <c r="AO231" s="307"/>
      <c r="AP231" s="307"/>
      <c r="AQ231" s="307"/>
      <c r="AR231" s="307"/>
      <c r="AS231" s="307"/>
      <c r="AT231" s="307"/>
      <c r="AU231" s="102"/>
      <c r="AV231" s="307"/>
      <c r="AW231" s="307"/>
      <c r="AX231" s="307"/>
      <c r="AY231" s="102"/>
      <c r="AZ231" s="39"/>
      <c r="BA231" s="104"/>
      <c r="BB231" s="39"/>
      <c r="BC231" s="104"/>
      <c r="BD231" s="39"/>
      <c r="BE231" s="39"/>
      <c r="BF231" s="39"/>
      <c r="BG231" s="104"/>
      <c r="BH231" s="39"/>
      <c r="BI231" s="39"/>
      <c r="BJ231" s="39"/>
      <c r="BK231" s="104"/>
      <c r="BL231" s="39"/>
      <c r="BM231" s="307"/>
      <c r="BN231" s="307"/>
      <c r="BO231" s="102"/>
      <c r="BP231" s="310"/>
      <c r="BQ231" s="307"/>
      <c r="BR231" s="307"/>
      <c r="BS231" s="102"/>
    </row>
    <row r="232" spans="1:71" s="5" customFormat="1">
      <c r="A232" s="12"/>
      <c r="B232" s="307"/>
      <c r="C232" s="307"/>
      <c r="D232" s="307"/>
      <c r="E232" s="307"/>
      <c r="F232" s="307"/>
      <c r="G232" s="307"/>
      <c r="H232" s="307"/>
      <c r="I232" s="39"/>
      <c r="J232" s="39"/>
      <c r="K232" s="39"/>
      <c r="L232" s="39"/>
      <c r="M232" s="39"/>
      <c r="N232" s="307"/>
      <c r="O232" s="307"/>
      <c r="P232" s="307"/>
      <c r="Q232" s="307"/>
      <c r="R232" s="307"/>
      <c r="S232" s="307"/>
      <c r="T232" s="307"/>
      <c r="U232" s="307"/>
      <c r="V232" s="307"/>
      <c r="X232" s="307"/>
      <c r="Y232" s="307"/>
      <c r="Z232" s="307"/>
      <c r="AA232" s="307"/>
      <c r="AB232" s="307"/>
      <c r="AC232" s="307"/>
      <c r="AD232" s="307"/>
      <c r="AE232" s="307"/>
      <c r="AF232" s="307"/>
      <c r="AG232" s="307"/>
      <c r="AH232" s="307"/>
      <c r="AI232" s="307"/>
      <c r="AJ232" s="307"/>
      <c r="AK232" s="307"/>
      <c r="AL232" s="307"/>
      <c r="AM232" s="307"/>
      <c r="AN232" s="307"/>
      <c r="AO232" s="307"/>
      <c r="AP232" s="307"/>
      <c r="AQ232" s="307"/>
      <c r="AR232" s="307"/>
      <c r="AS232" s="307"/>
      <c r="AT232" s="307"/>
      <c r="AU232" s="102"/>
      <c r="AV232" s="307"/>
      <c r="AW232" s="307"/>
      <c r="AX232" s="307"/>
      <c r="AY232" s="102"/>
      <c r="AZ232" s="39"/>
      <c r="BA232" s="104"/>
      <c r="BB232" s="39"/>
      <c r="BC232" s="104"/>
      <c r="BD232" s="39"/>
      <c r="BE232" s="39"/>
      <c r="BF232" s="39"/>
      <c r="BG232" s="104"/>
      <c r="BH232" s="39"/>
      <c r="BI232" s="39"/>
      <c r="BJ232" s="39"/>
      <c r="BK232" s="104"/>
      <c r="BL232" s="39"/>
      <c r="BM232" s="307"/>
      <c r="BN232" s="307"/>
      <c r="BO232" s="102"/>
      <c r="BP232" s="310"/>
      <c r="BQ232" s="307"/>
      <c r="BR232" s="307"/>
      <c r="BS232" s="102"/>
    </row>
    <row r="233" spans="1:71" s="5" customFormat="1">
      <c r="A233" s="12"/>
      <c r="B233" s="307"/>
      <c r="C233" s="307"/>
      <c r="D233" s="307"/>
      <c r="E233" s="307"/>
      <c r="F233" s="307"/>
      <c r="G233" s="307"/>
      <c r="H233" s="307"/>
      <c r="I233" s="39"/>
      <c r="J233" s="39"/>
      <c r="K233" s="39"/>
      <c r="L233" s="39"/>
      <c r="M233" s="39"/>
      <c r="N233" s="307"/>
      <c r="O233" s="307"/>
      <c r="P233" s="307"/>
      <c r="Q233" s="307"/>
      <c r="R233" s="307"/>
      <c r="S233" s="307"/>
      <c r="T233" s="307"/>
      <c r="U233" s="307"/>
      <c r="V233" s="307"/>
      <c r="X233" s="307"/>
      <c r="Y233" s="307"/>
      <c r="Z233" s="307"/>
      <c r="AA233" s="307"/>
      <c r="AB233" s="307"/>
      <c r="AC233" s="307"/>
      <c r="AD233" s="307"/>
      <c r="AE233" s="307"/>
      <c r="AF233" s="307"/>
      <c r="AG233" s="307"/>
      <c r="AH233" s="307"/>
      <c r="AI233" s="307"/>
      <c r="AJ233" s="307"/>
      <c r="AK233" s="307"/>
      <c r="AL233" s="307"/>
      <c r="AM233" s="307"/>
      <c r="AN233" s="307"/>
      <c r="AO233" s="307"/>
      <c r="AP233" s="307"/>
      <c r="AQ233" s="307"/>
      <c r="AR233" s="307"/>
      <c r="AS233" s="307"/>
      <c r="AT233" s="307"/>
      <c r="AU233" s="102"/>
      <c r="AV233" s="307"/>
      <c r="AW233" s="307"/>
      <c r="AX233" s="307"/>
      <c r="AY233" s="102"/>
      <c r="AZ233" s="39"/>
      <c r="BA233" s="104"/>
      <c r="BB233" s="39"/>
      <c r="BC233" s="104"/>
      <c r="BD233" s="39"/>
      <c r="BE233" s="39"/>
      <c r="BF233" s="39"/>
      <c r="BG233" s="104"/>
      <c r="BH233" s="39"/>
      <c r="BI233" s="39"/>
      <c r="BJ233" s="39"/>
      <c r="BK233" s="104"/>
      <c r="BL233" s="39"/>
      <c r="BM233" s="307"/>
      <c r="BN233" s="307"/>
      <c r="BO233" s="102"/>
      <c r="BP233" s="310"/>
      <c r="BQ233" s="307"/>
      <c r="BR233" s="307"/>
      <c r="BS233" s="102"/>
    </row>
    <row r="234" spans="1:71" s="5" customFormat="1">
      <c r="A234" s="12"/>
      <c r="B234" s="307"/>
      <c r="C234" s="307"/>
      <c r="D234" s="307"/>
      <c r="E234" s="307"/>
      <c r="F234" s="307"/>
      <c r="G234" s="307"/>
      <c r="H234" s="307"/>
      <c r="I234" s="39"/>
      <c r="J234" s="39"/>
      <c r="K234" s="39"/>
      <c r="L234" s="39"/>
      <c r="M234" s="39"/>
      <c r="N234" s="307"/>
      <c r="O234" s="307"/>
      <c r="P234" s="307"/>
      <c r="Q234" s="307"/>
      <c r="R234" s="307"/>
      <c r="S234" s="307"/>
      <c r="T234" s="307"/>
      <c r="U234" s="307"/>
      <c r="V234" s="307"/>
      <c r="X234" s="307"/>
      <c r="Y234" s="307"/>
      <c r="Z234" s="307"/>
      <c r="AA234" s="307"/>
      <c r="AB234" s="307"/>
      <c r="AC234" s="307"/>
      <c r="AD234" s="307"/>
      <c r="AE234" s="307"/>
      <c r="AF234" s="307"/>
      <c r="AG234" s="307"/>
      <c r="AH234" s="307"/>
      <c r="AI234" s="307"/>
      <c r="AJ234" s="307"/>
      <c r="AK234" s="307"/>
      <c r="AL234" s="307"/>
      <c r="AM234" s="307"/>
      <c r="AN234" s="307"/>
      <c r="AO234" s="307"/>
      <c r="AP234" s="307"/>
      <c r="AQ234" s="307"/>
      <c r="AR234" s="307"/>
      <c r="AS234" s="307"/>
      <c r="AT234" s="307"/>
      <c r="AU234" s="102"/>
      <c r="AV234" s="307"/>
      <c r="AW234" s="307"/>
      <c r="AX234" s="307"/>
      <c r="AY234" s="102"/>
      <c r="AZ234" s="39"/>
      <c r="BA234" s="104"/>
      <c r="BB234" s="39"/>
      <c r="BC234" s="104"/>
      <c r="BD234" s="39"/>
      <c r="BE234" s="39"/>
      <c r="BF234" s="39"/>
      <c r="BG234" s="104"/>
      <c r="BH234" s="39"/>
      <c r="BI234" s="39"/>
      <c r="BJ234" s="39"/>
      <c r="BK234" s="104"/>
      <c r="BL234" s="39"/>
      <c r="BM234" s="307"/>
      <c r="BN234" s="307"/>
      <c r="BO234" s="102"/>
      <c r="BP234" s="310"/>
      <c r="BQ234" s="307"/>
      <c r="BR234" s="307"/>
      <c r="BS234" s="102"/>
    </row>
    <row r="235" spans="1:71" s="5" customFormat="1">
      <c r="A235" s="12"/>
      <c r="B235" s="307"/>
      <c r="C235" s="307"/>
      <c r="D235" s="307"/>
      <c r="E235" s="307"/>
      <c r="F235" s="307"/>
      <c r="G235" s="307"/>
      <c r="H235" s="307"/>
      <c r="I235" s="39"/>
      <c r="J235" s="39"/>
      <c r="K235" s="39"/>
      <c r="L235" s="39"/>
      <c r="M235" s="39"/>
      <c r="N235" s="307"/>
      <c r="O235" s="307"/>
      <c r="P235" s="307"/>
      <c r="Q235" s="307"/>
      <c r="R235" s="307"/>
      <c r="S235" s="307"/>
      <c r="T235" s="307"/>
      <c r="U235" s="307"/>
      <c r="V235" s="307"/>
      <c r="X235" s="307"/>
      <c r="Y235" s="307"/>
      <c r="Z235" s="307"/>
      <c r="AA235" s="307"/>
      <c r="AB235" s="307"/>
      <c r="AC235" s="307"/>
      <c r="AD235" s="307"/>
      <c r="AE235" s="307"/>
      <c r="AF235" s="307"/>
      <c r="AG235" s="307"/>
      <c r="AH235" s="307"/>
      <c r="AI235" s="307"/>
      <c r="AJ235" s="307"/>
      <c r="AK235" s="307"/>
      <c r="AL235" s="307"/>
      <c r="AM235" s="307"/>
      <c r="AN235" s="307"/>
      <c r="AO235" s="307"/>
      <c r="AP235" s="307"/>
      <c r="AQ235" s="307"/>
      <c r="AR235" s="307"/>
      <c r="AS235" s="307"/>
      <c r="AT235" s="307"/>
      <c r="AU235" s="102"/>
      <c r="AV235" s="307"/>
      <c r="AW235" s="307"/>
      <c r="AX235" s="307"/>
      <c r="AY235" s="102"/>
      <c r="AZ235" s="39"/>
      <c r="BA235" s="104"/>
      <c r="BB235" s="39"/>
      <c r="BC235" s="104"/>
      <c r="BD235" s="39"/>
      <c r="BE235" s="39"/>
      <c r="BF235" s="39"/>
      <c r="BG235" s="104"/>
      <c r="BH235" s="39"/>
      <c r="BI235" s="39"/>
      <c r="BJ235" s="39"/>
      <c r="BK235" s="104"/>
      <c r="BL235" s="39"/>
      <c r="BM235" s="307"/>
      <c r="BN235" s="307"/>
      <c r="BO235" s="102"/>
      <c r="BP235" s="310"/>
      <c r="BQ235" s="307"/>
      <c r="BR235" s="307"/>
      <c r="BS235" s="102"/>
    </row>
    <row r="236" spans="1:71" s="5" customFormat="1">
      <c r="A236" s="12"/>
      <c r="B236" s="307"/>
      <c r="C236" s="307"/>
      <c r="D236" s="307"/>
      <c r="E236" s="307"/>
      <c r="F236" s="307"/>
      <c r="G236" s="307"/>
      <c r="H236" s="307"/>
      <c r="I236" s="39"/>
      <c r="J236" s="39"/>
      <c r="K236" s="39"/>
      <c r="L236" s="39"/>
      <c r="M236" s="39"/>
      <c r="N236" s="307"/>
      <c r="O236" s="307"/>
      <c r="P236" s="307"/>
      <c r="Q236" s="307"/>
      <c r="R236" s="307"/>
      <c r="S236" s="307"/>
      <c r="T236" s="307"/>
      <c r="U236" s="307"/>
      <c r="V236" s="307"/>
      <c r="X236" s="307"/>
      <c r="Y236" s="307"/>
      <c r="Z236" s="307"/>
      <c r="AA236" s="307"/>
      <c r="AB236" s="307"/>
      <c r="AC236" s="307"/>
      <c r="AD236" s="307"/>
      <c r="AE236" s="307"/>
      <c r="AF236" s="307"/>
      <c r="AG236" s="307"/>
      <c r="AH236" s="307"/>
      <c r="AI236" s="307"/>
      <c r="AJ236" s="307"/>
      <c r="AK236" s="307"/>
      <c r="AL236" s="307"/>
      <c r="AM236" s="307"/>
      <c r="AN236" s="307"/>
      <c r="AO236" s="307"/>
      <c r="AP236" s="307"/>
      <c r="AQ236" s="307"/>
      <c r="AR236" s="307"/>
      <c r="AS236" s="307"/>
      <c r="AT236" s="307"/>
      <c r="AU236" s="102"/>
      <c r="AV236" s="307"/>
      <c r="AW236" s="307"/>
      <c r="AX236" s="307"/>
      <c r="AY236" s="102"/>
      <c r="AZ236" s="39"/>
      <c r="BA236" s="104"/>
      <c r="BB236" s="39"/>
      <c r="BC236" s="104"/>
      <c r="BD236" s="39"/>
      <c r="BE236" s="39"/>
      <c r="BF236" s="39"/>
      <c r="BG236" s="104"/>
      <c r="BH236" s="39"/>
      <c r="BI236" s="39"/>
      <c r="BJ236" s="39"/>
      <c r="BK236" s="104"/>
      <c r="BL236" s="39"/>
      <c r="BM236" s="307"/>
      <c r="BN236" s="307"/>
      <c r="BO236" s="102"/>
      <c r="BP236" s="310"/>
      <c r="BQ236" s="307"/>
      <c r="BR236" s="307"/>
      <c r="BS236" s="102"/>
    </row>
    <row r="237" spans="1:71" s="5" customFormat="1">
      <c r="A237" s="12"/>
      <c r="B237" s="307"/>
      <c r="C237" s="307"/>
      <c r="D237" s="307"/>
      <c r="E237" s="307"/>
      <c r="F237" s="307"/>
      <c r="G237" s="307"/>
      <c r="H237" s="307"/>
      <c r="I237" s="39"/>
      <c r="J237" s="39"/>
      <c r="K237" s="39"/>
      <c r="L237" s="39"/>
      <c r="M237" s="39"/>
      <c r="N237" s="307"/>
      <c r="O237" s="307"/>
      <c r="P237" s="307"/>
      <c r="Q237" s="307"/>
      <c r="R237" s="307"/>
      <c r="S237" s="307"/>
      <c r="T237" s="307"/>
      <c r="U237" s="307"/>
      <c r="V237" s="307"/>
      <c r="X237" s="307"/>
      <c r="Y237" s="307"/>
      <c r="Z237" s="307"/>
      <c r="AA237" s="307"/>
      <c r="AB237" s="307"/>
      <c r="AC237" s="307"/>
      <c r="AD237" s="307"/>
      <c r="AE237" s="307"/>
      <c r="AF237" s="307"/>
      <c r="AG237" s="307"/>
      <c r="AH237" s="307"/>
      <c r="AI237" s="307"/>
      <c r="AJ237" s="307"/>
      <c r="AK237" s="307"/>
      <c r="AL237" s="307"/>
      <c r="AM237" s="307"/>
      <c r="AN237" s="307"/>
      <c r="AO237" s="307"/>
      <c r="AP237" s="307"/>
      <c r="AQ237" s="307"/>
      <c r="AR237" s="307"/>
      <c r="AS237" s="307"/>
      <c r="AT237" s="307"/>
      <c r="AU237" s="102"/>
      <c r="AV237" s="307"/>
      <c r="AW237" s="307"/>
      <c r="AX237" s="307"/>
      <c r="AY237" s="102"/>
      <c r="AZ237" s="39"/>
      <c r="BA237" s="104"/>
      <c r="BB237" s="39"/>
      <c r="BC237" s="104"/>
      <c r="BD237" s="39"/>
      <c r="BE237" s="39"/>
      <c r="BF237" s="39"/>
      <c r="BG237" s="104"/>
      <c r="BH237" s="39"/>
      <c r="BI237" s="39"/>
      <c r="BJ237" s="39"/>
      <c r="BK237" s="104"/>
      <c r="BL237" s="39"/>
      <c r="BM237" s="307"/>
      <c r="BN237" s="307"/>
      <c r="BO237" s="102"/>
      <c r="BP237" s="310"/>
      <c r="BQ237" s="307"/>
      <c r="BR237" s="307"/>
      <c r="BS237" s="102"/>
    </row>
    <row r="238" spans="1:71" s="5" customFormat="1">
      <c r="A238" s="12"/>
      <c r="B238" s="307"/>
      <c r="C238" s="307"/>
      <c r="D238" s="307"/>
      <c r="E238" s="307"/>
      <c r="F238" s="307"/>
      <c r="G238" s="307"/>
      <c r="H238" s="307"/>
      <c r="I238" s="39"/>
      <c r="J238" s="39"/>
      <c r="K238" s="39"/>
      <c r="L238" s="39"/>
      <c r="M238" s="39"/>
      <c r="N238" s="307"/>
      <c r="O238" s="307"/>
      <c r="P238" s="307"/>
      <c r="Q238" s="307"/>
      <c r="R238" s="307"/>
      <c r="S238" s="307"/>
      <c r="T238" s="307"/>
      <c r="U238" s="307"/>
      <c r="V238" s="307"/>
      <c r="X238" s="307"/>
      <c r="Y238" s="307"/>
      <c r="Z238" s="307"/>
      <c r="AA238" s="307"/>
      <c r="AB238" s="307"/>
      <c r="AC238" s="307"/>
      <c r="AD238" s="307"/>
      <c r="AE238" s="307"/>
      <c r="AF238" s="307"/>
      <c r="AG238" s="307"/>
      <c r="AH238" s="307"/>
      <c r="AI238" s="307"/>
      <c r="AJ238" s="307"/>
      <c r="AK238" s="307"/>
      <c r="AL238" s="307"/>
      <c r="AM238" s="307"/>
      <c r="AN238" s="307"/>
      <c r="AO238" s="307"/>
      <c r="AP238" s="307"/>
      <c r="AQ238" s="307"/>
      <c r="AR238" s="307"/>
      <c r="AS238" s="307"/>
      <c r="AT238" s="307"/>
      <c r="AU238" s="102"/>
      <c r="AV238" s="307"/>
      <c r="AW238" s="307"/>
      <c r="AX238" s="307"/>
      <c r="AY238" s="102"/>
      <c r="AZ238" s="39"/>
      <c r="BA238" s="104"/>
      <c r="BB238" s="39"/>
      <c r="BC238" s="104"/>
      <c r="BD238" s="39"/>
      <c r="BE238" s="39"/>
      <c r="BF238" s="39"/>
      <c r="BG238" s="104"/>
      <c r="BH238" s="39"/>
      <c r="BI238" s="39"/>
      <c r="BJ238" s="39"/>
      <c r="BK238" s="104"/>
      <c r="BL238" s="39"/>
      <c r="BM238" s="307"/>
      <c r="BN238" s="307"/>
      <c r="BO238" s="102"/>
      <c r="BP238" s="310"/>
      <c r="BQ238" s="307"/>
      <c r="BR238" s="307"/>
      <c r="BS238" s="102"/>
    </row>
    <row r="239" spans="1:71" s="5" customFormat="1">
      <c r="A239" s="12"/>
      <c r="B239" s="307"/>
      <c r="C239" s="307"/>
      <c r="D239" s="307"/>
      <c r="E239" s="307"/>
      <c r="F239" s="307"/>
      <c r="G239" s="307"/>
      <c r="H239" s="307"/>
      <c r="I239" s="39"/>
      <c r="J239" s="39"/>
      <c r="K239" s="39"/>
      <c r="L239" s="39"/>
      <c r="M239" s="39"/>
      <c r="N239" s="307"/>
      <c r="O239" s="307"/>
      <c r="P239" s="307"/>
      <c r="Q239" s="307"/>
      <c r="R239" s="307"/>
      <c r="S239" s="307"/>
      <c r="T239" s="307"/>
      <c r="U239" s="307"/>
      <c r="V239" s="307"/>
      <c r="X239" s="307"/>
      <c r="Y239" s="307"/>
      <c r="Z239" s="307"/>
      <c r="AA239" s="307"/>
      <c r="AB239" s="307"/>
      <c r="AC239" s="307"/>
      <c r="AD239" s="307"/>
      <c r="AE239" s="307"/>
      <c r="AF239" s="307"/>
      <c r="AG239" s="307"/>
      <c r="AH239" s="307"/>
      <c r="AI239" s="307"/>
      <c r="AJ239" s="307"/>
      <c r="AK239" s="307"/>
      <c r="AL239" s="307"/>
      <c r="AM239" s="307"/>
      <c r="AN239" s="307"/>
      <c r="AO239" s="307"/>
      <c r="AP239" s="307"/>
      <c r="AQ239" s="307"/>
      <c r="AR239" s="307"/>
      <c r="AS239" s="307"/>
      <c r="AT239" s="307"/>
      <c r="AU239" s="102"/>
      <c r="AV239" s="307"/>
      <c r="AW239" s="307"/>
      <c r="AX239" s="307"/>
      <c r="AY239" s="102"/>
      <c r="AZ239" s="39"/>
      <c r="BA239" s="104"/>
      <c r="BB239" s="39"/>
      <c r="BC239" s="104"/>
      <c r="BD239" s="39"/>
      <c r="BE239" s="39"/>
      <c r="BF239" s="39"/>
      <c r="BG239" s="104"/>
      <c r="BH239" s="39"/>
      <c r="BI239" s="39"/>
      <c r="BJ239" s="39"/>
      <c r="BK239" s="104"/>
      <c r="BL239" s="39"/>
      <c r="BM239" s="307"/>
      <c r="BN239" s="307"/>
      <c r="BO239" s="102"/>
      <c r="BP239" s="310"/>
      <c r="BQ239" s="307"/>
      <c r="BR239" s="307"/>
      <c r="BS239" s="102"/>
    </row>
    <row r="240" spans="1:71" s="5" customFormat="1">
      <c r="A240" s="12"/>
      <c r="B240" s="307"/>
      <c r="C240" s="307"/>
      <c r="D240" s="307"/>
      <c r="E240" s="307"/>
      <c r="F240" s="307"/>
      <c r="G240" s="307"/>
      <c r="H240" s="307"/>
      <c r="I240" s="39"/>
      <c r="J240" s="39"/>
      <c r="K240" s="39"/>
      <c r="L240" s="39"/>
      <c r="M240" s="39"/>
      <c r="N240" s="307"/>
      <c r="O240" s="307"/>
      <c r="P240" s="307"/>
      <c r="Q240" s="307"/>
      <c r="R240" s="307"/>
      <c r="S240" s="307"/>
      <c r="T240" s="307"/>
      <c r="U240" s="307"/>
      <c r="V240" s="307"/>
      <c r="X240" s="307"/>
      <c r="Y240" s="307"/>
      <c r="Z240" s="307"/>
      <c r="AA240" s="307"/>
      <c r="AB240" s="307"/>
      <c r="AC240" s="307"/>
      <c r="AD240" s="307"/>
      <c r="AE240" s="307"/>
      <c r="AF240" s="307"/>
      <c r="AG240" s="307"/>
      <c r="AH240" s="307"/>
      <c r="AI240" s="307"/>
      <c r="AJ240" s="307"/>
      <c r="AK240" s="307"/>
      <c r="AL240" s="307"/>
      <c r="AM240" s="307"/>
      <c r="AN240" s="307"/>
      <c r="AO240" s="307"/>
      <c r="AP240" s="307"/>
      <c r="AQ240" s="307"/>
      <c r="AR240" s="307"/>
      <c r="AS240" s="307"/>
      <c r="AT240" s="307"/>
      <c r="AU240" s="102"/>
      <c r="AV240" s="307"/>
      <c r="AW240" s="307"/>
      <c r="AX240" s="307"/>
      <c r="AY240" s="102"/>
      <c r="AZ240" s="39"/>
      <c r="BA240" s="104"/>
      <c r="BB240" s="39"/>
      <c r="BC240" s="104"/>
      <c r="BD240" s="39"/>
      <c r="BE240" s="39"/>
      <c r="BF240" s="39"/>
      <c r="BG240" s="104"/>
      <c r="BH240" s="39"/>
      <c r="BI240" s="39"/>
      <c r="BJ240" s="39"/>
      <c r="BK240" s="104"/>
      <c r="BL240" s="39"/>
      <c r="BM240" s="307"/>
      <c r="BN240" s="307"/>
      <c r="BO240" s="102"/>
      <c r="BP240" s="310"/>
      <c r="BQ240" s="307"/>
      <c r="BR240" s="307"/>
      <c r="BS240" s="102"/>
    </row>
    <row r="241" spans="1:71" s="5" customFormat="1">
      <c r="A241" s="12"/>
      <c r="B241" s="307"/>
      <c r="C241" s="307"/>
      <c r="D241" s="307"/>
      <c r="E241" s="307"/>
      <c r="F241" s="307"/>
      <c r="G241" s="307"/>
      <c r="H241" s="307"/>
      <c r="I241" s="39"/>
      <c r="J241" s="39"/>
      <c r="K241" s="39"/>
      <c r="L241" s="39"/>
      <c r="M241" s="39"/>
      <c r="N241" s="307"/>
      <c r="O241" s="307"/>
      <c r="P241" s="307"/>
      <c r="Q241" s="307"/>
      <c r="R241" s="307"/>
      <c r="S241" s="307"/>
      <c r="T241" s="307"/>
      <c r="U241" s="307"/>
      <c r="V241" s="307"/>
      <c r="X241" s="307"/>
      <c r="Y241" s="307"/>
      <c r="Z241" s="307"/>
      <c r="AA241" s="307"/>
      <c r="AB241" s="307"/>
      <c r="AC241" s="307"/>
      <c r="AD241" s="307"/>
      <c r="AE241" s="307"/>
      <c r="AF241" s="307"/>
      <c r="AG241" s="307"/>
      <c r="AH241" s="307"/>
      <c r="AI241" s="307"/>
      <c r="AJ241" s="307"/>
      <c r="AK241" s="307"/>
      <c r="AL241" s="307"/>
      <c r="AM241" s="307"/>
      <c r="AN241" s="307"/>
      <c r="AO241" s="307"/>
      <c r="AP241" s="307"/>
      <c r="AQ241" s="307"/>
      <c r="AR241" s="307"/>
      <c r="AS241" s="307"/>
      <c r="AT241" s="307"/>
      <c r="AU241" s="102"/>
      <c r="AV241" s="307"/>
      <c r="AW241" s="307"/>
      <c r="AX241" s="307"/>
      <c r="AY241" s="102"/>
      <c r="AZ241" s="39"/>
      <c r="BA241" s="104"/>
      <c r="BB241" s="39"/>
      <c r="BC241" s="104"/>
      <c r="BD241" s="39"/>
      <c r="BE241" s="39"/>
      <c r="BF241" s="39"/>
      <c r="BG241" s="104"/>
      <c r="BH241" s="39"/>
      <c r="BI241" s="39"/>
      <c r="BJ241" s="39"/>
      <c r="BK241" s="104"/>
      <c r="BL241" s="39"/>
      <c r="BM241" s="307"/>
      <c r="BN241" s="307"/>
      <c r="BO241" s="102"/>
      <c r="BP241" s="310"/>
      <c r="BQ241" s="307"/>
      <c r="BR241" s="307"/>
      <c r="BS241" s="102"/>
    </row>
    <row r="242" spans="1:71" s="5" customFormat="1">
      <c r="A242" s="12"/>
      <c r="B242" s="307"/>
      <c r="C242" s="307"/>
      <c r="D242" s="307"/>
      <c r="E242" s="307"/>
      <c r="F242" s="307"/>
      <c r="G242" s="307"/>
      <c r="H242" s="307"/>
      <c r="I242" s="39"/>
      <c r="J242" s="39"/>
      <c r="K242" s="39"/>
      <c r="L242" s="39"/>
      <c r="M242" s="39"/>
      <c r="N242" s="307"/>
      <c r="O242" s="307"/>
      <c r="P242" s="307"/>
      <c r="Q242" s="307"/>
      <c r="R242" s="307"/>
      <c r="S242" s="307"/>
      <c r="T242" s="307"/>
      <c r="U242" s="307"/>
      <c r="V242" s="307"/>
      <c r="X242" s="307"/>
      <c r="Y242" s="307"/>
      <c r="Z242" s="307"/>
      <c r="AA242" s="307"/>
      <c r="AB242" s="307"/>
      <c r="AC242" s="307"/>
      <c r="AD242" s="307"/>
      <c r="AE242" s="307"/>
      <c r="AF242" s="307"/>
      <c r="AG242" s="307"/>
      <c r="AH242" s="307"/>
      <c r="AI242" s="307"/>
      <c r="AJ242" s="307"/>
      <c r="AK242" s="307"/>
      <c r="AL242" s="307"/>
      <c r="AM242" s="307"/>
      <c r="AN242" s="307"/>
      <c r="AO242" s="307"/>
      <c r="AP242" s="307"/>
      <c r="AQ242" s="307"/>
      <c r="AR242" s="307"/>
      <c r="AS242" s="307"/>
      <c r="AT242" s="307"/>
      <c r="AU242" s="102"/>
      <c r="AV242" s="307"/>
      <c r="AW242" s="307"/>
      <c r="AX242" s="307"/>
      <c r="AY242" s="102"/>
      <c r="AZ242" s="39"/>
      <c r="BA242" s="104"/>
      <c r="BB242" s="39"/>
      <c r="BC242" s="104"/>
      <c r="BD242" s="39"/>
      <c r="BE242" s="39"/>
      <c r="BF242" s="39"/>
      <c r="BG242" s="104"/>
      <c r="BH242" s="39"/>
      <c r="BI242" s="39"/>
      <c r="BJ242" s="39"/>
      <c r="BK242" s="104"/>
      <c r="BL242" s="39"/>
      <c r="BM242" s="307"/>
      <c r="BN242" s="307"/>
      <c r="BO242" s="102"/>
      <c r="BP242" s="310"/>
      <c r="BQ242" s="307"/>
      <c r="BR242" s="307"/>
      <c r="BS242" s="102"/>
    </row>
    <row r="243" spans="1:71" s="5" customFormat="1">
      <c r="A243" s="12"/>
      <c r="B243" s="307"/>
      <c r="C243" s="307"/>
      <c r="D243" s="307"/>
      <c r="E243" s="307"/>
      <c r="F243" s="307"/>
      <c r="G243" s="307"/>
      <c r="H243" s="307"/>
      <c r="I243" s="39"/>
      <c r="J243" s="39"/>
      <c r="K243" s="39"/>
      <c r="L243" s="39"/>
      <c r="M243" s="39"/>
      <c r="N243" s="307"/>
      <c r="O243" s="307"/>
      <c r="P243" s="307"/>
      <c r="Q243" s="307"/>
      <c r="R243" s="307"/>
      <c r="S243" s="307"/>
      <c r="T243" s="307"/>
      <c r="U243" s="307"/>
      <c r="V243" s="307"/>
      <c r="X243" s="307"/>
      <c r="Y243" s="307"/>
      <c r="Z243" s="307"/>
      <c r="AA243" s="307"/>
      <c r="AB243" s="307"/>
      <c r="AC243" s="307"/>
      <c r="AD243" s="307"/>
      <c r="AE243" s="307"/>
      <c r="AF243" s="307"/>
      <c r="AG243" s="307"/>
      <c r="AH243" s="307"/>
      <c r="AI243" s="307"/>
      <c r="AJ243" s="307"/>
      <c r="AK243" s="307"/>
      <c r="AL243" s="307"/>
      <c r="AM243" s="307"/>
      <c r="AN243" s="307"/>
      <c r="AO243" s="307"/>
      <c r="AP243" s="307"/>
      <c r="AQ243" s="307"/>
      <c r="AR243" s="307"/>
      <c r="AS243" s="307"/>
      <c r="AT243" s="307"/>
      <c r="AU243" s="102"/>
      <c r="AV243" s="307"/>
      <c r="AW243" s="307"/>
      <c r="AX243" s="307"/>
      <c r="AY243" s="102"/>
      <c r="AZ243" s="39"/>
      <c r="BA243" s="104"/>
      <c r="BB243" s="39"/>
      <c r="BC243" s="104"/>
      <c r="BD243" s="39"/>
      <c r="BE243" s="39"/>
      <c r="BF243" s="39"/>
      <c r="BG243" s="104"/>
      <c r="BH243" s="39"/>
      <c r="BI243" s="39"/>
      <c r="BJ243" s="39"/>
      <c r="BK243" s="104"/>
      <c r="BL243" s="39"/>
      <c r="BM243" s="307"/>
      <c r="BN243" s="307"/>
      <c r="BO243" s="102"/>
      <c r="BP243" s="310"/>
      <c r="BQ243" s="307"/>
      <c r="BR243" s="307"/>
      <c r="BS243" s="102"/>
    </row>
    <row r="244" spans="1:71" s="5" customFormat="1">
      <c r="A244" s="12"/>
      <c r="B244" s="307"/>
      <c r="C244" s="307"/>
      <c r="D244" s="307"/>
      <c r="E244" s="307"/>
      <c r="F244" s="307"/>
      <c r="G244" s="307"/>
      <c r="H244" s="307"/>
      <c r="I244" s="39"/>
      <c r="J244" s="39"/>
      <c r="K244" s="39"/>
      <c r="L244" s="39"/>
      <c r="M244" s="39"/>
      <c r="N244" s="307"/>
      <c r="O244" s="307"/>
      <c r="P244" s="307"/>
      <c r="Q244" s="307"/>
      <c r="R244" s="307"/>
      <c r="S244" s="307"/>
      <c r="T244" s="307"/>
      <c r="U244" s="307"/>
      <c r="V244" s="307"/>
      <c r="X244" s="307"/>
      <c r="Y244" s="307"/>
      <c r="Z244" s="307"/>
      <c r="AA244" s="307"/>
      <c r="AB244" s="307"/>
      <c r="AC244" s="307"/>
      <c r="AD244" s="307"/>
      <c r="AE244" s="307"/>
      <c r="AF244" s="307"/>
      <c r="AG244" s="307"/>
      <c r="AH244" s="307"/>
      <c r="AI244" s="307"/>
      <c r="AJ244" s="307"/>
      <c r="AK244" s="307"/>
      <c r="AL244" s="307"/>
      <c r="AM244" s="307"/>
      <c r="AN244" s="307"/>
      <c r="AO244" s="307"/>
      <c r="AP244" s="307"/>
      <c r="AQ244" s="307"/>
      <c r="AR244" s="307"/>
      <c r="AS244" s="307"/>
      <c r="AT244" s="307"/>
      <c r="AU244" s="102"/>
      <c r="AV244" s="307"/>
      <c r="AW244" s="307"/>
      <c r="AX244" s="307"/>
      <c r="AY244" s="102"/>
      <c r="AZ244" s="39"/>
      <c r="BA244" s="104"/>
      <c r="BB244" s="39"/>
      <c r="BC244" s="104"/>
      <c r="BD244" s="39"/>
      <c r="BE244" s="39"/>
      <c r="BF244" s="39"/>
      <c r="BG244" s="104"/>
      <c r="BH244" s="39"/>
      <c r="BI244" s="39"/>
      <c r="BJ244" s="39"/>
      <c r="BK244" s="104"/>
      <c r="BL244" s="39"/>
      <c r="BM244" s="307"/>
      <c r="BN244" s="307"/>
      <c r="BO244" s="102"/>
      <c r="BP244" s="310"/>
      <c r="BQ244" s="307"/>
      <c r="BR244" s="307"/>
      <c r="BS244" s="102"/>
    </row>
    <row r="245" spans="1:71" s="5" customFormat="1">
      <c r="A245" s="12"/>
      <c r="B245" s="307"/>
      <c r="C245" s="307"/>
      <c r="D245" s="307"/>
      <c r="E245" s="307"/>
      <c r="F245" s="307"/>
      <c r="G245" s="307"/>
      <c r="H245" s="307"/>
      <c r="I245" s="39"/>
      <c r="J245" s="39"/>
      <c r="K245" s="39"/>
      <c r="L245" s="39"/>
      <c r="M245" s="39"/>
      <c r="N245" s="307"/>
      <c r="O245" s="307"/>
      <c r="P245" s="307"/>
      <c r="Q245" s="307"/>
      <c r="R245" s="307"/>
      <c r="S245" s="307"/>
      <c r="T245" s="307"/>
      <c r="U245" s="307"/>
      <c r="V245" s="307"/>
      <c r="X245" s="307"/>
      <c r="Y245" s="307"/>
      <c r="Z245" s="307"/>
      <c r="AA245" s="307"/>
      <c r="AB245" s="307"/>
      <c r="AC245" s="307"/>
      <c r="AD245" s="307"/>
      <c r="AE245" s="307"/>
      <c r="AF245" s="307"/>
      <c r="AG245" s="307"/>
      <c r="AH245" s="307"/>
      <c r="AI245" s="307"/>
      <c r="AJ245" s="307"/>
      <c r="AK245" s="307"/>
      <c r="AL245" s="307"/>
      <c r="AM245" s="307"/>
      <c r="AN245" s="307"/>
      <c r="AO245" s="307"/>
      <c r="AP245" s="307"/>
      <c r="AQ245" s="307"/>
      <c r="AR245" s="307"/>
      <c r="AS245" s="307"/>
      <c r="AT245" s="307"/>
      <c r="AU245" s="102"/>
      <c r="AV245" s="307"/>
      <c r="AW245" s="307"/>
      <c r="AX245" s="307"/>
      <c r="AY245" s="102"/>
      <c r="AZ245" s="39"/>
      <c r="BA245" s="104"/>
      <c r="BB245" s="39"/>
      <c r="BC245" s="104"/>
      <c r="BD245" s="39"/>
      <c r="BE245" s="39"/>
      <c r="BF245" s="39"/>
      <c r="BG245" s="104"/>
      <c r="BH245" s="39"/>
      <c r="BI245" s="39"/>
      <c r="BJ245" s="39"/>
      <c r="BK245" s="104"/>
      <c r="BL245" s="39"/>
      <c r="BM245" s="307"/>
      <c r="BN245" s="307"/>
      <c r="BO245" s="102"/>
      <c r="BP245" s="310"/>
      <c r="BQ245" s="307"/>
      <c r="BR245" s="307"/>
      <c r="BS245" s="102"/>
    </row>
    <row r="246" spans="1:71" s="5" customFormat="1">
      <c r="A246" s="12"/>
      <c r="B246" s="307"/>
      <c r="C246" s="307"/>
      <c r="D246" s="307"/>
      <c r="E246" s="307"/>
      <c r="F246" s="307"/>
      <c r="G246" s="307"/>
      <c r="H246" s="307"/>
      <c r="I246" s="39"/>
      <c r="J246" s="39"/>
      <c r="K246" s="39"/>
      <c r="L246" s="39"/>
      <c r="M246" s="39"/>
      <c r="N246" s="307"/>
      <c r="O246" s="307"/>
      <c r="P246" s="307"/>
      <c r="Q246" s="307"/>
      <c r="R246" s="307"/>
      <c r="S246" s="307"/>
      <c r="T246" s="307"/>
      <c r="U246" s="307"/>
      <c r="V246" s="307"/>
      <c r="X246" s="307"/>
      <c r="Y246" s="307"/>
      <c r="Z246" s="307"/>
      <c r="AA246" s="307"/>
      <c r="AB246" s="307"/>
      <c r="AC246" s="307"/>
      <c r="AD246" s="307"/>
      <c r="AE246" s="307"/>
      <c r="AF246" s="307"/>
      <c r="AG246" s="307"/>
      <c r="AH246" s="307"/>
      <c r="AI246" s="307"/>
      <c r="AJ246" s="307"/>
      <c r="AK246" s="307"/>
      <c r="AL246" s="307"/>
      <c r="AM246" s="307"/>
      <c r="AN246" s="307"/>
      <c r="AO246" s="307"/>
      <c r="AP246" s="307"/>
      <c r="AQ246" s="307"/>
      <c r="AR246" s="307"/>
      <c r="AS246" s="307"/>
      <c r="AT246" s="307"/>
      <c r="AU246" s="102"/>
      <c r="AV246" s="307"/>
      <c r="AW246" s="307"/>
      <c r="AX246" s="307"/>
      <c r="AY246" s="102"/>
      <c r="AZ246" s="39"/>
      <c r="BA246" s="104"/>
      <c r="BB246" s="39"/>
      <c r="BC246" s="104"/>
      <c r="BD246" s="39"/>
      <c r="BE246" s="39"/>
      <c r="BF246" s="39"/>
      <c r="BG246" s="104"/>
      <c r="BH246" s="39"/>
      <c r="BI246" s="39"/>
      <c r="BJ246" s="39"/>
      <c r="BK246" s="104"/>
      <c r="BL246" s="39"/>
      <c r="BM246" s="307"/>
      <c r="BN246" s="307"/>
      <c r="BO246" s="102"/>
      <c r="BP246" s="310"/>
      <c r="BQ246" s="307"/>
      <c r="BR246" s="307"/>
      <c r="BS246" s="102"/>
    </row>
    <row r="247" spans="1:71" s="5" customFormat="1">
      <c r="A247" s="12"/>
      <c r="B247" s="307"/>
      <c r="C247" s="307"/>
      <c r="D247" s="307"/>
      <c r="E247" s="307"/>
      <c r="F247" s="307"/>
      <c r="G247" s="307"/>
      <c r="H247" s="307"/>
      <c r="I247" s="39"/>
      <c r="J247" s="39"/>
      <c r="K247" s="39"/>
      <c r="L247" s="39"/>
      <c r="M247" s="39"/>
      <c r="N247" s="307"/>
      <c r="O247" s="307"/>
      <c r="P247" s="307"/>
      <c r="Q247" s="307"/>
      <c r="R247" s="307"/>
      <c r="S247" s="307"/>
      <c r="T247" s="307"/>
      <c r="U247" s="307"/>
      <c r="V247" s="307"/>
      <c r="X247" s="307"/>
      <c r="Y247" s="307"/>
      <c r="Z247" s="307"/>
      <c r="AA247" s="307"/>
      <c r="AB247" s="307"/>
      <c r="AC247" s="307"/>
      <c r="AD247" s="307"/>
      <c r="AE247" s="307"/>
      <c r="AF247" s="307"/>
      <c r="AG247" s="307"/>
      <c r="AH247" s="307"/>
      <c r="AI247" s="307"/>
      <c r="AJ247" s="307"/>
      <c r="AK247" s="307"/>
      <c r="AL247" s="307"/>
      <c r="AM247" s="307"/>
      <c r="AN247" s="307"/>
      <c r="AO247" s="307"/>
      <c r="AP247" s="307"/>
      <c r="AQ247" s="307"/>
      <c r="AR247" s="307"/>
      <c r="AS247" s="307"/>
      <c r="AT247" s="307"/>
      <c r="AU247" s="102"/>
      <c r="AV247" s="307"/>
      <c r="AW247" s="307"/>
      <c r="AX247" s="307"/>
      <c r="AY247" s="102"/>
      <c r="AZ247" s="39"/>
      <c r="BA247" s="104"/>
      <c r="BB247" s="39"/>
      <c r="BC247" s="104"/>
      <c r="BD247" s="39"/>
      <c r="BE247" s="39"/>
      <c r="BF247" s="39"/>
      <c r="BG247" s="104"/>
      <c r="BH247" s="39"/>
      <c r="BI247" s="39"/>
      <c r="BJ247" s="39"/>
      <c r="BK247" s="104"/>
      <c r="BL247" s="39"/>
      <c r="BM247" s="307"/>
      <c r="BN247" s="307"/>
      <c r="BO247" s="102"/>
      <c r="BP247" s="310"/>
      <c r="BQ247" s="307"/>
      <c r="BR247" s="307"/>
      <c r="BS247" s="102"/>
    </row>
    <row r="248" spans="1:71" s="5" customFormat="1">
      <c r="A248" s="12"/>
      <c r="B248" s="307"/>
      <c r="C248" s="307"/>
      <c r="D248" s="307"/>
      <c r="E248" s="307"/>
      <c r="F248" s="307"/>
      <c r="G248" s="307"/>
      <c r="H248" s="307"/>
      <c r="I248" s="39"/>
      <c r="J248" s="39"/>
      <c r="K248" s="39"/>
      <c r="L248" s="39"/>
      <c r="M248" s="39"/>
      <c r="N248" s="307"/>
      <c r="O248" s="307"/>
      <c r="P248" s="307"/>
      <c r="Q248" s="307"/>
      <c r="R248" s="307"/>
      <c r="S248" s="307"/>
      <c r="T248" s="307"/>
      <c r="U248" s="307"/>
      <c r="V248" s="307"/>
      <c r="X248" s="307"/>
      <c r="Y248" s="307"/>
      <c r="Z248" s="307"/>
      <c r="AA248" s="307"/>
      <c r="AB248" s="307"/>
      <c r="AC248" s="307"/>
      <c r="AD248" s="307"/>
      <c r="AE248" s="307"/>
      <c r="AF248" s="307"/>
      <c r="AG248" s="307"/>
      <c r="AH248" s="307"/>
      <c r="AI248" s="307"/>
      <c r="AJ248" s="307"/>
      <c r="AK248" s="307"/>
      <c r="AL248" s="307"/>
      <c r="AM248" s="307"/>
      <c r="AN248" s="307"/>
      <c r="AO248" s="307"/>
      <c r="AP248" s="307"/>
      <c r="AQ248" s="307"/>
      <c r="AR248" s="307"/>
      <c r="AS248" s="307"/>
      <c r="AT248" s="307"/>
      <c r="AU248" s="102"/>
      <c r="AV248" s="307"/>
      <c r="AW248" s="307"/>
      <c r="AX248" s="307"/>
      <c r="AY248" s="102"/>
      <c r="AZ248" s="39"/>
      <c r="BA248" s="104"/>
      <c r="BB248" s="39"/>
      <c r="BC248" s="104"/>
      <c r="BD248" s="39"/>
      <c r="BE248" s="39"/>
      <c r="BF248" s="39"/>
      <c r="BG248" s="104"/>
      <c r="BH248" s="39"/>
      <c r="BI248" s="39"/>
      <c r="BJ248" s="39"/>
      <c r="BK248" s="104"/>
      <c r="BL248" s="39"/>
      <c r="BM248" s="307"/>
      <c r="BN248" s="307"/>
      <c r="BO248" s="102"/>
      <c r="BP248" s="310"/>
      <c r="BQ248" s="307"/>
      <c r="BR248" s="307"/>
      <c r="BS248" s="102"/>
    </row>
    <row r="249" spans="1:71" s="5" customFormat="1">
      <c r="A249" s="12"/>
      <c r="B249" s="307"/>
      <c r="C249" s="307"/>
      <c r="D249" s="307"/>
      <c r="E249" s="307"/>
      <c r="F249" s="307"/>
      <c r="G249" s="307"/>
      <c r="H249" s="307"/>
      <c r="I249" s="39"/>
      <c r="J249" s="39"/>
      <c r="K249" s="39"/>
      <c r="L249" s="39"/>
      <c r="M249" s="39"/>
      <c r="N249" s="307"/>
      <c r="O249" s="307"/>
      <c r="P249" s="307"/>
      <c r="Q249" s="307"/>
      <c r="R249" s="307"/>
      <c r="S249" s="307"/>
      <c r="T249" s="307"/>
      <c r="U249" s="307"/>
      <c r="V249" s="307"/>
      <c r="X249" s="307"/>
      <c r="Y249" s="307"/>
      <c r="Z249" s="307"/>
      <c r="AA249" s="307"/>
      <c r="AB249" s="307"/>
      <c r="AC249" s="307"/>
      <c r="AD249" s="307"/>
      <c r="AE249" s="307"/>
      <c r="AF249" s="307"/>
      <c r="AG249" s="307"/>
      <c r="AH249" s="307"/>
      <c r="AI249" s="307"/>
      <c r="AJ249" s="307"/>
      <c r="AK249" s="307"/>
      <c r="AL249" s="307"/>
      <c r="AM249" s="307"/>
      <c r="AN249" s="307"/>
      <c r="AO249" s="307"/>
      <c r="AP249" s="307"/>
      <c r="AQ249" s="307"/>
      <c r="AR249" s="307"/>
      <c r="AS249" s="307"/>
      <c r="AT249" s="307"/>
      <c r="AU249" s="102"/>
      <c r="AV249" s="307"/>
      <c r="AW249" s="307"/>
      <c r="AX249" s="307"/>
      <c r="AY249" s="102"/>
      <c r="AZ249" s="39"/>
      <c r="BA249" s="104"/>
      <c r="BB249" s="39"/>
      <c r="BC249" s="104"/>
      <c r="BD249" s="39"/>
      <c r="BE249" s="39"/>
      <c r="BF249" s="39"/>
      <c r="BG249" s="104"/>
      <c r="BH249" s="39"/>
      <c r="BI249" s="39"/>
      <c r="BJ249" s="39"/>
      <c r="BK249" s="104"/>
      <c r="BL249" s="39"/>
      <c r="BM249" s="307"/>
      <c r="BN249" s="307"/>
      <c r="BO249" s="102"/>
      <c r="BP249" s="310"/>
      <c r="BQ249" s="307"/>
      <c r="BR249" s="307"/>
      <c r="BS249" s="102"/>
    </row>
    <row r="250" spans="1:71" s="5" customFormat="1">
      <c r="A250" s="12"/>
      <c r="B250" s="307"/>
      <c r="C250" s="307"/>
      <c r="D250" s="307"/>
      <c r="E250" s="307"/>
      <c r="F250" s="307"/>
      <c r="G250" s="307"/>
      <c r="H250" s="307"/>
      <c r="I250" s="39"/>
      <c r="J250" s="39"/>
      <c r="K250" s="39"/>
      <c r="L250" s="39"/>
      <c r="M250" s="39"/>
      <c r="N250" s="307"/>
      <c r="O250" s="307"/>
      <c r="P250" s="307"/>
      <c r="Q250" s="307"/>
      <c r="R250" s="307"/>
      <c r="S250" s="307"/>
      <c r="T250" s="307"/>
      <c r="U250" s="307"/>
      <c r="V250" s="307"/>
      <c r="X250" s="307"/>
      <c r="Y250" s="307"/>
      <c r="Z250" s="307"/>
      <c r="AA250" s="307"/>
      <c r="AB250" s="307"/>
      <c r="AC250" s="307"/>
      <c r="AD250" s="307"/>
      <c r="AE250" s="307"/>
      <c r="AF250" s="307"/>
      <c r="AG250" s="307"/>
      <c r="AH250" s="307"/>
      <c r="AI250" s="307"/>
      <c r="AJ250" s="307"/>
      <c r="AK250" s="307"/>
      <c r="AL250" s="307"/>
      <c r="AM250" s="307"/>
      <c r="AN250" s="307"/>
      <c r="AO250" s="307"/>
      <c r="AP250" s="307"/>
      <c r="AQ250" s="307"/>
      <c r="AR250" s="307"/>
      <c r="AS250" s="307"/>
      <c r="AT250" s="307"/>
      <c r="AU250" s="102"/>
      <c r="AV250" s="307"/>
      <c r="AW250" s="307"/>
      <c r="AX250" s="307"/>
      <c r="AY250" s="102"/>
      <c r="AZ250" s="39"/>
      <c r="BA250" s="104"/>
      <c r="BB250" s="39"/>
      <c r="BC250" s="104"/>
      <c r="BD250" s="39"/>
      <c r="BE250" s="39"/>
      <c r="BF250" s="39"/>
      <c r="BG250" s="104"/>
      <c r="BH250" s="39"/>
      <c r="BI250" s="39"/>
      <c r="BJ250" s="39"/>
      <c r="BK250" s="104"/>
      <c r="BL250" s="39"/>
      <c r="BM250" s="307"/>
      <c r="BN250" s="307"/>
      <c r="BO250" s="102"/>
      <c r="BP250" s="310"/>
      <c r="BQ250" s="307"/>
      <c r="BR250" s="307"/>
      <c r="BS250" s="102"/>
    </row>
    <row r="251" spans="1:71" s="5" customFormat="1">
      <c r="A251" s="12"/>
      <c r="B251" s="307"/>
      <c r="C251" s="307"/>
      <c r="D251" s="307"/>
      <c r="E251" s="307"/>
      <c r="F251" s="307"/>
      <c r="G251" s="307"/>
      <c r="H251" s="307"/>
      <c r="I251" s="39"/>
      <c r="J251" s="39"/>
      <c r="K251" s="39"/>
      <c r="L251" s="39"/>
      <c r="M251" s="39"/>
      <c r="N251" s="307"/>
      <c r="O251" s="307"/>
      <c r="P251" s="307"/>
      <c r="Q251" s="307"/>
      <c r="R251" s="307"/>
      <c r="S251" s="307"/>
      <c r="T251" s="307"/>
      <c r="U251" s="307"/>
      <c r="V251" s="307"/>
      <c r="X251" s="307"/>
      <c r="Y251" s="307"/>
      <c r="Z251" s="307"/>
      <c r="AA251" s="307"/>
      <c r="AB251" s="307"/>
      <c r="AC251" s="307"/>
      <c r="AD251" s="307"/>
      <c r="AE251" s="307"/>
      <c r="AF251" s="307"/>
      <c r="AG251" s="307"/>
      <c r="AH251" s="307"/>
      <c r="AI251" s="307"/>
      <c r="AJ251" s="307"/>
      <c r="AK251" s="307"/>
      <c r="AL251" s="307"/>
      <c r="AM251" s="307"/>
      <c r="AN251" s="307"/>
      <c r="AO251" s="307"/>
      <c r="AP251" s="307"/>
      <c r="AQ251" s="307"/>
      <c r="AR251" s="307"/>
      <c r="AS251" s="307"/>
      <c r="AT251" s="307"/>
      <c r="AU251" s="102"/>
      <c r="AV251" s="307"/>
      <c r="AW251" s="307"/>
      <c r="AX251" s="307"/>
      <c r="AY251" s="102"/>
      <c r="AZ251" s="39"/>
      <c r="BA251" s="104"/>
      <c r="BB251" s="39"/>
      <c r="BC251" s="104"/>
      <c r="BD251" s="39"/>
      <c r="BE251" s="39"/>
      <c r="BF251" s="39"/>
      <c r="BG251" s="104"/>
      <c r="BH251" s="39"/>
      <c r="BI251" s="39"/>
      <c r="BJ251" s="39"/>
      <c r="BK251" s="104"/>
      <c r="BL251" s="39"/>
      <c r="BM251" s="307"/>
      <c r="BN251" s="307"/>
      <c r="BO251" s="102"/>
      <c r="BP251" s="310"/>
      <c r="BQ251" s="307"/>
      <c r="BR251" s="307"/>
      <c r="BS251" s="102"/>
    </row>
    <row r="252" spans="1:71" s="5" customFormat="1">
      <c r="A252" s="12"/>
      <c r="B252" s="307"/>
      <c r="C252" s="307"/>
      <c r="D252" s="307"/>
      <c r="E252" s="307"/>
      <c r="F252" s="307"/>
      <c r="G252" s="307"/>
      <c r="H252" s="307"/>
      <c r="I252" s="39"/>
      <c r="J252" s="39"/>
      <c r="K252" s="39"/>
      <c r="L252" s="39"/>
      <c r="M252" s="39"/>
      <c r="N252" s="307"/>
      <c r="O252" s="307"/>
      <c r="P252" s="307"/>
      <c r="Q252" s="307"/>
      <c r="R252" s="307"/>
      <c r="S252" s="307"/>
      <c r="T252" s="307"/>
      <c r="U252" s="307"/>
      <c r="V252" s="307"/>
      <c r="X252" s="307"/>
      <c r="Y252" s="307"/>
      <c r="Z252" s="307"/>
      <c r="AA252" s="307"/>
      <c r="AB252" s="307"/>
      <c r="AC252" s="307"/>
      <c r="AD252" s="307"/>
      <c r="AE252" s="307"/>
      <c r="AF252" s="307"/>
      <c r="AG252" s="307"/>
      <c r="AH252" s="307"/>
      <c r="AI252" s="307"/>
      <c r="AJ252" s="307"/>
      <c r="AK252" s="307"/>
      <c r="AL252" s="307"/>
      <c r="AM252" s="307"/>
      <c r="AN252" s="307"/>
      <c r="AO252" s="307"/>
      <c r="AP252" s="307"/>
      <c r="AQ252" s="307"/>
      <c r="AR252" s="307"/>
      <c r="AS252" s="307"/>
      <c r="AT252" s="307"/>
      <c r="AU252" s="102"/>
      <c r="AV252" s="307"/>
      <c r="AW252" s="307"/>
      <c r="AX252" s="307"/>
      <c r="AY252" s="102"/>
      <c r="AZ252" s="39"/>
      <c r="BA252" s="104"/>
      <c r="BB252" s="39"/>
      <c r="BC252" s="104"/>
      <c r="BD252" s="39"/>
      <c r="BE252" s="39"/>
      <c r="BF252" s="39"/>
      <c r="BG252" s="104"/>
      <c r="BH252" s="39"/>
      <c r="BI252" s="39"/>
      <c r="BJ252" s="39"/>
      <c r="BK252" s="104"/>
      <c r="BL252" s="39"/>
      <c r="BM252" s="307"/>
      <c r="BN252" s="307"/>
      <c r="BO252" s="102"/>
      <c r="BP252" s="310"/>
      <c r="BQ252" s="307"/>
      <c r="BR252" s="307"/>
      <c r="BS252" s="102"/>
    </row>
    <row r="253" spans="1:71" s="5" customFormat="1">
      <c r="A253" s="12"/>
      <c r="B253" s="307"/>
      <c r="C253" s="307"/>
      <c r="D253" s="307"/>
      <c r="E253" s="307"/>
      <c r="F253" s="307"/>
      <c r="G253" s="307"/>
      <c r="H253" s="307"/>
      <c r="I253" s="39"/>
      <c r="J253" s="39"/>
      <c r="K253" s="39"/>
      <c r="L253" s="39"/>
      <c r="M253" s="39"/>
      <c r="N253" s="307"/>
      <c r="O253" s="307"/>
      <c r="P253" s="307"/>
      <c r="Q253" s="307"/>
      <c r="R253" s="307"/>
      <c r="S253" s="307"/>
      <c r="T253" s="307"/>
      <c r="U253" s="307"/>
      <c r="V253" s="307"/>
      <c r="X253" s="307"/>
      <c r="Y253" s="307"/>
      <c r="Z253" s="307"/>
      <c r="AA253" s="307"/>
      <c r="AB253" s="307"/>
      <c r="AC253" s="307"/>
      <c r="AD253" s="307"/>
      <c r="AE253" s="307"/>
      <c r="AF253" s="307"/>
      <c r="AG253" s="307"/>
      <c r="AH253" s="307"/>
      <c r="AI253" s="307"/>
      <c r="AJ253" s="307"/>
      <c r="AK253" s="307"/>
      <c r="AL253" s="307"/>
      <c r="AM253" s="307"/>
      <c r="AN253" s="307"/>
      <c r="AO253" s="307"/>
      <c r="AP253" s="307"/>
      <c r="AQ253" s="307"/>
      <c r="AR253" s="307"/>
      <c r="AS253" s="307"/>
      <c r="AT253" s="307"/>
      <c r="AU253" s="102"/>
      <c r="AV253" s="307"/>
      <c r="AW253" s="307"/>
      <c r="AX253" s="307"/>
      <c r="AY253" s="102"/>
      <c r="AZ253" s="39"/>
      <c r="BA253" s="104"/>
      <c r="BB253" s="39"/>
      <c r="BC253" s="104"/>
      <c r="BD253" s="39"/>
      <c r="BE253" s="39"/>
      <c r="BF253" s="39"/>
      <c r="BG253" s="104"/>
      <c r="BH253" s="39"/>
      <c r="BI253" s="39"/>
      <c r="BJ253" s="39"/>
      <c r="BK253" s="104"/>
      <c r="BL253" s="39"/>
      <c r="BM253" s="307"/>
      <c r="BN253" s="307"/>
      <c r="BO253" s="102"/>
      <c r="BP253" s="310"/>
      <c r="BQ253" s="307"/>
      <c r="BR253" s="307"/>
      <c r="BS253" s="102"/>
    </row>
    <row r="254" spans="1:71" s="5" customFormat="1">
      <c r="A254" s="12"/>
      <c r="B254" s="307"/>
      <c r="C254" s="307"/>
      <c r="D254" s="307"/>
      <c r="E254" s="307"/>
      <c r="F254" s="307"/>
      <c r="G254" s="307"/>
      <c r="H254" s="307"/>
      <c r="I254" s="39"/>
      <c r="J254" s="39"/>
      <c r="K254" s="39"/>
      <c r="L254" s="39"/>
      <c r="M254" s="39"/>
      <c r="N254" s="307"/>
      <c r="O254" s="307"/>
      <c r="P254" s="307"/>
      <c r="Q254" s="307"/>
      <c r="R254" s="307"/>
      <c r="S254" s="307"/>
      <c r="T254" s="307"/>
      <c r="U254" s="307"/>
      <c r="V254" s="307"/>
      <c r="X254" s="307"/>
      <c r="Y254" s="307"/>
      <c r="Z254" s="307"/>
      <c r="AA254" s="307"/>
      <c r="AB254" s="307"/>
      <c r="AC254" s="307"/>
      <c r="AD254" s="307"/>
      <c r="AE254" s="307"/>
      <c r="AF254" s="307"/>
      <c r="AG254" s="307"/>
      <c r="AH254" s="307"/>
      <c r="AI254" s="307"/>
      <c r="AJ254" s="307"/>
      <c r="AK254" s="307"/>
      <c r="AL254" s="307"/>
      <c r="AM254" s="307"/>
      <c r="AN254" s="307"/>
      <c r="AO254" s="307"/>
      <c r="AP254" s="307"/>
      <c r="AQ254" s="307"/>
      <c r="AR254" s="307"/>
      <c r="AS254" s="307"/>
      <c r="AT254" s="307"/>
      <c r="AU254" s="102"/>
      <c r="AV254" s="307"/>
      <c r="AW254" s="307"/>
      <c r="AX254" s="307"/>
      <c r="AY254" s="102"/>
      <c r="AZ254" s="39"/>
      <c r="BA254" s="104"/>
      <c r="BB254" s="39"/>
      <c r="BC254" s="104"/>
      <c r="BD254" s="39"/>
      <c r="BE254" s="39"/>
      <c r="BF254" s="39"/>
      <c r="BG254" s="104"/>
      <c r="BH254" s="39"/>
      <c r="BI254" s="39"/>
      <c r="BJ254" s="39"/>
      <c r="BK254" s="104"/>
      <c r="BL254" s="39"/>
      <c r="BM254" s="307"/>
      <c r="BN254" s="307"/>
      <c r="BO254" s="102"/>
      <c r="BP254" s="310"/>
      <c r="BQ254" s="307"/>
      <c r="BR254" s="307"/>
      <c r="BS254" s="102"/>
    </row>
    <row r="255" spans="1:71" s="5" customFormat="1">
      <c r="A255" s="12"/>
      <c r="B255" s="307"/>
      <c r="C255" s="307"/>
      <c r="D255" s="307"/>
      <c r="E255" s="307"/>
      <c r="F255" s="307"/>
      <c r="G255" s="307"/>
      <c r="H255" s="307"/>
      <c r="I255" s="39"/>
      <c r="J255" s="39"/>
      <c r="K255" s="39"/>
      <c r="L255" s="39"/>
      <c r="M255" s="39"/>
      <c r="N255" s="307"/>
      <c r="O255" s="307"/>
      <c r="P255" s="307"/>
      <c r="Q255" s="307"/>
      <c r="R255" s="307"/>
      <c r="S255" s="307"/>
      <c r="T255" s="307"/>
      <c r="U255" s="307"/>
      <c r="V255" s="307"/>
      <c r="X255" s="307"/>
      <c r="Y255" s="307"/>
      <c r="Z255" s="307"/>
      <c r="AA255" s="307"/>
      <c r="AB255" s="307"/>
      <c r="AC255" s="307"/>
      <c r="AD255" s="307"/>
      <c r="AE255" s="307"/>
      <c r="AF255" s="307"/>
      <c r="AG255" s="307"/>
      <c r="AH255" s="307"/>
      <c r="AI255" s="307"/>
      <c r="AJ255" s="307"/>
      <c r="AK255" s="307"/>
      <c r="AL255" s="307"/>
      <c r="AM255" s="307"/>
      <c r="AN255" s="307"/>
      <c r="AO255" s="307"/>
      <c r="AP255" s="307"/>
      <c r="AQ255" s="307"/>
      <c r="AR255" s="307"/>
      <c r="AS255" s="307"/>
      <c r="AT255" s="307"/>
      <c r="AU255" s="102"/>
      <c r="AV255" s="307"/>
      <c r="AW255" s="307"/>
      <c r="AX255" s="307"/>
      <c r="AY255" s="102"/>
      <c r="AZ255" s="39"/>
      <c r="BA255" s="104"/>
      <c r="BB255" s="39"/>
      <c r="BC255" s="104"/>
      <c r="BD255" s="39"/>
      <c r="BE255" s="39"/>
      <c r="BF255" s="39"/>
      <c r="BG255" s="104"/>
      <c r="BH255" s="39"/>
      <c r="BI255" s="39"/>
      <c r="BJ255" s="39"/>
      <c r="BK255" s="104"/>
      <c r="BL255" s="39"/>
      <c r="BM255" s="307"/>
      <c r="BN255" s="307"/>
      <c r="BO255" s="102"/>
      <c r="BP255" s="310"/>
      <c r="BQ255" s="307"/>
      <c r="BR255" s="307"/>
      <c r="BS255" s="102"/>
    </row>
    <row r="256" spans="1:71">
      <c r="I256" s="104"/>
      <c r="AU256" s="97"/>
      <c r="AY256" s="97"/>
      <c r="AZ256" s="39"/>
      <c r="BA256" s="104"/>
      <c r="BB256" s="104"/>
      <c r="BC256" s="104"/>
      <c r="BE256" s="104"/>
      <c r="BG256" s="97"/>
      <c r="BK256" s="97"/>
      <c r="BL256" s="39"/>
      <c r="BO256" s="97"/>
      <c r="BS256" s="97"/>
    </row>
    <row r="257" spans="1:71">
      <c r="A257" s="14" t="s">
        <v>21</v>
      </c>
      <c r="B257" s="77"/>
      <c r="C257" s="77"/>
      <c r="D257" s="77"/>
      <c r="E257" s="77"/>
      <c r="F257" s="77"/>
      <c r="G257" s="77"/>
      <c r="H257" s="77"/>
      <c r="N257" s="77"/>
      <c r="O257" s="77"/>
      <c r="P257" s="77"/>
      <c r="Q257" s="77"/>
      <c r="R257" s="77"/>
      <c r="S257" s="77"/>
      <c r="T257" s="77"/>
      <c r="U257" s="77"/>
      <c r="V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95"/>
      <c r="AV257" s="77"/>
      <c r="AW257" s="77"/>
      <c r="AX257" s="77"/>
      <c r="AY257" s="95"/>
      <c r="AZ257" s="77"/>
      <c r="BA257" s="77"/>
      <c r="BB257" s="77"/>
      <c r="BC257" s="95"/>
      <c r="BE257" s="22"/>
      <c r="BF257" s="22"/>
      <c r="BG257" s="97"/>
      <c r="BK257" s="97"/>
      <c r="BO257" s="97"/>
      <c r="BS257" s="97"/>
    </row>
    <row r="258" spans="1:71">
      <c r="A258" s="1" t="s">
        <v>458</v>
      </c>
      <c r="B258" s="41"/>
      <c r="C258" s="41"/>
      <c r="D258" s="41"/>
      <c r="E258" s="41"/>
      <c r="F258" s="41"/>
      <c r="G258" s="41"/>
      <c r="H258" s="41"/>
      <c r="I258" s="42"/>
      <c r="J258" s="42">
        <f>BG258</f>
        <v>2129</v>
      </c>
      <c r="K258" s="42">
        <f>BK258</f>
        <v>1187</v>
      </c>
      <c r="N258" s="41"/>
      <c r="O258" s="41"/>
      <c r="P258" s="41"/>
      <c r="Q258" s="41"/>
      <c r="R258" s="41"/>
      <c r="S258" s="41"/>
      <c r="T258" s="41"/>
      <c r="U258" s="41"/>
      <c r="V258" s="41"/>
      <c r="X258" s="41"/>
      <c r="Y258" s="41"/>
      <c r="Z258" s="41"/>
      <c r="AA258" s="41"/>
      <c r="AB258" s="41"/>
      <c r="AC258" s="41"/>
      <c r="AD258" s="41"/>
      <c r="AE258" s="41"/>
      <c r="AF258" s="41"/>
      <c r="AG258" s="41"/>
      <c r="AH258" s="41"/>
      <c r="AI258" s="41"/>
      <c r="AJ258" s="41"/>
      <c r="AK258" s="41"/>
      <c r="AL258" s="41"/>
      <c r="AM258" s="41"/>
      <c r="AN258" s="41"/>
      <c r="AO258" s="41"/>
      <c r="AP258" s="41"/>
      <c r="AQ258" s="41"/>
      <c r="AR258" s="41"/>
      <c r="AS258" s="41"/>
      <c r="AT258" s="41"/>
      <c r="AU258" s="42"/>
      <c r="AV258" s="41"/>
      <c r="AW258" s="41"/>
      <c r="AX258" s="41"/>
      <c r="AY258" s="42"/>
      <c r="AZ258" s="41"/>
      <c r="BA258" s="41"/>
      <c r="BB258" s="41"/>
      <c r="BC258" s="41"/>
      <c r="BD258" s="41">
        <v>1926</v>
      </c>
      <c r="BE258" s="41">
        <v>2027</v>
      </c>
      <c r="BF258" s="41">
        <v>1908</v>
      </c>
      <c r="BG258" s="41">
        <v>2129</v>
      </c>
      <c r="BH258" s="41">
        <v>1159</v>
      </c>
      <c r="BI258" s="41">
        <v>857</v>
      </c>
      <c r="BJ258" s="41">
        <v>966</v>
      </c>
      <c r="BK258" s="41">
        <v>1187</v>
      </c>
      <c r="BL258" s="41">
        <v>990</v>
      </c>
      <c r="BO258" s="97"/>
      <c r="BS258" s="97"/>
    </row>
    <row r="259" spans="1:71">
      <c r="A259" s="1" t="s">
        <v>459</v>
      </c>
      <c r="B259" s="41"/>
      <c r="C259" s="41"/>
      <c r="D259" s="41"/>
      <c r="E259" s="41"/>
      <c r="F259" s="41"/>
      <c r="G259" s="41"/>
      <c r="H259" s="41"/>
      <c r="I259" s="42"/>
      <c r="J259" s="42">
        <f>BG259</f>
        <v>52753</v>
      </c>
      <c r="K259" s="42">
        <f>BK259</f>
        <v>66016</v>
      </c>
      <c r="N259" s="41"/>
      <c r="O259" s="41"/>
      <c r="P259" s="41"/>
      <c r="Q259" s="41"/>
      <c r="R259" s="41"/>
      <c r="S259" s="41"/>
      <c r="T259" s="41"/>
      <c r="U259" s="41"/>
      <c r="V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41"/>
      <c r="AU259" s="42"/>
      <c r="AV259" s="41"/>
      <c r="AW259" s="41"/>
      <c r="AX259" s="41"/>
      <c r="AY259" s="42"/>
      <c r="AZ259" s="41"/>
      <c r="BA259" s="41"/>
      <c r="BB259" s="41"/>
      <c r="BC259" s="41"/>
      <c r="BD259" s="41">
        <v>53008</v>
      </c>
      <c r="BE259" s="41">
        <v>52830</v>
      </c>
      <c r="BF259" s="41">
        <v>53568</v>
      </c>
      <c r="BG259" s="41">
        <v>52753</v>
      </c>
      <c r="BH259" s="41">
        <v>55490</v>
      </c>
      <c r="BI259" s="41">
        <v>58691</v>
      </c>
      <c r="BJ259" s="41">
        <v>63518</v>
      </c>
      <c r="BK259" s="41">
        <v>66016</v>
      </c>
      <c r="BL259" s="41">
        <v>68719</v>
      </c>
      <c r="BO259" s="97"/>
      <c r="BS259" s="97"/>
    </row>
    <row r="260" spans="1:71">
      <c r="A260" s="1" t="s">
        <v>460</v>
      </c>
      <c r="B260" s="41"/>
      <c r="C260" s="41"/>
      <c r="D260" s="41"/>
      <c r="E260" s="41"/>
      <c r="F260" s="41"/>
      <c r="G260" s="41"/>
      <c r="H260" s="41"/>
      <c r="I260" s="42"/>
      <c r="J260" s="42">
        <f>BG260</f>
        <v>7685</v>
      </c>
      <c r="K260" s="42">
        <f>BK260</f>
        <v>9419</v>
      </c>
      <c r="N260" s="41"/>
      <c r="O260" s="41"/>
      <c r="P260" s="41"/>
      <c r="Q260" s="41"/>
      <c r="R260" s="41"/>
      <c r="S260" s="41"/>
      <c r="T260" s="41"/>
      <c r="U260" s="41"/>
      <c r="V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41"/>
      <c r="AU260" s="42"/>
      <c r="AV260" s="41"/>
      <c r="AW260" s="41"/>
      <c r="AX260" s="41"/>
      <c r="AY260" s="42"/>
      <c r="AZ260" s="41"/>
      <c r="BA260" s="41"/>
      <c r="BB260" s="41"/>
      <c r="BC260" s="41"/>
      <c r="BD260" s="41">
        <v>6369</v>
      </c>
      <c r="BE260" s="41">
        <v>6393</v>
      </c>
      <c r="BF260" s="41">
        <v>6562</v>
      </c>
      <c r="BG260" s="41">
        <v>7685</v>
      </c>
      <c r="BH260" s="41">
        <v>8720</v>
      </c>
      <c r="BI260" s="41">
        <v>8944</v>
      </c>
      <c r="BJ260" s="41">
        <v>8795</v>
      </c>
      <c r="BK260" s="41">
        <v>9419</v>
      </c>
      <c r="BL260" s="41">
        <v>10311</v>
      </c>
      <c r="BO260" s="97"/>
      <c r="BS260" s="97"/>
    </row>
    <row r="261" spans="1:71">
      <c r="A261" s="12" t="s">
        <v>461</v>
      </c>
      <c r="B261" s="41"/>
      <c r="C261" s="41"/>
      <c r="D261" s="41"/>
      <c r="E261" s="41"/>
      <c r="F261" s="41"/>
      <c r="G261" s="41"/>
      <c r="H261" s="41"/>
      <c r="I261" s="42"/>
      <c r="J261" s="104">
        <f>SUM(J258:J260)</f>
        <v>62567</v>
      </c>
      <c r="K261" s="104">
        <f>SUM(K258:K260)</f>
        <v>76622</v>
      </c>
      <c r="N261" s="41"/>
      <c r="O261" s="41"/>
      <c r="P261" s="41"/>
      <c r="Q261" s="41"/>
      <c r="R261" s="41"/>
      <c r="S261" s="41"/>
      <c r="T261" s="41"/>
      <c r="U261" s="41"/>
      <c r="V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41"/>
      <c r="AU261" s="42"/>
      <c r="AV261" s="41"/>
      <c r="AW261" s="41"/>
      <c r="AX261" s="41"/>
      <c r="AY261" s="42"/>
      <c r="AZ261" s="41"/>
      <c r="BA261" s="41"/>
      <c r="BB261" s="41"/>
      <c r="BC261" s="41"/>
      <c r="BD261" s="104">
        <f t="shared" ref="BD261:BL261" si="403">SUM(BD258:BD260)</f>
        <v>61303</v>
      </c>
      <c r="BE261" s="104">
        <f t="shared" si="403"/>
        <v>61250</v>
      </c>
      <c r="BF261" s="104">
        <f t="shared" si="403"/>
        <v>62038</v>
      </c>
      <c r="BG261" s="104">
        <f t="shared" si="403"/>
        <v>62567</v>
      </c>
      <c r="BH261" s="104">
        <f t="shared" si="403"/>
        <v>65369</v>
      </c>
      <c r="BI261" s="104">
        <f t="shared" si="403"/>
        <v>68492</v>
      </c>
      <c r="BJ261" s="104">
        <f t="shared" si="403"/>
        <v>73279</v>
      </c>
      <c r="BK261" s="104">
        <f t="shared" si="403"/>
        <v>76622</v>
      </c>
      <c r="BL261" s="104">
        <f t="shared" si="403"/>
        <v>80020</v>
      </c>
      <c r="BO261" s="97"/>
      <c r="BS261" s="97"/>
    </row>
    <row r="262" spans="1:71">
      <c r="A262" s="1"/>
      <c r="B262" s="41"/>
      <c r="C262" s="41"/>
      <c r="D262" s="41"/>
      <c r="E262" s="41"/>
      <c r="F262" s="41"/>
      <c r="G262" s="41"/>
      <c r="H262" s="41"/>
      <c r="I262" s="42"/>
      <c r="J262" s="42"/>
      <c r="K262" s="42"/>
      <c r="N262" s="41"/>
      <c r="O262" s="41"/>
      <c r="P262" s="41"/>
      <c r="Q262" s="41"/>
      <c r="R262" s="41"/>
      <c r="S262" s="41"/>
      <c r="T262" s="41"/>
      <c r="U262" s="41"/>
      <c r="V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41"/>
      <c r="AU262" s="42"/>
      <c r="AV262" s="41"/>
      <c r="AW262" s="41"/>
      <c r="AX262" s="41"/>
      <c r="AY262" s="42"/>
      <c r="AZ262" s="41"/>
      <c r="BA262" s="41"/>
      <c r="BB262" s="41"/>
      <c r="BC262" s="41"/>
      <c r="BD262" s="41"/>
      <c r="BE262" s="41"/>
      <c r="BF262" s="41"/>
      <c r="BG262" s="41"/>
      <c r="BH262" s="41"/>
      <c r="BI262" s="41"/>
      <c r="BJ262" s="41"/>
      <c r="BK262" s="41"/>
      <c r="BL262" s="41"/>
      <c r="BO262" s="97"/>
      <c r="BS262" s="97"/>
    </row>
    <row r="263" spans="1:71">
      <c r="A263" s="14" t="s">
        <v>274</v>
      </c>
      <c r="B263" s="77"/>
      <c r="C263" s="77"/>
      <c r="D263" s="77"/>
      <c r="E263" s="77"/>
      <c r="F263" s="77"/>
      <c r="G263" s="77"/>
      <c r="H263" s="77"/>
      <c r="I263" s="77"/>
      <c r="J263" s="77"/>
      <c r="K263" s="77"/>
      <c r="N263" s="77"/>
      <c r="O263" s="77"/>
      <c r="P263" s="77"/>
      <c r="Q263" s="77"/>
      <c r="R263" s="77"/>
      <c r="S263" s="77"/>
      <c r="T263" s="77"/>
      <c r="U263" s="77"/>
      <c r="V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95"/>
      <c r="AV263" s="77"/>
      <c r="AW263" s="77"/>
      <c r="AX263" s="77"/>
      <c r="AY263" s="95"/>
      <c r="AZ263" s="77"/>
      <c r="BA263" s="77"/>
      <c r="BB263" s="77"/>
      <c r="BC263" s="95"/>
      <c r="BD263" s="77"/>
      <c r="BE263" s="77"/>
      <c r="BF263" s="77"/>
      <c r="BG263" s="95"/>
      <c r="BH263" s="77"/>
      <c r="BI263" s="77"/>
      <c r="BJ263" s="77"/>
      <c r="BK263" s="95"/>
      <c r="BL263" s="77"/>
      <c r="BO263" s="97"/>
      <c r="BS263" s="97"/>
    </row>
    <row r="264" spans="1:71">
      <c r="A264" s="1" t="s">
        <v>274</v>
      </c>
      <c r="B264" s="41"/>
      <c r="C264" s="41"/>
      <c r="D264" s="41"/>
      <c r="E264" s="41"/>
      <c r="F264" s="41"/>
      <c r="G264" s="41"/>
      <c r="H264" s="41"/>
      <c r="I264" s="42"/>
      <c r="J264" s="42">
        <f>BG264</f>
        <v>50676</v>
      </c>
      <c r="K264" s="42">
        <f>BK264</f>
        <v>51551</v>
      </c>
      <c r="N264" s="41"/>
      <c r="O264" s="41"/>
      <c r="P264" s="41"/>
      <c r="Q264" s="41"/>
      <c r="R264" s="41"/>
      <c r="S264" s="41"/>
      <c r="T264" s="41"/>
      <c r="U264" s="41"/>
      <c r="V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c r="AT264" s="41"/>
      <c r="AU264" s="42"/>
      <c r="AV264" s="41"/>
      <c r="AW264" s="41"/>
      <c r="AX264" s="41"/>
      <c r="AY264" s="42"/>
      <c r="AZ264" s="41"/>
      <c r="BA264" s="41"/>
      <c r="BB264" s="41"/>
      <c r="BC264" s="41"/>
      <c r="BD264" s="41">
        <v>49955</v>
      </c>
      <c r="BE264" s="41">
        <v>50970</v>
      </c>
      <c r="BF264" s="41">
        <v>51496</v>
      </c>
      <c r="BG264" s="41">
        <v>50676</v>
      </c>
      <c r="BH264" s="41">
        <v>52534</v>
      </c>
      <c r="BI264" s="41">
        <v>52523</v>
      </c>
      <c r="BJ264" s="41">
        <v>53167</v>
      </c>
      <c r="BK264" s="41">
        <v>51551</v>
      </c>
      <c r="BL264" s="41">
        <v>52883</v>
      </c>
      <c r="BO264" s="97"/>
      <c r="BS264" s="97"/>
    </row>
    <row r="265" spans="1:71">
      <c r="A265" s="1"/>
      <c r="B265" s="41"/>
      <c r="C265" s="41"/>
      <c r="D265" s="41"/>
      <c r="E265" s="41"/>
      <c r="F265" s="41"/>
      <c r="G265" s="41"/>
      <c r="H265" s="41"/>
      <c r="I265" s="42"/>
      <c r="J265" s="42"/>
      <c r="K265" s="42"/>
      <c r="N265" s="41"/>
      <c r="O265" s="41"/>
      <c r="P265" s="41"/>
      <c r="Q265" s="41"/>
      <c r="R265" s="41"/>
      <c r="S265" s="41"/>
      <c r="T265" s="41"/>
      <c r="U265" s="41"/>
      <c r="V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41"/>
      <c r="AU265" s="42"/>
      <c r="AV265" s="41"/>
      <c r="AW265" s="41"/>
      <c r="AX265" s="41"/>
      <c r="AY265" s="42"/>
      <c r="AZ265" s="41"/>
      <c r="BA265" s="41"/>
      <c r="BB265" s="41"/>
      <c r="BC265" s="41"/>
      <c r="BD265" s="41"/>
      <c r="BE265" s="41"/>
      <c r="BF265" s="41"/>
      <c r="BG265" s="41"/>
      <c r="BH265" s="41"/>
      <c r="BI265" s="41"/>
      <c r="BJ265" s="41"/>
      <c r="BK265" s="41"/>
      <c r="BL265" s="41"/>
      <c r="BO265" s="97"/>
      <c r="BS265" s="97"/>
    </row>
    <row r="266" spans="1:71">
      <c r="A266" s="14" t="s">
        <v>464</v>
      </c>
      <c r="B266" s="41"/>
      <c r="C266" s="41"/>
      <c r="D266" s="41"/>
      <c r="E266" s="41"/>
      <c r="F266" s="41"/>
      <c r="G266" s="41"/>
      <c r="H266" s="41"/>
      <c r="I266" s="42"/>
      <c r="J266" s="42"/>
      <c r="K266" s="42"/>
      <c r="N266" s="41"/>
      <c r="O266" s="41"/>
      <c r="P266" s="41"/>
      <c r="Q266" s="41"/>
      <c r="R266" s="41"/>
      <c r="S266" s="41"/>
      <c r="T266" s="41"/>
      <c r="U266" s="41"/>
      <c r="V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41"/>
      <c r="AU266" s="42"/>
      <c r="AV266" s="41"/>
      <c r="AW266" s="41"/>
      <c r="AX266" s="41"/>
      <c r="AY266" s="42"/>
      <c r="AZ266" s="41"/>
      <c r="BA266" s="41"/>
      <c r="BB266" s="41"/>
      <c r="BC266" s="41"/>
      <c r="BD266" s="41"/>
      <c r="BE266" s="41"/>
      <c r="BF266" s="41"/>
      <c r="BG266" s="41"/>
      <c r="BH266" s="41"/>
      <c r="BI266" s="41"/>
      <c r="BJ266" s="41"/>
      <c r="BK266" s="41"/>
      <c r="BL266" s="41"/>
      <c r="BO266" s="97"/>
      <c r="BS266" s="97"/>
    </row>
    <row r="267" spans="1:71">
      <c r="A267" s="1" t="s">
        <v>462</v>
      </c>
      <c r="B267" s="41"/>
      <c r="C267" s="41"/>
      <c r="D267" s="41"/>
      <c r="E267" s="41"/>
      <c r="F267" s="41"/>
      <c r="G267" s="41"/>
      <c r="H267" s="41"/>
      <c r="I267" s="41">
        <v>5285</v>
      </c>
      <c r="J267" s="42">
        <f>SUM(BD267:BG267)</f>
        <v>7830</v>
      </c>
      <c r="K267" s="42">
        <f>SUM(BH267:BK267)</f>
        <v>-6657</v>
      </c>
      <c r="N267" s="41"/>
      <c r="O267" s="41"/>
      <c r="P267" s="41"/>
      <c r="Q267" s="41"/>
      <c r="R267" s="41"/>
      <c r="S267" s="41"/>
      <c r="T267" s="41"/>
      <c r="U267" s="41"/>
      <c r="V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41"/>
      <c r="AU267" s="42"/>
      <c r="AV267" s="41"/>
      <c r="AW267" s="41"/>
      <c r="AX267" s="41"/>
      <c r="AY267" s="42"/>
      <c r="AZ267" s="41"/>
      <c r="BA267" s="41"/>
      <c r="BB267" s="41"/>
      <c r="BC267" s="41"/>
      <c r="BD267" s="41">
        <v>1412</v>
      </c>
      <c r="BE267" s="41">
        <v>1785</v>
      </c>
      <c r="BF267" s="41">
        <v>2033</v>
      </c>
      <c r="BG267" s="41">
        <v>2600</v>
      </c>
      <c r="BH267" s="41">
        <v>1173</v>
      </c>
      <c r="BI267" s="41">
        <v>-4946</v>
      </c>
      <c r="BJ267" s="41">
        <v>-40</v>
      </c>
      <c r="BK267" s="41">
        <v>-2844</v>
      </c>
      <c r="BL267" s="41">
        <v>-2068</v>
      </c>
      <c r="BO267" s="97"/>
      <c r="BS267" s="97"/>
    </row>
    <row r="268" spans="1:71">
      <c r="A268" s="1" t="s">
        <v>463</v>
      </c>
      <c r="B268" s="41"/>
      <c r="C268" s="41"/>
      <c r="D268" s="41"/>
      <c r="E268" s="41"/>
      <c r="F268" s="41"/>
      <c r="G268" s="41"/>
      <c r="H268" s="41"/>
      <c r="I268" s="41">
        <v>4537</v>
      </c>
      <c r="J268" s="42">
        <f>SUM(BD268:BG268)</f>
        <v>8828</v>
      </c>
      <c r="K268" s="42">
        <f>SUM(BH268:BK268)</f>
        <v>-3501</v>
      </c>
      <c r="N268" s="41"/>
      <c r="O268" s="41"/>
      <c r="P268" s="41"/>
      <c r="Q268" s="41"/>
      <c r="R268" s="41"/>
      <c r="S268" s="41"/>
      <c r="T268" s="41"/>
      <c r="U268" s="41"/>
      <c r="V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41"/>
      <c r="AU268" s="42"/>
      <c r="AV268" s="41"/>
      <c r="AW268" s="41"/>
      <c r="AX268" s="41"/>
      <c r="AY268" s="42"/>
      <c r="AZ268" s="41"/>
      <c r="BA268" s="41"/>
      <c r="BB268" s="41"/>
      <c r="BC268" s="41"/>
      <c r="BD268" s="41">
        <v>1644</v>
      </c>
      <c r="BE268" s="41">
        <v>1941</v>
      </c>
      <c r="BF268" s="41">
        <v>2251</v>
      </c>
      <c r="BG268" s="41">
        <v>2992</v>
      </c>
      <c r="BH268" s="41">
        <v>1538</v>
      </c>
      <c r="BI268" s="41">
        <v>-4288</v>
      </c>
      <c r="BJ268" s="41">
        <v>944</v>
      </c>
      <c r="BK268" s="41">
        <v>-1695</v>
      </c>
      <c r="BL268" s="41">
        <v>-1113</v>
      </c>
      <c r="BO268" s="97"/>
      <c r="BS268" s="97"/>
    </row>
    <row r="269" spans="1:71">
      <c r="A269" s="1"/>
      <c r="B269" s="41"/>
      <c r="C269" s="41"/>
      <c r="D269" s="41"/>
      <c r="E269" s="41"/>
      <c r="F269" s="41"/>
      <c r="G269" s="41"/>
      <c r="H269" s="41"/>
      <c r="I269" s="42"/>
      <c r="J269" s="42"/>
      <c r="K269" s="42"/>
      <c r="N269" s="41"/>
      <c r="O269" s="41"/>
      <c r="P269" s="41"/>
      <c r="Q269" s="41"/>
      <c r="R269" s="41"/>
      <c r="S269" s="41"/>
      <c r="T269" s="41"/>
      <c r="U269" s="41"/>
      <c r="V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41"/>
      <c r="AU269" s="42"/>
      <c r="AV269" s="41"/>
      <c r="AW269" s="41"/>
      <c r="AX269" s="41"/>
      <c r="AY269" s="42"/>
      <c r="AZ269" s="41"/>
      <c r="BA269" s="41"/>
      <c r="BB269" s="41"/>
      <c r="BC269" s="41"/>
      <c r="BD269" s="41"/>
      <c r="BE269" s="41"/>
      <c r="BF269" s="41"/>
      <c r="BG269" s="41"/>
      <c r="BH269" s="41"/>
      <c r="BI269" s="41"/>
      <c r="BJ269" s="41"/>
      <c r="BK269" s="41"/>
      <c r="BL269" s="41"/>
      <c r="BO269" s="97"/>
      <c r="BS269" s="97"/>
    </row>
    <row r="270" spans="1:71">
      <c r="A270" s="1"/>
      <c r="B270" s="41"/>
      <c r="C270" s="41"/>
      <c r="D270" s="41"/>
      <c r="E270" s="41"/>
      <c r="F270" s="41"/>
      <c r="G270" s="41"/>
      <c r="H270" s="41"/>
      <c r="I270" s="42"/>
      <c r="J270" s="42"/>
      <c r="K270" s="42"/>
      <c r="N270" s="41"/>
      <c r="O270" s="41"/>
      <c r="P270" s="41"/>
      <c r="Q270" s="41"/>
      <c r="R270" s="41"/>
      <c r="S270" s="41"/>
      <c r="T270" s="41"/>
      <c r="U270" s="41"/>
      <c r="V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41"/>
      <c r="AU270" s="42"/>
      <c r="AV270" s="41"/>
      <c r="AW270" s="41"/>
      <c r="AX270" s="41"/>
      <c r="AY270" s="42"/>
      <c r="AZ270" s="41"/>
      <c r="BA270" s="41"/>
      <c r="BB270" s="41"/>
      <c r="BC270" s="41"/>
      <c r="BD270" s="41"/>
      <c r="BE270" s="41"/>
      <c r="BF270" s="41"/>
      <c r="BG270" s="41"/>
      <c r="BH270" s="41"/>
      <c r="BI270" s="41"/>
      <c r="BJ270" s="41"/>
      <c r="BK270" s="41"/>
      <c r="BL270" s="41"/>
      <c r="BO270" s="97"/>
      <c r="BS270" s="97"/>
    </row>
    <row r="271" spans="1:71">
      <c r="A271" s="1"/>
      <c r="B271" s="41"/>
      <c r="C271" s="41"/>
      <c r="D271" s="41"/>
      <c r="E271" s="41"/>
      <c r="F271" s="41"/>
      <c r="G271" s="41"/>
      <c r="H271" s="41"/>
      <c r="I271" s="42"/>
      <c r="J271" s="42"/>
      <c r="K271" s="42"/>
      <c r="N271" s="41"/>
      <c r="O271" s="41"/>
      <c r="P271" s="41"/>
      <c r="Q271" s="41"/>
      <c r="R271" s="41"/>
      <c r="S271" s="41"/>
      <c r="T271" s="41"/>
      <c r="U271" s="41"/>
      <c r="V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41"/>
      <c r="AU271" s="42"/>
      <c r="AV271" s="41"/>
      <c r="AW271" s="41"/>
      <c r="AX271" s="41"/>
      <c r="AY271" s="42"/>
      <c r="AZ271" s="41"/>
      <c r="BA271" s="41"/>
      <c r="BB271" s="41"/>
      <c r="BC271" s="41"/>
      <c r="BD271" s="41"/>
      <c r="BE271" s="41"/>
      <c r="BF271" s="41"/>
      <c r="BG271" s="41"/>
      <c r="BH271" s="41"/>
      <c r="BI271" s="41"/>
      <c r="BJ271" s="41"/>
      <c r="BK271" s="41"/>
      <c r="BL271" s="41"/>
      <c r="BO271" s="97"/>
      <c r="BS271" s="97"/>
    </row>
    <row r="272" spans="1:71">
      <c r="A272" s="14">
        <v>737</v>
      </c>
      <c r="B272" s="41"/>
      <c r="C272" s="41"/>
      <c r="D272" s="41"/>
      <c r="E272" s="41"/>
      <c r="F272" s="41"/>
      <c r="G272" s="41"/>
      <c r="H272" s="41"/>
      <c r="I272" s="77"/>
      <c r="J272" s="77"/>
      <c r="K272" s="77"/>
      <c r="L272" s="77"/>
      <c r="M272" s="77"/>
      <c r="N272" s="41"/>
      <c r="O272" s="41"/>
      <c r="P272" s="41"/>
      <c r="Q272" s="41"/>
      <c r="R272" s="41"/>
      <c r="S272" s="41"/>
      <c r="T272" s="41"/>
      <c r="U272" s="41"/>
      <c r="V272" s="41"/>
      <c r="AV272" s="41"/>
      <c r="AW272" s="41"/>
      <c r="AX272" s="41"/>
      <c r="AY272" s="42"/>
    </row>
    <row r="273" spans="1:71">
      <c r="B273" s="41"/>
      <c r="C273" s="41"/>
      <c r="D273" s="41"/>
      <c r="E273" s="41"/>
      <c r="F273" s="41"/>
      <c r="G273" s="41"/>
      <c r="H273" s="41"/>
      <c r="I273" s="77"/>
      <c r="J273" s="77"/>
      <c r="K273" s="77"/>
      <c r="L273" s="77"/>
      <c r="M273" s="77"/>
      <c r="N273" s="41"/>
      <c r="O273" s="41"/>
      <c r="P273" s="41"/>
      <c r="Q273" s="41"/>
      <c r="R273" s="41"/>
      <c r="S273" s="41"/>
      <c r="T273" s="41"/>
      <c r="U273" s="41"/>
      <c r="V273" s="41"/>
      <c r="AV273" s="41"/>
      <c r="AW273" s="41"/>
      <c r="AX273" s="41"/>
      <c r="AY273" s="42"/>
    </row>
    <row r="274" spans="1:71">
      <c r="A274" s="12" t="s">
        <v>479</v>
      </c>
      <c r="B274" s="41"/>
      <c r="C274" s="41"/>
      <c r="D274" s="41"/>
      <c r="E274" s="41"/>
      <c r="F274" s="41"/>
      <c r="G274" s="41"/>
      <c r="H274" s="41"/>
      <c r="I274" s="104">
        <f>SUM(AZ274:BC274)</f>
        <v>0</v>
      </c>
      <c r="J274" s="104">
        <f>SUM(BD274:BG274)</f>
        <v>594</v>
      </c>
      <c r="K274" s="104">
        <f>SUM(BH274:BK274)</f>
        <v>534</v>
      </c>
      <c r="L274" s="104">
        <f>SUM(BL274:BO274)</f>
        <v>93</v>
      </c>
      <c r="M274" s="104">
        <f>SUM(BP274:BS274)</f>
        <v>372</v>
      </c>
      <c r="N274" s="41"/>
      <c r="O274" s="41"/>
      <c r="P274" s="41"/>
      <c r="Q274" s="41"/>
      <c r="R274" s="41"/>
      <c r="S274" s="41"/>
      <c r="T274" s="41"/>
      <c r="U274" s="41"/>
      <c r="V274" s="41"/>
      <c r="AV274" s="41"/>
      <c r="AW274" s="41"/>
      <c r="AX274" s="41"/>
      <c r="AY274" s="42"/>
      <c r="BA274" s="81"/>
      <c r="BB274" s="81"/>
      <c r="BC274" s="81"/>
      <c r="BD274" s="309">
        <f>47*3</f>
        <v>141</v>
      </c>
      <c r="BE274" s="81">
        <f>47*3</f>
        <v>141</v>
      </c>
      <c r="BF274" s="81">
        <f>52*3</f>
        <v>156</v>
      </c>
      <c r="BG274" s="81">
        <f>52*3</f>
        <v>156</v>
      </c>
      <c r="BH274" s="309">
        <f>52*3</f>
        <v>156</v>
      </c>
      <c r="BI274" s="81">
        <f>42*3</f>
        <v>126</v>
      </c>
      <c r="BJ274" s="81">
        <f>42*3</f>
        <v>126</v>
      </c>
      <c r="BK274" s="81">
        <f>42*3</f>
        <v>126</v>
      </c>
      <c r="BL274" s="309">
        <v>0</v>
      </c>
      <c r="BM274" s="81">
        <v>0</v>
      </c>
      <c r="BN274" s="81">
        <v>0</v>
      </c>
      <c r="BO274" s="81">
        <f>31*3</f>
        <v>93</v>
      </c>
      <c r="BP274" s="309">
        <f>31*3</f>
        <v>93</v>
      </c>
      <c r="BQ274" s="81">
        <f>31*3</f>
        <v>93</v>
      </c>
      <c r="BR274" s="81">
        <f>31*3</f>
        <v>93</v>
      </c>
      <c r="BS274" s="81">
        <f>31*3</f>
        <v>93</v>
      </c>
    </row>
    <row r="275" spans="1:71">
      <c r="A275" s="12" t="s">
        <v>485</v>
      </c>
      <c r="B275" s="41"/>
      <c r="C275" s="41"/>
      <c r="D275" s="41"/>
      <c r="E275" s="41"/>
      <c r="F275" s="41"/>
      <c r="G275" s="41"/>
      <c r="H275" s="41"/>
      <c r="I275" s="104">
        <f>BCA_Deliveries_Qtr!P$4</f>
        <v>529</v>
      </c>
      <c r="J275" s="104">
        <f>BCA_Deliveries_Qtr!U$4</f>
        <v>580</v>
      </c>
      <c r="K275" s="104">
        <f>BCA_Deliveries_Qtr!Z$4</f>
        <v>127</v>
      </c>
      <c r="L275" s="104">
        <f>BCA_Deliveries_Qtr!AE$4</f>
        <v>43</v>
      </c>
      <c r="M275" s="104">
        <f>BCA_Deliveries_Qtr!AJ$4</f>
        <v>263</v>
      </c>
      <c r="N275" s="41"/>
      <c r="O275" s="41"/>
      <c r="P275" s="41"/>
      <c r="Q275" s="41"/>
      <c r="R275" s="41"/>
      <c r="S275" s="41"/>
      <c r="T275" s="41"/>
      <c r="U275" s="41"/>
      <c r="V275" s="41"/>
      <c r="AV275" s="41"/>
      <c r="AW275" s="41"/>
      <c r="AX275" s="41"/>
      <c r="AY275" s="42"/>
    </row>
    <row r="276" spans="1:71">
      <c r="A276" s="12"/>
      <c r="B276" s="41"/>
      <c r="C276" s="41"/>
      <c r="D276" s="41"/>
      <c r="E276" s="41"/>
      <c r="F276" s="41"/>
      <c r="G276" s="41"/>
      <c r="H276" s="41"/>
      <c r="I276" s="77"/>
      <c r="J276" s="77"/>
      <c r="K276" s="77"/>
      <c r="L276" s="77"/>
      <c r="M276" s="77"/>
      <c r="N276" s="41"/>
      <c r="O276" s="41"/>
      <c r="P276" s="41"/>
      <c r="Q276" s="41"/>
      <c r="R276" s="41"/>
      <c r="S276" s="41"/>
      <c r="T276" s="41"/>
      <c r="U276" s="41"/>
      <c r="V276" s="41"/>
      <c r="AV276" s="41"/>
      <c r="AW276" s="41"/>
      <c r="AX276" s="41"/>
      <c r="AY276" s="42"/>
    </row>
    <row r="277" spans="1:71">
      <c r="A277" s="1" t="s">
        <v>482</v>
      </c>
      <c r="B277" s="41"/>
      <c r="C277" s="41"/>
      <c r="D277" s="41"/>
      <c r="E277" s="41"/>
      <c r="F277" s="41"/>
      <c r="G277" s="41"/>
      <c r="H277" s="41"/>
      <c r="I277" s="41"/>
      <c r="J277" s="41">
        <v>463</v>
      </c>
      <c r="K277" s="41">
        <v>1313</v>
      </c>
      <c r="L277" s="41"/>
      <c r="M277" s="41"/>
      <c r="N277" s="41"/>
      <c r="O277" s="41"/>
      <c r="P277" s="41"/>
      <c r="Q277" s="41"/>
      <c r="R277" s="41"/>
      <c r="S277" s="41"/>
      <c r="T277" s="41"/>
      <c r="U277" s="41"/>
      <c r="V277" s="41"/>
      <c r="AV277" s="41"/>
      <c r="AW277" s="41"/>
      <c r="AX277" s="41"/>
      <c r="AY277" s="42"/>
    </row>
    <row r="278" spans="1:71">
      <c r="A278" s="1" t="s">
        <v>483</v>
      </c>
      <c r="B278" s="41"/>
      <c r="C278" s="41"/>
      <c r="D278" s="41"/>
      <c r="E278" s="41"/>
      <c r="F278" s="41"/>
      <c r="G278" s="41"/>
      <c r="H278" s="41"/>
      <c r="I278" s="41"/>
      <c r="J278" s="41">
        <v>471</v>
      </c>
      <c r="K278" s="41">
        <v>521</v>
      </c>
      <c r="L278" s="41"/>
      <c r="M278" s="41"/>
      <c r="N278" s="41"/>
      <c r="O278" s="41"/>
      <c r="P278" s="41"/>
      <c r="Q278" s="41"/>
      <c r="R278" s="41"/>
      <c r="S278" s="41"/>
      <c r="T278" s="41"/>
      <c r="U278" s="41"/>
      <c r="V278" s="41"/>
      <c r="AV278" s="41"/>
      <c r="AW278" s="41"/>
      <c r="AX278" s="41"/>
      <c r="AY278" s="42"/>
    </row>
    <row r="279" spans="1:71">
      <c r="A279" s="12" t="s">
        <v>486</v>
      </c>
      <c r="B279" s="41"/>
      <c r="C279" s="41"/>
      <c r="D279" s="41"/>
      <c r="E279" s="41"/>
      <c r="F279" s="41"/>
      <c r="G279" s="41"/>
      <c r="H279" s="41"/>
      <c r="I279" s="104"/>
      <c r="J279" s="104">
        <f>J277+J278</f>
        <v>934</v>
      </c>
      <c r="K279" s="104">
        <f>K277+K278</f>
        <v>1834</v>
      </c>
      <c r="L279" s="104"/>
      <c r="M279" s="104"/>
      <c r="N279" s="41"/>
      <c r="O279" s="41"/>
      <c r="P279" s="41"/>
      <c r="Q279" s="41"/>
      <c r="R279" s="41"/>
      <c r="S279" s="41"/>
      <c r="T279" s="41"/>
      <c r="U279" s="41"/>
      <c r="V279" s="41"/>
      <c r="AV279" s="41"/>
      <c r="AW279" s="41"/>
      <c r="AX279" s="41"/>
      <c r="AY279" s="42"/>
    </row>
    <row r="280" spans="1:71">
      <c r="B280" s="41"/>
      <c r="C280" s="41"/>
      <c r="D280" s="41"/>
      <c r="E280" s="41"/>
      <c r="F280" s="41"/>
      <c r="G280" s="41"/>
      <c r="H280" s="41"/>
      <c r="I280" s="104"/>
      <c r="J280" s="104"/>
      <c r="K280" s="104"/>
      <c r="L280" s="104"/>
      <c r="M280" s="104"/>
      <c r="N280" s="41"/>
      <c r="O280" s="41"/>
      <c r="P280" s="41"/>
      <c r="Q280" s="41"/>
      <c r="R280" s="41"/>
      <c r="S280" s="41"/>
      <c r="T280" s="41"/>
      <c r="U280" s="41"/>
      <c r="V280" s="41"/>
      <c r="AV280" s="41"/>
      <c r="AW280" s="41"/>
      <c r="AX280" s="41"/>
      <c r="AY280" s="42"/>
    </row>
    <row r="281" spans="1:71">
      <c r="A281" s="1" t="s">
        <v>480</v>
      </c>
      <c r="B281" s="41"/>
      <c r="C281" s="41"/>
      <c r="D281" s="41"/>
      <c r="E281" s="41"/>
      <c r="F281" s="41"/>
      <c r="G281" s="41"/>
      <c r="H281" s="41"/>
      <c r="I281" s="42"/>
      <c r="J281" s="42">
        <f t="shared" ref="J281:K283" si="404">(I277-J277)</f>
        <v>-463</v>
      </c>
      <c r="K281" s="42">
        <f t="shared" si="404"/>
        <v>-850</v>
      </c>
      <c r="L281" s="42"/>
      <c r="M281" s="42"/>
      <c r="N281" s="41"/>
      <c r="O281" s="41"/>
      <c r="P281" s="41"/>
      <c r="Q281" s="41"/>
      <c r="R281" s="41"/>
      <c r="S281" s="41"/>
      <c r="T281" s="41"/>
      <c r="U281" s="41"/>
      <c r="V281" s="41"/>
      <c r="AV281" s="41"/>
      <c r="AW281" s="41"/>
      <c r="AX281" s="41"/>
      <c r="AY281" s="42"/>
    </row>
    <row r="282" spans="1:71">
      <c r="A282" s="1" t="s">
        <v>481</v>
      </c>
      <c r="B282" s="41"/>
      <c r="C282" s="41"/>
      <c r="D282" s="41"/>
      <c r="E282" s="41"/>
      <c r="F282" s="41"/>
      <c r="G282" s="41"/>
      <c r="H282" s="41"/>
      <c r="I282" s="42"/>
      <c r="J282" s="42">
        <f t="shared" si="404"/>
        <v>-471</v>
      </c>
      <c r="K282" s="42">
        <f t="shared" si="404"/>
        <v>-50</v>
      </c>
      <c r="L282" s="42"/>
      <c r="M282" s="42"/>
      <c r="N282" s="41"/>
      <c r="O282" s="41"/>
      <c r="P282" s="41"/>
      <c r="Q282" s="41"/>
      <c r="R282" s="41"/>
      <c r="S282" s="41"/>
      <c r="T282" s="41"/>
      <c r="U282" s="41"/>
      <c r="V282" s="41"/>
      <c r="AV282" s="41"/>
      <c r="AW282" s="41"/>
      <c r="AX282" s="41"/>
      <c r="AY282" s="42"/>
    </row>
    <row r="283" spans="1:71">
      <c r="A283" s="12" t="s">
        <v>487</v>
      </c>
      <c r="B283" s="41"/>
      <c r="C283" s="41"/>
      <c r="D283" s="41"/>
      <c r="E283" s="41"/>
      <c r="F283" s="41"/>
      <c r="G283" s="41"/>
      <c r="H283" s="41"/>
      <c r="I283" s="39"/>
      <c r="J283" s="39">
        <f t="shared" si="404"/>
        <v>-934</v>
      </c>
      <c r="K283" s="39">
        <f t="shared" si="404"/>
        <v>-900</v>
      </c>
      <c r="L283" s="39"/>
      <c r="M283" s="39"/>
      <c r="N283" s="41"/>
      <c r="O283" s="41"/>
      <c r="P283" s="41"/>
      <c r="Q283" s="41"/>
      <c r="R283" s="41"/>
      <c r="S283" s="41"/>
      <c r="T283" s="41"/>
      <c r="U283" s="41"/>
      <c r="V283" s="41"/>
      <c r="AV283" s="41"/>
      <c r="AW283" s="41"/>
      <c r="AX283" s="41"/>
      <c r="AY283" s="42"/>
    </row>
  </sheetData>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6"/>
  <dimension ref="A1:Y68"/>
  <sheetViews>
    <sheetView showGridLines="0" zoomScaleNormal="100" workbookViewId="0">
      <pane xSplit="1" ySplit="2" topLeftCell="N3" activePane="bottomRight" state="frozen"/>
      <selection activeCell="K31" sqref="K31"/>
      <selection pane="topRight" activeCell="K31" sqref="K31"/>
      <selection pane="bottomLeft" activeCell="K31" sqref="K31"/>
      <selection pane="bottomRight" activeCell="U64" sqref="U64"/>
    </sheetView>
  </sheetViews>
  <sheetFormatPr defaultColWidth="9.1796875" defaultRowHeight="14.5" outlineLevelRow="1"/>
  <cols>
    <col min="1" max="1" width="63" customWidth="1"/>
    <col min="2" max="8" width="12.26953125" style="26" customWidth="1" collapsed="1"/>
    <col min="9" max="13" width="12.26953125" style="26" customWidth="1"/>
    <col min="14" max="21" width="12.26953125" style="26" customWidth="1" collapsed="1"/>
  </cols>
  <sheetData>
    <row r="1" spans="1:23">
      <c r="A1" s="15" t="s">
        <v>508</v>
      </c>
      <c r="B1" s="68"/>
      <c r="C1" s="68"/>
      <c r="D1" s="68"/>
      <c r="E1" s="68"/>
      <c r="F1" s="68"/>
      <c r="G1" s="68"/>
      <c r="H1" s="68"/>
      <c r="I1" s="68"/>
      <c r="J1" s="68"/>
      <c r="K1" s="68"/>
      <c r="L1" s="68"/>
      <c r="M1" s="68"/>
      <c r="N1" s="68"/>
      <c r="O1" s="68"/>
      <c r="P1" s="68"/>
      <c r="Q1" s="68"/>
      <c r="R1" s="68"/>
      <c r="S1" s="68"/>
      <c r="T1" s="68"/>
      <c r="U1" s="68"/>
      <c r="V1" s="68"/>
      <c r="W1" s="68"/>
    </row>
    <row r="2" spans="1:23">
      <c r="A2" s="7"/>
      <c r="B2" s="107" t="str">
        <f>Balance_Sheet_Annual!L2</f>
        <v>CY2010A</v>
      </c>
      <c r="C2" s="107" t="str">
        <f>Balance_Sheet_Annual!M2</f>
        <v>CY2011A</v>
      </c>
      <c r="D2" s="107" t="str">
        <f>Balance_Sheet_Annual!N2</f>
        <v>CY2012A</v>
      </c>
      <c r="E2" s="107" t="str">
        <f>Balance_Sheet_Annual!O2</f>
        <v>CY2013A</v>
      </c>
      <c r="F2" s="107" t="str">
        <f>Balance_Sheet_Annual!P2</f>
        <v>CY2014A</v>
      </c>
      <c r="G2" s="107" t="str">
        <f>Balance_Sheet_Annual!Q2</f>
        <v>CY2015A</v>
      </c>
      <c r="H2" s="107" t="str">
        <f>Balance_Sheet_Annual!R2</f>
        <v>CY2016A</v>
      </c>
      <c r="I2" s="107" t="str">
        <f>Balance_Sheet_Annual!S2</f>
        <v>CY2017A</v>
      </c>
      <c r="J2" s="107" t="str">
        <f>Balance_Sheet_Annual!T2</f>
        <v>CY2018A</v>
      </c>
      <c r="K2" s="107" t="str">
        <f>Balance_Sheet_Annual!U2</f>
        <v>CY2019A</v>
      </c>
      <c r="L2" s="107" t="str">
        <f>Balance_Sheet_Annual!V2</f>
        <v>CY2020A</v>
      </c>
      <c r="M2" s="107" t="str">
        <f>Balance_Sheet_Annual!W2</f>
        <v>CY2021A</v>
      </c>
      <c r="N2" s="107" t="str">
        <f>Balance_Sheet_Annual!X2</f>
        <v>CY2022A</v>
      </c>
      <c r="O2" s="107" t="str">
        <f>Balance_Sheet_Annual!Y2</f>
        <v>CY2023A</v>
      </c>
      <c r="P2" s="107" t="str">
        <f>Balance_Sheet_Annual!Z2</f>
        <v>CY2024A</v>
      </c>
      <c r="Q2" s="107" t="str">
        <f>Balance_Sheet_Annual!AA2</f>
        <v>CY2025A</v>
      </c>
      <c r="R2" s="107" t="str">
        <f>Balance_Sheet_Annual!AB2</f>
        <v>CY2026E</v>
      </c>
      <c r="S2" s="107" t="str">
        <f>Balance_Sheet_Annual!AC2</f>
        <v>CY2027E</v>
      </c>
      <c r="T2" s="107" t="str">
        <f>Balance_Sheet_Annual!AD2</f>
        <v>CY2028E</v>
      </c>
      <c r="U2" s="107" t="s">
        <v>647</v>
      </c>
      <c r="V2" s="103" t="s">
        <v>675</v>
      </c>
      <c r="W2" s="103" t="s">
        <v>676</v>
      </c>
    </row>
    <row r="3" spans="1:23">
      <c r="A3" s="16" t="s">
        <v>524</v>
      </c>
      <c r="B3" s="60"/>
      <c r="C3" s="60"/>
      <c r="D3" s="60"/>
      <c r="E3" s="60"/>
      <c r="F3" s="60"/>
      <c r="G3" s="60"/>
      <c r="H3" s="60"/>
      <c r="I3" s="60"/>
      <c r="J3" s="60"/>
      <c r="K3" s="60"/>
      <c r="L3" s="60"/>
      <c r="M3" s="60"/>
      <c r="N3" s="60"/>
      <c r="O3" s="60"/>
      <c r="P3" s="60"/>
      <c r="Q3" s="60"/>
      <c r="R3" s="60"/>
      <c r="S3" s="60"/>
      <c r="T3" s="60"/>
      <c r="U3" s="60"/>
      <c r="V3" s="60"/>
      <c r="W3" s="60"/>
    </row>
    <row r="4" spans="1:23">
      <c r="A4" s="14"/>
      <c r="B4" s="78"/>
      <c r="C4" s="78"/>
      <c r="D4" s="78"/>
      <c r="E4" s="78"/>
      <c r="F4" s="78"/>
      <c r="G4" s="78"/>
      <c r="H4" s="78"/>
      <c r="I4" s="78"/>
      <c r="J4" s="78"/>
      <c r="K4" s="78"/>
      <c r="L4" s="78"/>
      <c r="M4" s="78"/>
      <c r="N4" s="78"/>
      <c r="O4" s="78"/>
      <c r="P4" s="78"/>
      <c r="Q4" s="78"/>
      <c r="R4" s="78"/>
      <c r="S4" s="78"/>
      <c r="T4" s="78"/>
      <c r="U4" s="78"/>
      <c r="V4" s="78"/>
      <c r="W4" s="78"/>
    </row>
    <row r="5" spans="1:23" outlineLevel="1">
      <c r="A5" s="12" t="s">
        <v>523</v>
      </c>
      <c r="B5" s="78"/>
      <c r="C5" s="78"/>
      <c r="D5" s="78"/>
      <c r="E5" s="78"/>
      <c r="F5" s="78"/>
      <c r="G5" s="78"/>
      <c r="H5" s="78"/>
      <c r="I5" s="78"/>
      <c r="J5" s="78"/>
      <c r="K5" s="78"/>
      <c r="L5" s="78"/>
      <c r="M5" s="78"/>
      <c r="N5" s="78"/>
      <c r="O5" s="78"/>
      <c r="P5" s="78"/>
      <c r="Q5" s="78"/>
      <c r="R5" s="78"/>
      <c r="S5" s="78"/>
      <c r="T5" s="78"/>
      <c r="U5" s="78"/>
      <c r="V5" s="78"/>
      <c r="W5" s="78"/>
    </row>
    <row r="6" spans="1:23" s="5" customFormat="1" outlineLevel="1">
      <c r="A6" s="3">
        <v>737</v>
      </c>
      <c r="B6" s="38">
        <f>BCA_Model_Annual!L16</f>
        <v>41.492021276595743</v>
      </c>
      <c r="C6" s="38">
        <f>BCA_Model_Annual!M16</f>
        <v>43.524193548387096</v>
      </c>
      <c r="D6" s="38">
        <f>BCA_Model_Annual!N16</f>
        <v>45.2289156626506</v>
      </c>
      <c r="E6" s="38">
        <f>BCA_Model_Annual!O16</f>
        <v>45.918181818181822</v>
      </c>
      <c r="F6" s="38">
        <f>BCA_Model_Annual!P16</f>
        <v>46.317525773195875</v>
      </c>
      <c r="G6" s="38">
        <f>BCA_Model_Annual!Q16</f>
        <v>45.474323232323236</v>
      </c>
      <c r="H6" s="38">
        <f>BCA_Model_Annual!R16</f>
        <v>45.978163265306129</v>
      </c>
      <c r="I6" s="38">
        <f>BCA_Model_Annual!S16</f>
        <v>46.520604914933841</v>
      </c>
      <c r="J6" s="38">
        <f>BCA_Model_Annual!T16</f>
        <v>50.711724137931036</v>
      </c>
      <c r="K6" s="38">
        <f>BCA_Model_Annual!U16</f>
        <v>51.377952755905511</v>
      </c>
      <c r="L6" s="38">
        <f>BCA_Model_Annual!V16</f>
        <v>53.325217391304342</v>
      </c>
      <c r="M6" s="38">
        <f>BCA_Model_Annual!W16</f>
        <v>40</v>
      </c>
      <c r="N6" s="38">
        <f>BCA_Model_Annual!X16</f>
        <v>40</v>
      </c>
      <c r="O6" s="38">
        <f>BCA_Model_Annual!Y16</f>
        <v>46</v>
      </c>
      <c r="P6" s="38">
        <f>BCA_Model_Annual!Z16</f>
        <v>48.300000000000004</v>
      </c>
      <c r="Q6" s="38">
        <f>BCA_Model_Annual!AA16</f>
        <v>49</v>
      </c>
      <c r="R6" s="38">
        <f>BCA_Model_Annual!AB16</f>
        <v>55.12676056338028</v>
      </c>
      <c r="S6" s="38">
        <f>BCA_Model_Annual!AC16</f>
        <v>55.12676056338028</v>
      </c>
      <c r="T6" s="38">
        <f>BCA_Model_Annual!AD16</f>
        <v>55.12676056338028</v>
      </c>
      <c r="U6" s="38">
        <f>BCA_Model_Annual!AE16</f>
        <v>56.780563380281691</v>
      </c>
      <c r="V6" s="38">
        <f>BCA_Model_Annual!AF16</f>
        <v>58.483980281690144</v>
      </c>
      <c r="W6" s="422">
        <f>V6</f>
        <v>58.483980281690144</v>
      </c>
    </row>
    <row r="7" spans="1:23" s="5" customFormat="1" outlineLevel="1">
      <c r="A7" s="3">
        <v>747</v>
      </c>
      <c r="B7" s="38">
        <f>BCA_Model_Annual!L17</f>
        <v>158</v>
      </c>
      <c r="C7" s="38">
        <f>BCA_Model_Annual!M17</f>
        <v>180</v>
      </c>
      <c r="D7" s="38">
        <f>BCA_Model_Annual!N17</f>
        <v>178</v>
      </c>
      <c r="E7" s="38">
        <f>BCA_Model_Annual!O17</f>
        <v>178</v>
      </c>
      <c r="F7" s="38">
        <f>BCA_Model_Annual!P17</f>
        <v>180</v>
      </c>
      <c r="G7" s="38">
        <f>BCA_Model_Annual!Q17</f>
        <v>179</v>
      </c>
      <c r="H7" s="38">
        <f>BCA_Model_Annual!R17</f>
        <v>179</v>
      </c>
      <c r="I7" s="38">
        <f>BCA_Model_Annual!S17</f>
        <v>178</v>
      </c>
      <c r="J7" s="38">
        <f>BCA_Model_Annual!T17</f>
        <v>180</v>
      </c>
      <c r="K7" s="38">
        <f>BCA_Model_Annual!U17</f>
        <v>180</v>
      </c>
      <c r="L7" s="38">
        <f>BCA_Model_Annual!V17</f>
        <v>180</v>
      </c>
      <c r="M7" s="38">
        <f>BCA_Model_Annual!W17</f>
        <v>180</v>
      </c>
      <c r="N7" s="38">
        <f>BCA_Model_Annual!X17</f>
        <v>180</v>
      </c>
      <c r="O7" s="38">
        <f>BCA_Model_Annual!Y17</f>
        <v>180</v>
      </c>
      <c r="P7" s="38">
        <f>BCA_Model_Annual!Z17</f>
        <v>180</v>
      </c>
      <c r="Q7" s="38">
        <f>BCA_Model_Annual!AA17</f>
        <v>180</v>
      </c>
      <c r="R7" s="38">
        <f>BCA_Model_Annual!AB17</f>
        <v>180</v>
      </c>
      <c r="S7" s="38">
        <f>BCA_Model_Annual!AC17</f>
        <v>180</v>
      </c>
      <c r="T7" s="38">
        <f>BCA_Model_Annual!AD17</f>
        <v>180</v>
      </c>
      <c r="U7" s="38">
        <f>BCA_Model_Annual!AE17</f>
        <v>180</v>
      </c>
      <c r="V7" s="38">
        <f>BCA_Model_Annual!AF17</f>
        <v>180</v>
      </c>
      <c r="W7" s="422">
        <f t="shared" ref="W7:W10" si="0">V7</f>
        <v>180</v>
      </c>
    </row>
    <row r="8" spans="1:23" s="5" customFormat="1" outlineLevel="1">
      <c r="A8" s="3">
        <v>767</v>
      </c>
      <c r="B8" s="38">
        <f>BCA_Model_Annual!L18</f>
        <v>82</v>
      </c>
      <c r="C8" s="38">
        <f>BCA_Model_Annual!M18</f>
        <v>83</v>
      </c>
      <c r="D8" s="38">
        <f>BCA_Model_Annual!N18</f>
        <v>81</v>
      </c>
      <c r="E8" s="38">
        <f>BCA_Model_Annual!O18</f>
        <v>81</v>
      </c>
      <c r="F8" s="38">
        <f>BCA_Model_Annual!P18</f>
        <v>81</v>
      </c>
      <c r="G8" s="38">
        <f>BCA_Model_Annual!Q18</f>
        <v>80</v>
      </c>
      <c r="H8" s="38">
        <f>BCA_Model_Annual!R18</f>
        <v>79</v>
      </c>
      <c r="I8" s="38">
        <f>BCA_Model_Annual!S18</f>
        <v>80</v>
      </c>
      <c r="J8" s="38">
        <f>BCA_Model_Annual!T18</f>
        <v>80</v>
      </c>
      <c r="K8" s="38">
        <f>BCA_Model_Annual!U18</f>
        <v>80</v>
      </c>
      <c r="L8" s="38">
        <f>BCA_Model_Annual!V18</f>
        <v>80</v>
      </c>
      <c r="M8" s="38">
        <f>BCA_Model_Annual!W18</f>
        <v>75</v>
      </c>
      <c r="N8" s="38">
        <f>BCA_Model_Annual!X18</f>
        <v>75</v>
      </c>
      <c r="O8" s="38">
        <f>BCA_Model_Annual!Y18</f>
        <v>75</v>
      </c>
      <c r="P8" s="38">
        <f>BCA_Model_Annual!Z18</f>
        <v>75</v>
      </c>
      <c r="Q8" s="38">
        <f>BCA_Model_Annual!AA18</f>
        <v>75</v>
      </c>
      <c r="R8" s="38">
        <f>BCA_Model_Annual!AB18</f>
        <v>75</v>
      </c>
      <c r="S8" s="38">
        <f>BCA_Model_Annual!AC18</f>
        <v>75</v>
      </c>
      <c r="T8" s="38">
        <f>BCA_Model_Annual!AD18</f>
        <v>75</v>
      </c>
      <c r="U8" s="38">
        <f>BCA_Model_Annual!AE18</f>
        <v>75</v>
      </c>
      <c r="V8" s="38">
        <f>BCA_Model_Annual!AF18</f>
        <v>75</v>
      </c>
      <c r="W8" s="422">
        <f t="shared" si="0"/>
        <v>75</v>
      </c>
    </row>
    <row r="9" spans="1:23" s="5" customFormat="1" outlineLevel="1">
      <c r="A9" s="3">
        <v>777</v>
      </c>
      <c r="B9" s="38">
        <f>BCA_Model_Annual!L19</f>
        <v>147.64864864864865</v>
      </c>
      <c r="C9" s="38">
        <f>BCA_Model_Annual!M19</f>
        <v>156.53424657534248</v>
      </c>
      <c r="D9" s="38">
        <f>BCA_Model_Annual!N19</f>
        <v>154.28915662650601</v>
      </c>
      <c r="E9" s="38">
        <f>BCA_Model_Annual!O19</f>
        <v>155.70408163265307</v>
      </c>
      <c r="F9" s="38">
        <f>BCA_Model_Annual!P19</f>
        <v>157.09090909090909</v>
      </c>
      <c r="G9" s="38">
        <f>BCA_Model_Annual!Q19</f>
        <v>158.12244897959184</v>
      </c>
      <c r="H9" s="38">
        <f>BCA_Model_Annual!R19</f>
        <v>159.77777777777777</v>
      </c>
      <c r="I9" s="38">
        <f>BCA_Model_Annual!S19</f>
        <v>160.44594594594594</v>
      </c>
      <c r="J9" s="38">
        <f>BCA_Model_Annual!T19</f>
        <v>156</v>
      </c>
      <c r="K9" s="38">
        <f>BCA_Model_Annual!U19</f>
        <v>150.86666666666667</v>
      </c>
      <c r="L9" s="38">
        <f>BCA_Model_Annual!V19</f>
        <v>162.375</v>
      </c>
      <c r="M9" s="38">
        <f>BCA_Model_Annual!W19</f>
        <v>160</v>
      </c>
      <c r="N9" s="38">
        <f>BCA_Model_Annual!X19</f>
        <v>160</v>
      </c>
      <c r="O9" s="38">
        <f>BCA_Model_Annual!Y19</f>
        <v>160</v>
      </c>
      <c r="P9" s="38">
        <f>BCA_Model_Annual!Z19</f>
        <v>160</v>
      </c>
      <c r="Q9" s="38">
        <f>BCA_Model_Annual!AA19</f>
        <v>160</v>
      </c>
      <c r="R9" s="38">
        <f>BCA_Model_Annual!AB19</f>
        <v>160</v>
      </c>
      <c r="S9" s="38">
        <f>BCA_Model_Annual!AC19</f>
        <v>160</v>
      </c>
      <c r="T9" s="38">
        <f>BCA_Model_Annual!AD19</f>
        <v>160</v>
      </c>
      <c r="U9" s="38">
        <f>BCA_Model_Annual!AE19</f>
        <v>160</v>
      </c>
      <c r="V9" s="38">
        <f>BCA_Model_Annual!AF19</f>
        <v>160</v>
      </c>
      <c r="W9" s="422">
        <f t="shared" si="0"/>
        <v>160</v>
      </c>
    </row>
    <row r="10" spans="1:23" s="5" customFormat="1" outlineLevel="1">
      <c r="A10" s="3">
        <v>787</v>
      </c>
      <c r="B10" s="38">
        <f>BCA_Model_Annual!L20</f>
        <v>140.30000000000001</v>
      </c>
      <c r="C10" s="38">
        <f>BCA_Model_Annual!M20</f>
        <v>140.30000000000001</v>
      </c>
      <c r="D10" s="38">
        <f>BCA_Model_Annual!N20</f>
        <v>115</v>
      </c>
      <c r="E10" s="38">
        <f>BCA_Model_Annual!O20</f>
        <v>115</v>
      </c>
      <c r="F10" s="38">
        <f>BCA_Model_Annual!P20</f>
        <v>117.01754385964912</v>
      </c>
      <c r="G10" s="38">
        <f>BCA_Model_Annual!Q20</f>
        <v>125.9037037037037</v>
      </c>
      <c r="H10" s="38">
        <f>BCA_Model_Annual!R20</f>
        <v>131.63503649635035</v>
      </c>
      <c r="I10" s="38">
        <f>BCA_Model_Annual!S20</f>
        <v>133.1764705882353</v>
      </c>
      <c r="J10" s="38">
        <f>BCA_Model_Annual!T20</f>
        <v>137.86206896551724</v>
      </c>
      <c r="K10" s="38">
        <f>BCA_Model_Annual!U20</f>
        <v>140.31645569620252</v>
      </c>
      <c r="L10" s="38">
        <f>BCA_Model_Annual!V20</f>
        <v>142.41666666666666</v>
      </c>
      <c r="M10" s="38">
        <f>BCA_Model_Annual!W20</f>
        <v>138</v>
      </c>
      <c r="N10" s="38">
        <f>BCA_Model_Annual!X20</f>
        <v>123</v>
      </c>
      <c r="O10" s="38">
        <f>BCA_Model_Annual!Y20</f>
        <v>110</v>
      </c>
      <c r="P10" s="38">
        <f>BCA_Model_Annual!Z20</f>
        <v>125</v>
      </c>
      <c r="Q10" s="38">
        <f>BCA_Model_Annual!AA20</f>
        <v>127</v>
      </c>
      <c r="R10" s="38">
        <f>BCA_Model_Annual!AB20</f>
        <v>145</v>
      </c>
      <c r="S10" s="38">
        <f>BCA_Model_Annual!AC20</f>
        <v>145</v>
      </c>
      <c r="T10" s="38">
        <f>BCA_Model_Annual!AD20</f>
        <v>145</v>
      </c>
      <c r="U10" s="38">
        <f>BCA_Model_Annual!AE20</f>
        <v>149.35</v>
      </c>
      <c r="V10" s="38">
        <f>BCA_Model_Annual!AF20</f>
        <v>153.8305</v>
      </c>
      <c r="W10" s="422">
        <f t="shared" si="0"/>
        <v>153.8305</v>
      </c>
    </row>
    <row r="11" spans="1:23" s="5" customFormat="1" outlineLevel="1">
      <c r="A11" s="3"/>
      <c r="B11" s="38"/>
      <c r="C11" s="38"/>
      <c r="D11" s="38"/>
      <c r="E11" s="38"/>
      <c r="F11" s="38"/>
      <c r="G11" s="38"/>
      <c r="H11" s="38"/>
      <c r="I11" s="38"/>
      <c r="J11" s="38"/>
      <c r="K11" s="38"/>
      <c r="L11" s="38"/>
      <c r="M11" s="38"/>
      <c r="N11" s="38"/>
      <c r="O11" s="38"/>
      <c r="P11" s="38"/>
      <c r="Q11" s="38"/>
      <c r="R11" s="38"/>
      <c r="S11" s="38"/>
      <c r="T11" s="38"/>
      <c r="U11" s="38"/>
      <c r="V11" s="38"/>
      <c r="W11" s="38"/>
    </row>
    <row r="12" spans="1:23" s="5" customFormat="1" outlineLevel="1">
      <c r="A12" s="12" t="s">
        <v>522</v>
      </c>
      <c r="B12" s="78"/>
      <c r="C12" s="78"/>
      <c r="D12" s="78"/>
      <c r="E12" s="78"/>
      <c r="F12" s="78"/>
      <c r="G12" s="78"/>
      <c r="H12" s="78"/>
      <c r="I12" s="78"/>
      <c r="J12" s="78"/>
      <c r="K12" s="78"/>
      <c r="L12" s="78"/>
      <c r="M12" s="78"/>
      <c r="N12" s="78"/>
      <c r="O12" s="78"/>
      <c r="P12" s="78"/>
      <c r="Q12" s="78"/>
      <c r="R12" s="78"/>
      <c r="S12" s="78"/>
      <c r="T12" s="78"/>
      <c r="U12" s="78"/>
      <c r="V12" s="78"/>
      <c r="W12" s="78"/>
    </row>
    <row r="13" spans="1:23" s="5" customFormat="1" outlineLevel="1">
      <c r="A13" s="3">
        <v>737</v>
      </c>
      <c r="B13" s="43">
        <v>508</v>
      </c>
      <c r="C13" s="43">
        <v>625</v>
      </c>
      <c r="D13" s="43">
        <v>1184</v>
      </c>
      <c r="E13" s="43">
        <v>1208</v>
      </c>
      <c r="F13" s="43">
        <v>1196</v>
      </c>
      <c r="G13" s="43">
        <v>666</v>
      </c>
      <c r="H13" s="43">
        <v>701</v>
      </c>
      <c r="I13" s="43">
        <v>865</v>
      </c>
      <c r="J13" s="43">
        <v>837</v>
      </c>
      <c r="K13" s="43">
        <v>69</v>
      </c>
      <c r="L13" s="43">
        <v>-511</v>
      </c>
      <c r="M13" s="43">
        <v>765</v>
      </c>
      <c r="N13" s="43"/>
      <c r="O13" s="43"/>
      <c r="P13" s="43"/>
      <c r="Q13" s="43"/>
      <c r="R13" s="43"/>
      <c r="S13" s="43"/>
      <c r="T13" s="43"/>
      <c r="U13" s="43"/>
      <c r="V13" s="43"/>
      <c r="W13" s="43"/>
    </row>
    <row r="14" spans="1:23" outlineLevel="1">
      <c r="A14" s="3">
        <v>747</v>
      </c>
      <c r="B14" s="43">
        <v>1</v>
      </c>
      <c r="C14" s="43">
        <v>7</v>
      </c>
      <c r="D14" s="43">
        <v>7</v>
      </c>
      <c r="E14" s="43">
        <v>17</v>
      </c>
      <c r="F14" s="43">
        <v>2</v>
      </c>
      <c r="G14" s="43">
        <v>6</v>
      </c>
      <c r="H14" s="43">
        <v>18</v>
      </c>
      <c r="I14" s="43">
        <v>6</v>
      </c>
      <c r="J14" s="43">
        <v>18</v>
      </c>
      <c r="K14" s="43">
        <v>0</v>
      </c>
      <c r="L14" s="43">
        <v>-1</v>
      </c>
      <c r="M14" s="43">
        <v>5</v>
      </c>
      <c r="N14" s="43"/>
      <c r="O14" s="43"/>
      <c r="P14" s="43"/>
      <c r="Q14" s="43"/>
      <c r="R14" s="43"/>
      <c r="S14" s="43"/>
      <c r="T14" s="43"/>
      <c r="U14" s="43"/>
      <c r="V14" s="43"/>
      <c r="W14" s="43"/>
    </row>
    <row r="15" spans="1:23" outlineLevel="1">
      <c r="A15" s="3">
        <v>767</v>
      </c>
      <c r="B15" s="43">
        <v>3</v>
      </c>
      <c r="C15" s="43">
        <v>42</v>
      </c>
      <c r="D15" s="43">
        <v>23</v>
      </c>
      <c r="E15" s="43">
        <v>2</v>
      </c>
      <c r="F15" s="43">
        <v>4</v>
      </c>
      <c r="G15" s="43">
        <v>49</v>
      </c>
      <c r="H15" s="43">
        <v>26</v>
      </c>
      <c r="I15" s="43">
        <v>15</v>
      </c>
      <c r="J15" s="43">
        <v>40</v>
      </c>
      <c r="K15" s="43">
        <v>26</v>
      </c>
      <c r="L15" s="43">
        <v>11</v>
      </c>
      <c r="M15" s="43">
        <v>65</v>
      </c>
      <c r="N15" s="43"/>
      <c r="O15" s="43"/>
      <c r="P15" s="43"/>
      <c r="Q15" s="43"/>
      <c r="R15" s="43"/>
      <c r="S15" s="43"/>
      <c r="T15" s="43"/>
      <c r="U15" s="43"/>
      <c r="V15" s="43"/>
      <c r="W15" s="43"/>
    </row>
    <row r="16" spans="1:23" outlineLevel="1">
      <c r="A16" s="3">
        <v>777</v>
      </c>
      <c r="B16" s="43">
        <v>76</v>
      </c>
      <c r="C16" s="43">
        <v>202</v>
      </c>
      <c r="D16" s="43">
        <v>75</v>
      </c>
      <c r="E16" s="43">
        <v>121</v>
      </c>
      <c r="F16" s="43">
        <v>283</v>
      </c>
      <c r="G16" s="43">
        <v>58</v>
      </c>
      <c r="H16" s="43">
        <v>23</v>
      </c>
      <c r="I16" s="43">
        <v>60</v>
      </c>
      <c r="J16" s="43">
        <v>59</v>
      </c>
      <c r="K16" s="43">
        <v>38</v>
      </c>
      <c r="L16" s="43">
        <v>10</v>
      </c>
      <c r="M16" s="43">
        <v>53</v>
      </c>
      <c r="N16" s="43"/>
      <c r="O16" s="43"/>
      <c r="P16" s="43"/>
      <c r="Q16" s="43"/>
      <c r="R16" s="43"/>
      <c r="S16" s="43"/>
      <c r="T16" s="43"/>
      <c r="U16" s="43"/>
      <c r="V16" s="43"/>
      <c r="W16" s="43"/>
    </row>
    <row r="17" spans="1:25" outlineLevel="1">
      <c r="A17" s="3">
        <v>787</v>
      </c>
      <c r="B17" s="43">
        <v>37</v>
      </c>
      <c r="C17" s="43">
        <v>45</v>
      </c>
      <c r="D17" s="43">
        <v>50</v>
      </c>
      <c r="E17" s="43">
        <v>183</v>
      </c>
      <c r="F17" s="43">
        <v>65</v>
      </c>
      <c r="G17" s="43">
        <v>99</v>
      </c>
      <c r="H17" s="43">
        <v>80</v>
      </c>
      <c r="I17" s="43">
        <v>107</v>
      </c>
      <c r="J17" s="43">
        <v>136</v>
      </c>
      <c r="K17" s="43">
        <v>113</v>
      </c>
      <c r="L17" s="43">
        <v>20</v>
      </c>
      <c r="M17" s="43">
        <v>21</v>
      </c>
      <c r="N17" s="43"/>
      <c r="O17" s="43"/>
      <c r="P17" s="43"/>
      <c r="Q17" s="43"/>
      <c r="R17" s="43"/>
      <c r="S17" s="43"/>
      <c r="T17" s="43"/>
      <c r="U17" s="43"/>
      <c r="V17" s="43"/>
      <c r="W17" s="43"/>
    </row>
    <row r="18" spans="1:25" outlineLevel="1">
      <c r="A18" s="329" t="s">
        <v>11</v>
      </c>
      <c r="B18" s="40">
        <f>SUM(B13:B17)</f>
        <v>625</v>
      </c>
      <c r="C18" s="40">
        <f t="shared" ref="C18:M18" si="1">SUM(C13:C17)</f>
        <v>921</v>
      </c>
      <c r="D18" s="40">
        <f t="shared" si="1"/>
        <v>1339</v>
      </c>
      <c r="E18" s="40">
        <f t="shared" si="1"/>
        <v>1531</v>
      </c>
      <c r="F18" s="40">
        <f t="shared" si="1"/>
        <v>1550</v>
      </c>
      <c r="G18" s="40">
        <f t="shared" si="1"/>
        <v>878</v>
      </c>
      <c r="H18" s="40">
        <f t="shared" si="1"/>
        <v>848</v>
      </c>
      <c r="I18" s="40">
        <f t="shared" si="1"/>
        <v>1053</v>
      </c>
      <c r="J18" s="40">
        <f t="shared" si="1"/>
        <v>1090</v>
      </c>
      <c r="K18" s="40">
        <f t="shared" si="1"/>
        <v>246</v>
      </c>
      <c r="L18" s="40">
        <f t="shared" si="1"/>
        <v>-471</v>
      </c>
      <c r="M18" s="40">
        <f t="shared" si="1"/>
        <v>909</v>
      </c>
      <c r="N18" s="40"/>
      <c r="O18" s="40"/>
      <c r="P18" s="40"/>
      <c r="Q18" s="40"/>
      <c r="R18" s="40"/>
      <c r="S18" s="40"/>
      <c r="T18" s="40"/>
      <c r="U18" s="40"/>
      <c r="V18" s="40"/>
      <c r="W18" s="40"/>
    </row>
    <row r="19" spans="1:25" outlineLevel="1">
      <c r="A19" s="329" t="s">
        <v>543</v>
      </c>
      <c r="B19" s="40">
        <f t="shared" ref="B19:I19" si="2">SUMPRODUCT(B6:B10,B13:B17)</f>
        <v>37894.344105807933</v>
      </c>
      <c r="C19" s="40">
        <f t="shared" si="2"/>
        <v>69882.038775961119</v>
      </c>
      <c r="D19" s="40">
        <f t="shared" si="2"/>
        <v>73981.722891566256</v>
      </c>
      <c r="E19" s="40">
        <f t="shared" si="2"/>
        <v>98542.357513914671</v>
      </c>
      <c r="F19" s="40">
        <f t="shared" si="2"/>
        <v>108142.62844834673</v>
      </c>
      <c r="G19" s="40">
        <f t="shared" si="2"/>
        <v>56915.467980210262</v>
      </c>
      <c r="H19" s="40">
        <f t="shared" si="2"/>
        <v>51712.384257576516</v>
      </c>
      <c r="I19" s="40">
        <f t="shared" si="2"/>
        <v>66384.9623611157</v>
      </c>
      <c r="J19" s="40">
        <f>SUMPRODUCT(J6:J10,J13:J17)</f>
        <v>76838.954482758621</v>
      </c>
      <c r="K19" s="40">
        <f>SUMPRODUCT(K6:K10,K13:K17)</f>
        <v>27213.771567161697</v>
      </c>
      <c r="L19" s="40">
        <f t="shared" ref="L19:R19" ca="1" si="3">L20*L32</f>
        <v>13635.993677521852</v>
      </c>
      <c r="M19" s="40">
        <f t="shared" ca="1" si="3"/>
        <v>16446.38193020254</v>
      </c>
      <c r="N19" s="40">
        <f t="shared" ca="1" si="3"/>
        <v>21824.170799186842</v>
      </c>
      <c r="O19" s="40">
        <f t="shared" si="3"/>
        <v>50851.5</v>
      </c>
      <c r="P19" s="40">
        <f t="shared" si="3"/>
        <v>16002.699999999999</v>
      </c>
      <c r="Q19" s="40">
        <f t="shared" si="3"/>
        <v>24896.399999999998</v>
      </c>
      <c r="R19" s="40">
        <f t="shared" si="3"/>
        <v>30457.876056338024</v>
      </c>
      <c r="S19" s="40">
        <f t="shared" ref="S19:T19" si="4">S20*S32</f>
        <v>45762.715492957752</v>
      </c>
      <c r="T19" s="40">
        <f t="shared" si="4"/>
        <v>41778.869014084499</v>
      </c>
      <c r="U19" s="40">
        <f t="shared" ref="U19" si="5">U20*U32</f>
        <v>42866.65008450704</v>
      </c>
      <c r="V19" s="40">
        <f t="shared" ref="V19:W19" si="6">V20*V32</f>
        <v>37703.198217464793</v>
      </c>
      <c r="W19" s="40">
        <f t="shared" si="6"/>
        <v>38834.294163988736</v>
      </c>
    </row>
    <row r="20" spans="1:25" outlineLevel="1">
      <c r="A20" s="329" t="s">
        <v>542</v>
      </c>
      <c r="B20" s="352">
        <f t="shared" ref="B20:N20" si="7">B19/B32</f>
        <v>1.1903733148774245</v>
      </c>
      <c r="C20" s="352">
        <f t="shared" si="7"/>
        <v>1.9319907875359021</v>
      </c>
      <c r="D20" s="352">
        <f t="shared" si="7"/>
        <v>1.5059279600131548</v>
      </c>
      <c r="E20" s="352">
        <f t="shared" si="7"/>
        <v>1.8599565412867758</v>
      </c>
      <c r="F20" s="352">
        <f t="shared" si="7"/>
        <v>1.8026775870702905</v>
      </c>
      <c r="G20" s="352">
        <f t="shared" si="7"/>
        <v>0.86172886355696254</v>
      </c>
      <c r="H20" s="352">
        <f t="shared" si="7"/>
        <v>0.89140840270248423</v>
      </c>
      <c r="I20" s="352">
        <f t="shared" si="7"/>
        <v>1.1442921081310666</v>
      </c>
      <c r="J20" s="352">
        <f t="shared" si="7"/>
        <v>1.3363528840981342</v>
      </c>
      <c r="K20" s="352">
        <f t="shared" si="7"/>
        <v>0.84370707075373419</v>
      </c>
      <c r="L20" s="352">
        <f t="shared" ca="1" si="7"/>
        <v>0.84370707075373419</v>
      </c>
      <c r="M20" s="352">
        <f t="shared" ca="1" si="7"/>
        <v>0.84370707075373419</v>
      </c>
      <c r="N20" s="352">
        <f t="shared" ca="1" si="7"/>
        <v>0.84370707075373419</v>
      </c>
      <c r="O20" s="523">
        <v>1.5</v>
      </c>
      <c r="P20" s="353">
        <v>0.7</v>
      </c>
      <c r="Q20" s="353">
        <v>0.6</v>
      </c>
      <c r="R20" s="353">
        <v>0.6</v>
      </c>
      <c r="S20" s="353">
        <v>0.8</v>
      </c>
      <c r="T20" s="353">
        <v>0.7</v>
      </c>
      <c r="U20" s="353">
        <v>0.7</v>
      </c>
      <c r="V20" s="353">
        <v>0.6</v>
      </c>
      <c r="W20" s="353">
        <v>0.6</v>
      </c>
    </row>
    <row r="21" spans="1:25" outlineLevel="1">
      <c r="A21" s="329"/>
      <c r="B21" s="40"/>
      <c r="C21" s="40"/>
      <c r="D21" s="40"/>
      <c r="E21" s="40"/>
      <c r="F21" s="40"/>
      <c r="G21" s="40"/>
      <c r="H21" s="40"/>
      <c r="I21" s="40"/>
      <c r="J21" s="40"/>
      <c r="K21" s="40"/>
      <c r="L21" s="40"/>
      <c r="M21" s="40"/>
      <c r="N21" s="40"/>
      <c r="O21" s="40"/>
      <c r="P21" s="40"/>
      <c r="Q21" s="40"/>
      <c r="R21" s="40"/>
      <c r="S21" s="40"/>
      <c r="T21" s="40"/>
      <c r="U21" s="40"/>
      <c r="V21" s="40"/>
      <c r="W21" s="40"/>
    </row>
    <row r="22" spans="1:25" s="5" customFormat="1">
      <c r="A22" s="12" t="s">
        <v>525</v>
      </c>
      <c r="B22" s="78"/>
      <c r="C22" s="78"/>
      <c r="D22" s="78"/>
      <c r="E22" s="78"/>
      <c r="F22" s="78"/>
      <c r="G22" s="78"/>
      <c r="H22" s="78"/>
      <c r="I22" s="78"/>
      <c r="J22" s="78"/>
      <c r="K22" s="78"/>
      <c r="L22" s="78"/>
      <c r="M22" s="78"/>
      <c r="N22" s="78"/>
      <c r="O22" s="78"/>
      <c r="P22" s="78"/>
      <c r="Q22" s="78"/>
      <c r="R22" s="78"/>
      <c r="S22" s="78"/>
      <c r="T22" s="78"/>
      <c r="U22" s="78"/>
      <c r="V22" s="78"/>
      <c r="W22" s="78"/>
    </row>
    <row r="23" spans="1:25" s="5" customFormat="1">
      <c r="A23" s="403">
        <v>737</v>
      </c>
      <c r="B23" s="404"/>
      <c r="C23" s="404"/>
      <c r="D23" s="404"/>
      <c r="E23" s="404"/>
      <c r="F23" s="404"/>
      <c r="G23" s="404"/>
      <c r="H23" s="404"/>
      <c r="I23" s="404"/>
      <c r="J23" s="404"/>
      <c r="K23" s="404"/>
      <c r="L23" s="404"/>
      <c r="M23" s="404"/>
      <c r="N23" s="404"/>
      <c r="O23" s="404"/>
      <c r="P23" s="404"/>
      <c r="Q23" s="404"/>
      <c r="R23" s="404"/>
      <c r="S23" s="404"/>
      <c r="T23" s="404"/>
      <c r="U23" s="404"/>
      <c r="V23" s="404"/>
      <c r="W23" s="404"/>
    </row>
    <row r="24" spans="1:25">
      <c r="A24" s="403">
        <v>747</v>
      </c>
      <c r="B24" s="404"/>
      <c r="C24" s="404"/>
      <c r="D24" s="404"/>
      <c r="E24" s="404"/>
      <c r="F24" s="404"/>
      <c r="G24" s="404"/>
      <c r="H24" s="404"/>
      <c r="I24" s="404"/>
      <c r="J24" s="404"/>
      <c r="K24" s="404"/>
      <c r="L24" s="404"/>
      <c r="M24" s="404"/>
      <c r="N24" s="404"/>
      <c r="O24" s="404"/>
      <c r="P24" s="404"/>
      <c r="Q24" s="404"/>
      <c r="R24" s="404"/>
      <c r="S24" s="404"/>
      <c r="T24" s="404"/>
      <c r="U24" s="404"/>
      <c r="V24" s="404"/>
      <c r="W24" s="404"/>
    </row>
    <row r="25" spans="1:25">
      <c r="A25" s="403">
        <v>767</v>
      </c>
      <c r="B25" s="404"/>
      <c r="C25" s="404"/>
      <c r="D25" s="404"/>
      <c r="E25" s="404"/>
      <c r="F25" s="404"/>
      <c r="G25" s="404"/>
      <c r="H25" s="404"/>
      <c r="I25" s="404"/>
      <c r="J25" s="404"/>
      <c r="K25" s="404"/>
      <c r="L25" s="404"/>
      <c r="M25" s="404"/>
      <c r="N25" s="404"/>
      <c r="O25" s="404"/>
      <c r="P25" s="404"/>
      <c r="Q25" s="404"/>
      <c r="R25" s="404"/>
      <c r="S25" s="404"/>
      <c r="T25" s="404"/>
      <c r="U25" s="404"/>
      <c r="V25" s="404"/>
      <c r="W25" s="404"/>
    </row>
    <row r="26" spans="1:25" s="5" customFormat="1">
      <c r="A26" s="403">
        <v>777</v>
      </c>
      <c r="B26" s="404"/>
      <c r="C26" s="404"/>
      <c r="D26" s="404"/>
      <c r="E26" s="404"/>
      <c r="F26" s="404"/>
      <c r="G26" s="404"/>
      <c r="H26" s="404"/>
      <c r="I26" s="404"/>
      <c r="J26" s="404"/>
      <c r="K26" s="404"/>
      <c r="L26" s="404"/>
      <c r="M26" s="404"/>
      <c r="N26" s="404"/>
      <c r="O26" s="404"/>
      <c r="P26" s="404"/>
      <c r="Q26" s="404"/>
      <c r="R26" s="404"/>
      <c r="S26" s="404"/>
      <c r="T26" s="404"/>
      <c r="U26" s="404"/>
      <c r="V26" s="404"/>
      <c r="W26" s="404"/>
    </row>
    <row r="27" spans="1:25" s="5" customFormat="1">
      <c r="A27" s="403">
        <v>787</v>
      </c>
      <c r="B27" s="404"/>
      <c r="C27" s="404"/>
      <c r="D27" s="404"/>
      <c r="E27" s="404"/>
      <c r="F27" s="404"/>
      <c r="G27" s="404"/>
      <c r="H27" s="404"/>
      <c r="I27" s="404"/>
      <c r="J27" s="404"/>
      <c r="K27" s="404"/>
      <c r="L27" s="404"/>
      <c r="M27" s="404"/>
      <c r="N27" s="404"/>
      <c r="O27" s="404"/>
      <c r="P27" s="404"/>
      <c r="Q27" s="404"/>
      <c r="R27" s="404"/>
      <c r="S27" s="404"/>
      <c r="T27" s="404"/>
      <c r="U27" s="404"/>
      <c r="V27" s="404"/>
      <c r="W27" s="404"/>
    </row>
    <row r="28" spans="1:25" s="5" customFormat="1">
      <c r="A28" s="329" t="s">
        <v>11</v>
      </c>
      <c r="B28" s="108">
        <f t="shared" ref="B28:L28" si="8">B29*B19</f>
        <v>1894.7172052903968</v>
      </c>
      <c r="C28" s="108">
        <f t="shared" si="8"/>
        <v>3494.1019387980559</v>
      </c>
      <c r="D28" s="108">
        <f t="shared" si="8"/>
        <v>3699.086144578313</v>
      </c>
      <c r="E28" s="108">
        <f t="shared" si="8"/>
        <v>4927.1178756957343</v>
      </c>
      <c r="F28" s="108">
        <f t="shared" si="8"/>
        <v>5407.1314224173366</v>
      </c>
      <c r="G28" s="108">
        <f t="shared" si="8"/>
        <v>2845.7733990105135</v>
      </c>
      <c r="H28" s="108">
        <f t="shared" si="8"/>
        <v>2585.6192128788261</v>
      </c>
      <c r="I28" s="108">
        <f t="shared" si="8"/>
        <v>3319.2481180557852</v>
      </c>
      <c r="J28" s="108">
        <f t="shared" si="8"/>
        <v>3841.9477241379313</v>
      </c>
      <c r="K28" s="108">
        <f t="shared" si="8"/>
        <v>1360.6885783580849</v>
      </c>
      <c r="L28" s="108">
        <f t="shared" ca="1" si="8"/>
        <v>681.79968387609267</v>
      </c>
      <c r="M28" s="108">
        <f ca="1">IF(M19&lt;0,M19*0.17,M19*M29)</f>
        <v>822.31909651012711</v>
      </c>
      <c r="N28" s="108">
        <f t="shared" ref="N28:R28" ca="1" si="9">IF(N19&lt;0,N19*0.17,N19*N29)</f>
        <v>1091.2085399593423</v>
      </c>
      <c r="O28" s="108">
        <f t="shared" si="9"/>
        <v>2034.06</v>
      </c>
      <c r="P28" s="108">
        <f t="shared" si="9"/>
        <v>560.09450000000004</v>
      </c>
      <c r="Q28" s="108">
        <f t="shared" si="9"/>
        <v>1244.82</v>
      </c>
      <c r="R28" s="108">
        <f t="shared" si="9"/>
        <v>1522.8938028169014</v>
      </c>
      <c r="S28" s="108">
        <f>IF(S19&lt;0,S19*0.17,S19*S29)</f>
        <v>2288.1357746478875</v>
      </c>
      <c r="T28" s="108">
        <f>IF(T19&lt;0,T19*0.17,T19*T29)</f>
        <v>2088.9434507042251</v>
      </c>
      <c r="U28" s="108">
        <f t="shared" ref="U28" si="10">IF(U19&lt;0,U19*0.17,U19*U29)</f>
        <v>2143.3325042253523</v>
      </c>
      <c r="V28" s="108">
        <f t="shared" ref="V28:W28" si="11">IF(V19&lt;0,V19*0.17,V19*V29)</f>
        <v>1885.1599108732398</v>
      </c>
      <c r="W28" s="108">
        <f t="shared" si="11"/>
        <v>1941.7147081994369</v>
      </c>
    </row>
    <row r="29" spans="1:25" s="5" customFormat="1">
      <c r="A29" s="329" t="s">
        <v>562</v>
      </c>
      <c r="B29" s="405">
        <v>0.05</v>
      </c>
      <c r="C29" s="405">
        <v>0.05</v>
      </c>
      <c r="D29" s="405">
        <v>0.05</v>
      </c>
      <c r="E29" s="405">
        <v>0.05</v>
      </c>
      <c r="F29" s="405">
        <v>0.05</v>
      </c>
      <c r="G29" s="405">
        <v>0.05</v>
      </c>
      <c r="H29" s="405">
        <v>0.05</v>
      </c>
      <c r="I29" s="405">
        <v>0.05</v>
      </c>
      <c r="J29" s="405">
        <v>0.05</v>
      </c>
      <c r="K29" s="405">
        <v>0.05</v>
      </c>
      <c r="L29" s="405">
        <v>0.05</v>
      </c>
      <c r="M29" s="405">
        <v>0.05</v>
      </c>
      <c r="N29" s="405">
        <v>0.05</v>
      </c>
      <c r="O29" s="524">
        <v>0.04</v>
      </c>
      <c r="P29" s="501">
        <v>3.5000000000000003E-2</v>
      </c>
      <c r="Q29" s="405">
        <v>0.05</v>
      </c>
      <c r="R29" s="405">
        <v>0.05</v>
      </c>
      <c r="S29" s="405">
        <v>0.05</v>
      </c>
      <c r="T29" s="405">
        <v>0.05</v>
      </c>
      <c r="U29" s="405">
        <v>0.05</v>
      </c>
      <c r="V29" s="405">
        <v>0.05</v>
      </c>
      <c r="W29" s="405">
        <v>0.05</v>
      </c>
    </row>
    <row r="30" spans="1:25">
      <c r="A30" s="14"/>
      <c r="B30" s="78"/>
      <c r="C30" s="78"/>
      <c r="D30" s="78"/>
      <c r="E30" s="78"/>
      <c r="F30" s="78"/>
      <c r="G30" s="78"/>
      <c r="H30" s="78"/>
      <c r="I30" s="78"/>
      <c r="J30" s="78"/>
      <c r="K30" s="78"/>
      <c r="L30" s="78"/>
      <c r="M30" s="78"/>
      <c r="N30" s="78"/>
      <c r="O30" s="78"/>
      <c r="P30" s="78"/>
      <c r="Q30" s="78"/>
      <c r="R30" s="78"/>
      <c r="S30" s="78"/>
      <c r="T30" s="78"/>
      <c r="U30" s="78"/>
      <c r="V30" s="78"/>
      <c r="W30" s="78"/>
    </row>
    <row r="31" spans="1:25">
      <c r="A31" s="16" t="s">
        <v>532</v>
      </c>
      <c r="B31" s="60"/>
      <c r="C31" s="60"/>
      <c r="D31" s="60"/>
      <c r="E31" s="60"/>
      <c r="F31" s="60"/>
      <c r="G31" s="60"/>
      <c r="H31" s="60"/>
      <c r="I31" s="60"/>
      <c r="J31" s="60"/>
      <c r="K31" s="60"/>
      <c r="L31" s="60"/>
      <c r="M31" s="60"/>
      <c r="N31" s="60"/>
      <c r="O31" s="60"/>
      <c r="P31" s="60"/>
      <c r="Q31" s="60"/>
      <c r="R31" s="60"/>
      <c r="S31" s="60"/>
      <c r="T31" s="60"/>
      <c r="U31" s="60"/>
      <c r="V31" s="60"/>
      <c r="W31" s="60"/>
    </row>
    <row r="32" spans="1:25" s="5" customFormat="1">
      <c r="A32" s="12" t="s">
        <v>526</v>
      </c>
      <c r="B32" s="179">
        <v>31834</v>
      </c>
      <c r="C32" s="179">
        <v>36171</v>
      </c>
      <c r="D32" s="179">
        <v>49127</v>
      </c>
      <c r="E32" s="179">
        <v>52981</v>
      </c>
      <c r="F32" s="179">
        <v>59990</v>
      </c>
      <c r="G32" s="179">
        <v>66048</v>
      </c>
      <c r="H32" s="179">
        <f>BCA_Annual!R3</f>
        <v>58012</v>
      </c>
      <c r="I32" s="179">
        <f>BCA_Annual!S3</f>
        <v>58014</v>
      </c>
      <c r="J32" s="179">
        <f>BCA_Annual!T3</f>
        <v>57499</v>
      </c>
      <c r="K32" s="179">
        <f>BCA_Annual!U3</f>
        <v>32255</v>
      </c>
      <c r="L32" s="179">
        <f>BCA_Annual!V3</f>
        <v>16162</v>
      </c>
      <c r="M32" s="179">
        <f>BCA_Annual!W3</f>
        <v>19493</v>
      </c>
      <c r="N32" s="179">
        <f>BCA_Annual!X3</f>
        <v>25867</v>
      </c>
      <c r="O32" s="179">
        <f>BCA_Annual!Y3</f>
        <v>33901</v>
      </c>
      <c r="P32" s="179">
        <f>BCA_Annual!Z3</f>
        <v>22861</v>
      </c>
      <c r="Q32" s="179">
        <f>BCA_Annual!AA3</f>
        <v>41494</v>
      </c>
      <c r="R32" s="179">
        <f>BCA_Annual!AB3</f>
        <v>50763.126760563377</v>
      </c>
      <c r="S32" s="179">
        <f>BCA_Annual!AC3</f>
        <v>57203.394366197186</v>
      </c>
      <c r="T32" s="179">
        <f>BCA_Annual!AD3</f>
        <v>59684.098591549293</v>
      </c>
      <c r="U32" s="179">
        <f>BCA_Annual!AE3</f>
        <v>61238.071549295775</v>
      </c>
      <c r="V32" s="179">
        <f>BCA_Annual!AF3</f>
        <v>62838.663695774652</v>
      </c>
      <c r="W32" s="572">
        <f>V32*(1+W33)</f>
        <v>64723.823606647893</v>
      </c>
      <c r="X32" s="572">
        <f t="shared" ref="X32:Y32" si="12">W32*(1+X33)</f>
        <v>66665.538314847334</v>
      </c>
      <c r="Y32" s="572">
        <f t="shared" si="12"/>
        <v>68665.504464292753</v>
      </c>
    </row>
    <row r="33" spans="1:25" s="5" customFormat="1">
      <c r="A33" s="3" t="s">
        <v>567</v>
      </c>
      <c r="B33" s="179"/>
      <c r="C33" s="98">
        <f>C32/B32-1</f>
        <v>0.13623798454482627</v>
      </c>
      <c r="D33" s="98">
        <f t="shared" ref="D33:T33" si="13">D32/C32-1</f>
        <v>0.35818749827209651</v>
      </c>
      <c r="E33" s="98">
        <f t="shared" si="13"/>
        <v>7.8449732326419275E-2</v>
      </c>
      <c r="F33" s="98">
        <f t="shared" si="13"/>
        <v>0.13229270870689502</v>
      </c>
      <c r="G33" s="98">
        <f t="shared" si="13"/>
        <v>0.10098349724954159</v>
      </c>
      <c r="H33" s="98">
        <f t="shared" si="13"/>
        <v>-0.1216690891472868</v>
      </c>
      <c r="I33" s="98">
        <f t="shared" si="13"/>
        <v>3.447562573266616E-5</v>
      </c>
      <c r="J33" s="98">
        <f t="shared" si="13"/>
        <v>-8.8771675802392647E-3</v>
      </c>
      <c r="K33" s="98">
        <f t="shared" si="13"/>
        <v>-0.43903372232560567</v>
      </c>
      <c r="L33" s="98">
        <f t="shared" si="13"/>
        <v>-0.49893039838784681</v>
      </c>
      <c r="M33" s="98">
        <f t="shared" si="13"/>
        <v>0.20610073010765984</v>
      </c>
      <c r="N33" s="98">
        <f t="shared" si="13"/>
        <v>0.32698917560149798</v>
      </c>
      <c r="O33" s="98">
        <f t="shared" si="13"/>
        <v>0.31058878107240884</v>
      </c>
      <c r="P33" s="98">
        <f t="shared" si="13"/>
        <v>-0.32565411049821535</v>
      </c>
      <c r="Q33" s="98">
        <f t="shared" si="13"/>
        <v>0.81505620926468669</v>
      </c>
      <c r="R33" s="98">
        <f t="shared" si="13"/>
        <v>0.22338474865193469</v>
      </c>
      <c r="S33" s="98">
        <f t="shared" si="13"/>
        <v>0.12686900938964807</v>
      </c>
      <c r="T33" s="98">
        <f t="shared" si="13"/>
        <v>4.3366381537981225E-2</v>
      </c>
      <c r="U33" s="98">
        <f t="shared" ref="U33" si="14">U32/T32-1</f>
        <v>2.6036632778542401E-2</v>
      </c>
      <c r="V33" s="98">
        <f t="shared" ref="V33" si="15">V32/U32-1</f>
        <v>2.6137206903885435E-2</v>
      </c>
      <c r="W33" s="407">
        <v>0.03</v>
      </c>
      <c r="X33" s="407">
        <v>0.03</v>
      </c>
      <c r="Y33" s="407">
        <v>0.03</v>
      </c>
    </row>
    <row r="34" spans="1:25" s="5" customFormat="1">
      <c r="A34" s="3"/>
      <c r="B34" s="179"/>
      <c r="C34" s="98"/>
      <c r="D34" s="98"/>
      <c r="E34" s="98"/>
      <c r="F34" s="98"/>
      <c r="G34" s="98"/>
      <c r="H34" s="98"/>
      <c r="I34" s="98"/>
      <c r="J34" s="98"/>
      <c r="K34" s="98"/>
      <c r="L34" s="98"/>
      <c r="M34" s="98"/>
      <c r="N34" s="98"/>
      <c r="O34" s="98"/>
      <c r="P34" s="98"/>
      <c r="Q34" s="98"/>
      <c r="R34" s="98"/>
      <c r="S34" s="98"/>
      <c r="T34" s="98"/>
      <c r="U34" s="407"/>
      <c r="V34" s="407"/>
      <c r="W34" s="407"/>
    </row>
    <row r="35" spans="1:25" s="5" customFormat="1">
      <c r="A35" s="12" t="s">
        <v>604</v>
      </c>
      <c r="B35" s="179"/>
      <c r="C35" s="98"/>
      <c r="D35" s="98"/>
      <c r="E35" s="98"/>
      <c r="F35" s="98"/>
      <c r="G35" s="98"/>
      <c r="H35" s="98"/>
      <c r="I35" s="98"/>
      <c r="J35" s="98"/>
      <c r="K35" s="98"/>
      <c r="L35" s="98"/>
      <c r="M35" s="98"/>
      <c r="N35" s="108">
        <f>N32+(Inventory!N7*BCA_Model_Annual!X20)+(Inventory!N43*BCA_Model_Annual!X16)</f>
        <v>18213</v>
      </c>
      <c r="O35" s="108">
        <f>O32+(Inventory!O7*BCA_Model_Annual!Y20)+(Inventory!O43*BCA_Model_Annual!Y16)</f>
        <v>26303</v>
      </c>
      <c r="P35" s="108">
        <f>P32+(Inventory!P7*BCA_Model_Annual!Z20)+(Inventory!P43*BCA_Model_Annual!Z16)</f>
        <v>16622</v>
      </c>
      <c r="Q35" s="108">
        <f>Q32+(Inventory!Q7*BCA_Model_Annual!AA20)+(Inventory!Q43*BCA_Model_Annual!AA16)</f>
        <v>36660</v>
      </c>
      <c r="R35" s="108">
        <f>R32+(Inventory!R7*BCA_Model_Annual!AB20)+(Inventory!R43*BCA_Model_Annual!AB16)</f>
        <v>50038.126760563377</v>
      </c>
      <c r="S35" s="108">
        <f>S32+(Inventory!W7*BCA_Model_Annual!AC20)+(Inventory!W43*BCA_Model_Annual!AC16)</f>
        <v>57203.394366197186</v>
      </c>
      <c r="T35" s="108">
        <f>T32+(Inventory!X7*BCA_Model_Annual!AD20)+(Inventory!X43*BCA_Model_Annual!AD16)</f>
        <v>60152.676056338023</v>
      </c>
      <c r="U35" s="108">
        <f>U32+(Inventory!Y7*BCA_Model_Annual!AE20)+(Inventory!Y43*BCA_Model_Annual!AE16)</f>
        <v>61209.681267605636</v>
      </c>
      <c r="V35" s="108">
        <f>V32+(Inventory!Z7*BCA_Model_Annual!AF20)+(Inventory!Z43*BCA_Model_Annual!AF16)</f>
        <v>62517.001804225358</v>
      </c>
      <c r="W35" s="108">
        <f>W32+(Inventory!AA7*BCA_Model_Annual!AG20)+(Inventory!AA43*BCA_Model_Annual!AG16)</f>
        <v>64723.823606647893</v>
      </c>
    </row>
    <row r="36" spans="1:25">
      <c r="A36" s="1"/>
      <c r="B36" s="72"/>
      <c r="C36" s="72"/>
      <c r="D36" s="72"/>
      <c r="E36" s="72"/>
      <c r="F36" s="72"/>
      <c r="G36" s="72"/>
      <c r="H36" s="72"/>
      <c r="I36" s="72"/>
      <c r="J36" s="72"/>
      <c r="K36" s="72"/>
      <c r="L36" s="72"/>
      <c r="M36" s="72"/>
      <c r="N36" s="72"/>
      <c r="O36" s="72"/>
      <c r="P36" s="72"/>
      <c r="Q36" s="72"/>
      <c r="R36" s="72"/>
      <c r="S36" s="72"/>
      <c r="T36" s="72"/>
      <c r="U36" s="72"/>
      <c r="V36" s="72"/>
      <c r="W36" s="72"/>
    </row>
    <row r="37" spans="1:25">
      <c r="A37" s="12" t="s">
        <v>531</v>
      </c>
      <c r="B37" s="108">
        <f>SUM(B38:B41)</f>
        <v>16194.950000000003</v>
      </c>
      <c r="C37" s="108">
        <f t="shared" ref="C37:M37" si="16">SUM(C38:C41)</f>
        <v>19581.100000000002</v>
      </c>
      <c r="D37" s="108">
        <f t="shared" si="16"/>
        <v>22051.050000000003</v>
      </c>
      <c r="E37" s="108">
        <f t="shared" si="16"/>
        <v>24554.25</v>
      </c>
      <c r="F37" s="108">
        <f t="shared" si="16"/>
        <v>24910.9</v>
      </c>
      <c r="G37" s="108">
        <f t="shared" si="16"/>
        <v>23606.9</v>
      </c>
      <c r="H37" s="108">
        <f t="shared" si="16"/>
        <v>23128.25</v>
      </c>
      <c r="I37" s="108">
        <f t="shared" si="16"/>
        <v>19238.75</v>
      </c>
      <c r="J37" s="108">
        <f t="shared" si="16"/>
        <v>11750.25</v>
      </c>
      <c r="K37" s="108">
        <f t="shared" si="16"/>
        <v>7769.1</v>
      </c>
      <c r="L37" s="108">
        <f t="shared" si="16"/>
        <v>8586.75</v>
      </c>
      <c r="M37" s="108">
        <f t="shared" si="16"/>
        <v>11233.2</v>
      </c>
      <c r="N37" s="108">
        <f t="shared" ref="N37:S37" si="17">SUM(N38:N41)</f>
        <v>8664.5499999999993</v>
      </c>
      <c r="O37" s="108">
        <f t="shared" si="17"/>
        <v>10138.549999999999</v>
      </c>
      <c r="P37" s="108">
        <f t="shared" si="17"/>
        <v>15668.819014084507</v>
      </c>
      <c r="Q37" s="108">
        <f t="shared" si="17"/>
        <v>20529.884507042254</v>
      </c>
      <c r="R37" s="108">
        <f t="shared" si="17"/>
        <v>22931.45</v>
      </c>
      <c r="S37" s="108">
        <f t="shared" si="17"/>
        <v>23982.700169014086</v>
      </c>
      <c r="T37" s="108">
        <f t="shared" ref="T37" si="18">SUM(T38:T41)</f>
        <v>24657.61879380282</v>
      </c>
      <c r="U37" s="108">
        <f t="shared" ref="U37" si="19">SUM(U38:U41)</f>
        <v>25338.209857616905</v>
      </c>
      <c r="V37" s="108">
        <f t="shared" ref="V37:W37" si="20">SUM(V38:V41)</f>
        <v>26086.528653345413</v>
      </c>
      <c r="W37" s="108">
        <f t="shared" si="20"/>
        <v>26869.124512945775</v>
      </c>
    </row>
    <row r="38" spans="1:25">
      <c r="A38" s="3" t="s">
        <v>527</v>
      </c>
      <c r="B38" s="72">
        <f>D32*0.1</f>
        <v>4912.7000000000007</v>
      </c>
      <c r="C38" s="72">
        <f t="shared" ref="C38:L38" si="21">E32*0.1</f>
        <v>5298.1</v>
      </c>
      <c r="D38" s="72">
        <f t="shared" si="21"/>
        <v>5999</v>
      </c>
      <c r="E38" s="72">
        <f t="shared" si="21"/>
        <v>6604.8</v>
      </c>
      <c r="F38" s="72">
        <f t="shared" si="21"/>
        <v>5801.2000000000007</v>
      </c>
      <c r="G38" s="72">
        <f t="shared" si="21"/>
        <v>5801.4000000000005</v>
      </c>
      <c r="H38" s="72">
        <f t="shared" si="21"/>
        <v>5749.9000000000005</v>
      </c>
      <c r="I38" s="72">
        <f t="shared" si="21"/>
        <v>3225.5</v>
      </c>
      <c r="J38" s="72">
        <f t="shared" si="21"/>
        <v>1616.2</v>
      </c>
      <c r="K38" s="72">
        <f t="shared" si="21"/>
        <v>1949.3000000000002</v>
      </c>
      <c r="L38" s="72">
        <f t="shared" si="21"/>
        <v>2586.7000000000003</v>
      </c>
      <c r="M38" s="72">
        <f>O32*0.1</f>
        <v>3390.1000000000004</v>
      </c>
      <c r="N38" s="72">
        <f>P35*0.1</f>
        <v>1662.2</v>
      </c>
      <c r="O38" s="72">
        <f>Q35*0.1</f>
        <v>3666</v>
      </c>
      <c r="P38" s="72">
        <f>R35*0.1</f>
        <v>5003.8126760563382</v>
      </c>
      <c r="Q38" s="72">
        <f t="shared" ref="Q38:W38" si="22">S32*0.1</f>
        <v>5720.339436619719</v>
      </c>
      <c r="R38" s="72">
        <f t="shared" si="22"/>
        <v>5968.40985915493</v>
      </c>
      <c r="S38" s="72">
        <f t="shared" si="22"/>
        <v>6123.8071549295782</v>
      </c>
      <c r="T38" s="72">
        <f t="shared" si="22"/>
        <v>6283.8663695774658</v>
      </c>
      <c r="U38" s="72">
        <f t="shared" si="22"/>
        <v>6472.3823606647893</v>
      </c>
      <c r="V38" s="72">
        <f t="shared" si="22"/>
        <v>6666.5538314847336</v>
      </c>
      <c r="W38" s="72">
        <f t="shared" si="22"/>
        <v>6866.5504464292753</v>
      </c>
    </row>
    <row r="39" spans="1:25">
      <c r="A39" s="3" t="s">
        <v>528</v>
      </c>
      <c r="B39" s="72">
        <f>(AVERAGE(C32:D32))*0.1</f>
        <v>4264.9000000000005</v>
      </c>
      <c r="C39" s="72">
        <f t="shared" ref="C39:L39" si="23">(AVERAGE(D32:E32))*0.1</f>
        <v>5105.4000000000005</v>
      </c>
      <c r="D39" s="72">
        <f t="shared" si="23"/>
        <v>5648.55</v>
      </c>
      <c r="E39" s="72">
        <f t="shared" si="23"/>
        <v>6301.9000000000005</v>
      </c>
      <c r="F39" s="72">
        <f t="shared" si="23"/>
        <v>6203</v>
      </c>
      <c r="G39" s="72">
        <f t="shared" si="23"/>
        <v>5801.3</v>
      </c>
      <c r="H39" s="72">
        <f t="shared" si="23"/>
        <v>5775.6500000000005</v>
      </c>
      <c r="I39" s="72">
        <f t="shared" si="23"/>
        <v>4487.7</v>
      </c>
      <c r="J39" s="72">
        <f t="shared" si="23"/>
        <v>2420.85</v>
      </c>
      <c r="K39" s="72">
        <f t="shared" si="23"/>
        <v>1782.75</v>
      </c>
      <c r="L39" s="72">
        <f t="shared" si="23"/>
        <v>2268</v>
      </c>
      <c r="M39" s="72">
        <f>(AVERAGE(N32:O32))*0.1</f>
        <v>2988.4</v>
      </c>
      <c r="N39" s="72">
        <f>(AVERAGE(O35:P35))*0.1</f>
        <v>2146.25</v>
      </c>
      <c r="O39" s="72">
        <f>(AVERAGE(P35:Q35))*0.1</f>
        <v>2664.1000000000004</v>
      </c>
      <c r="P39" s="72">
        <f>(AVERAGE(Q35:R35))*0.1</f>
        <v>4334.9063380281686</v>
      </c>
      <c r="Q39" s="72">
        <f t="shared" ref="Q39:W39" si="24">(AVERAGE(R32:S32))*0.1</f>
        <v>5398.3260563380281</v>
      </c>
      <c r="R39" s="72">
        <f t="shared" si="24"/>
        <v>5844.3746478873245</v>
      </c>
      <c r="S39" s="72">
        <f t="shared" si="24"/>
        <v>6046.1085070422532</v>
      </c>
      <c r="T39" s="72">
        <f t="shared" si="24"/>
        <v>6203.8367622535216</v>
      </c>
      <c r="U39" s="72">
        <f t="shared" si="24"/>
        <v>6378.124365121128</v>
      </c>
      <c r="V39" s="72">
        <f t="shared" si="24"/>
        <v>6569.4680960747619</v>
      </c>
      <c r="W39" s="72">
        <f t="shared" si="24"/>
        <v>6766.5521389570049</v>
      </c>
    </row>
    <row r="40" spans="1:25">
      <c r="A40" s="3" t="s">
        <v>529</v>
      </c>
      <c r="B40" s="72">
        <f>C32*0.1</f>
        <v>3617.1000000000004</v>
      </c>
      <c r="C40" s="72">
        <f t="shared" ref="C40:L40" si="25">D32*0.1</f>
        <v>4912.7000000000007</v>
      </c>
      <c r="D40" s="72">
        <f t="shared" si="25"/>
        <v>5298.1</v>
      </c>
      <c r="E40" s="72">
        <f t="shared" si="25"/>
        <v>5999</v>
      </c>
      <c r="F40" s="72">
        <f t="shared" si="25"/>
        <v>6604.8</v>
      </c>
      <c r="G40" s="72">
        <f t="shared" si="25"/>
        <v>5801.2000000000007</v>
      </c>
      <c r="H40" s="72">
        <f t="shared" si="25"/>
        <v>5801.4000000000005</v>
      </c>
      <c r="I40" s="72">
        <f t="shared" si="25"/>
        <v>5749.9000000000005</v>
      </c>
      <c r="J40" s="72">
        <f t="shared" si="25"/>
        <v>3225.5</v>
      </c>
      <c r="K40" s="72">
        <f t="shared" si="25"/>
        <v>1616.2</v>
      </c>
      <c r="L40" s="72">
        <f t="shared" si="25"/>
        <v>1949.3000000000002</v>
      </c>
      <c r="M40" s="72">
        <f>N32*0.1</f>
        <v>2586.7000000000003</v>
      </c>
      <c r="N40" s="72">
        <f>O35*0.1</f>
        <v>2630.3</v>
      </c>
      <c r="O40" s="72">
        <f>P35*0.1</f>
        <v>1662.2</v>
      </c>
      <c r="P40" s="72">
        <f>Q35*0.1</f>
        <v>3666</v>
      </c>
      <c r="Q40" s="72">
        <f t="shared" ref="Q40:W40" si="26">R32*0.1</f>
        <v>5076.3126760563382</v>
      </c>
      <c r="R40" s="72">
        <f t="shared" si="26"/>
        <v>5720.339436619719</v>
      </c>
      <c r="S40" s="72">
        <f t="shared" si="26"/>
        <v>5968.40985915493</v>
      </c>
      <c r="T40" s="72">
        <f t="shared" si="26"/>
        <v>6123.8071549295782</v>
      </c>
      <c r="U40" s="72">
        <f t="shared" si="26"/>
        <v>6283.8663695774658</v>
      </c>
      <c r="V40" s="72">
        <f t="shared" si="26"/>
        <v>6472.3823606647893</v>
      </c>
      <c r="W40" s="72">
        <f t="shared" si="26"/>
        <v>6666.5538314847336</v>
      </c>
    </row>
    <row r="41" spans="1:25">
      <c r="A41" s="3" t="s">
        <v>530</v>
      </c>
      <c r="B41" s="72">
        <f>(AVERAGE(B32:C32))*0.1</f>
        <v>3400.25</v>
      </c>
      <c r="C41" s="72">
        <f t="shared" ref="C41:L41" si="27">(AVERAGE(C32:D32))*0.1</f>
        <v>4264.9000000000005</v>
      </c>
      <c r="D41" s="72">
        <f t="shared" si="27"/>
        <v>5105.4000000000005</v>
      </c>
      <c r="E41" s="72">
        <f t="shared" si="27"/>
        <v>5648.55</v>
      </c>
      <c r="F41" s="72">
        <f t="shared" si="27"/>
        <v>6301.9000000000005</v>
      </c>
      <c r="G41" s="72">
        <f t="shared" si="27"/>
        <v>6203</v>
      </c>
      <c r="H41" s="72">
        <f t="shared" si="27"/>
        <v>5801.3</v>
      </c>
      <c r="I41" s="72">
        <f t="shared" si="27"/>
        <v>5775.6500000000005</v>
      </c>
      <c r="J41" s="72">
        <f t="shared" si="27"/>
        <v>4487.7</v>
      </c>
      <c r="K41" s="72">
        <f t="shared" si="27"/>
        <v>2420.85</v>
      </c>
      <c r="L41" s="72">
        <f t="shared" si="27"/>
        <v>1782.75</v>
      </c>
      <c r="M41" s="72">
        <f>(AVERAGE(M32:N32))*0.1</f>
        <v>2268</v>
      </c>
      <c r="N41" s="72">
        <f>(AVERAGE(N35:O35))*0.1</f>
        <v>2225.8000000000002</v>
      </c>
      <c r="O41" s="72">
        <f>(AVERAGE(O35:P35))*0.1</f>
        <v>2146.25</v>
      </c>
      <c r="P41" s="72">
        <f>(AVERAGE(P35:Q35))*0.1</f>
        <v>2664.1000000000004</v>
      </c>
      <c r="Q41" s="72">
        <f>(AVERAGE(Q35:R35))*0.1</f>
        <v>4334.9063380281686</v>
      </c>
      <c r="R41" s="72">
        <f t="shared" ref="R41:W41" si="28">(AVERAGE(R32:S32))*0.1</f>
        <v>5398.3260563380281</v>
      </c>
      <c r="S41" s="72">
        <f t="shared" si="28"/>
        <v>5844.3746478873245</v>
      </c>
      <c r="T41" s="72">
        <f t="shared" si="28"/>
        <v>6046.1085070422532</v>
      </c>
      <c r="U41" s="72">
        <f t="shared" si="28"/>
        <v>6203.8367622535216</v>
      </c>
      <c r="V41" s="72">
        <f t="shared" si="28"/>
        <v>6378.124365121128</v>
      </c>
      <c r="W41" s="72">
        <f t="shared" si="28"/>
        <v>6569.4680960747619</v>
      </c>
    </row>
    <row r="42" spans="1:25">
      <c r="A42" s="1"/>
      <c r="B42" s="72"/>
      <c r="C42" s="72"/>
      <c r="D42" s="72"/>
      <c r="E42" s="72"/>
      <c r="F42" s="72"/>
      <c r="G42" s="72"/>
      <c r="H42" s="72"/>
      <c r="I42" s="72"/>
      <c r="J42" s="72"/>
      <c r="K42" s="72"/>
      <c r="L42" s="72"/>
      <c r="M42" s="72"/>
      <c r="N42" s="72"/>
      <c r="O42" s="72"/>
      <c r="P42" s="72"/>
      <c r="Q42" s="72"/>
      <c r="R42" s="72"/>
      <c r="S42" s="72"/>
      <c r="T42" s="72"/>
      <c r="U42" s="72"/>
      <c r="V42" s="72"/>
      <c r="W42" s="72"/>
    </row>
    <row r="43" spans="1:25">
      <c r="A43" s="16" t="s">
        <v>21</v>
      </c>
      <c r="B43" s="60"/>
      <c r="C43" s="60"/>
      <c r="D43" s="60"/>
      <c r="E43" s="60"/>
      <c r="F43" s="60"/>
      <c r="G43" s="60"/>
      <c r="H43" s="60"/>
      <c r="I43" s="60"/>
      <c r="J43" s="60"/>
      <c r="K43" s="60"/>
      <c r="L43" s="60"/>
      <c r="M43" s="60"/>
      <c r="N43" s="60"/>
      <c r="O43" s="60"/>
      <c r="P43" s="60"/>
      <c r="Q43" s="60"/>
      <c r="R43" s="60"/>
      <c r="S43" s="60"/>
      <c r="T43" s="60"/>
      <c r="U43" s="60"/>
      <c r="V43" s="60"/>
      <c r="W43" s="60"/>
    </row>
    <row r="44" spans="1:25" s="5" customFormat="1">
      <c r="A44" s="12" t="s">
        <v>21</v>
      </c>
      <c r="B44" s="179">
        <f>Balance_Sheet_Annual!L12</f>
        <v>24317</v>
      </c>
      <c r="C44" s="179">
        <f>Balance_Sheet_Annual!M12</f>
        <v>32240</v>
      </c>
      <c r="D44" s="179">
        <f>Balance_Sheet_Annual!N12</f>
        <v>37751</v>
      </c>
      <c r="E44" s="179">
        <f>Balance_Sheet_Annual!O12</f>
        <v>42912</v>
      </c>
      <c r="F44" s="179">
        <f>Balance_Sheet_Annual!P12</f>
        <v>46756</v>
      </c>
      <c r="G44" s="179">
        <f>Balance_Sheet_Annual!Q12</f>
        <v>47257</v>
      </c>
      <c r="H44" s="179">
        <f>Balance_Sheet_Annual!R12</f>
        <v>43199</v>
      </c>
      <c r="I44" s="179">
        <f>Balance_Sheet_Annual!S12</f>
        <v>44344</v>
      </c>
      <c r="J44" s="179">
        <f>Balance_Sheet_Annual!T12</f>
        <v>62567</v>
      </c>
      <c r="K44" s="179">
        <f>Balance_Sheet_Annual!U12</f>
        <v>76622</v>
      </c>
      <c r="L44" s="179">
        <f>Balance_Sheet_Annual!V12</f>
        <v>81715</v>
      </c>
      <c r="M44" s="179">
        <f>Balance_Sheet_Annual!W12</f>
        <v>78823</v>
      </c>
      <c r="N44" s="179">
        <f>Balance_Sheet_Annual!X12</f>
        <v>78151</v>
      </c>
      <c r="O44" s="179">
        <f>Balance_Sheet_Annual!Y12</f>
        <v>79741</v>
      </c>
      <c r="P44" s="179">
        <f>Balance_Sheet_Annual!Z12</f>
        <v>87550</v>
      </c>
      <c r="Q44" s="179">
        <f>Balance_Sheet_Annual!AA12</f>
        <v>84679</v>
      </c>
      <c r="R44" s="179">
        <f ca="1">Balance_Sheet_Annual!AB12</f>
        <v>82768.25</v>
      </c>
      <c r="S44" s="179">
        <f ca="1">Balance_Sheet_Annual!AC12</f>
        <v>81858.25</v>
      </c>
      <c r="T44" s="179">
        <f ca="1">Balance_Sheet_Annual!AD12</f>
        <v>80198.25</v>
      </c>
      <c r="U44" s="179">
        <f ca="1">Balance_Sheet_Annual!AE12</f>
        <v>78538.25</v>
      </c>
      <c r="V44" s="179">
        <f ca="1">Balance_Sheet_Annual!AF12</f>
        <v>76878.25</v>
      </c>
      <c r="W44" s="573">
        <f ca="1">V44</f>
        <v>76878.25</v>
      </c>
    </row>
    <row r="45" spans="1:25">
      <c r="A45" s="3" t="s">
        <v>518</v>
      </c>
      <c r="B45" s="72" t="s">
        <v>219</v>
      </c>
      <c r="C45" s="72">
        <f>C44-B44</f>
        <v>7923</v>
      </c>
      <c r="D45" s="72">
        <f t="shared" ref="D45:W45" si="29">D44-C44</f>
        <v>5511</v>
      </c>
      <c r="E45" s="72">
        <f t="shared" si="29"/>
        <v>5161</v>
      </c>
      <c r="F45" s="72">
        <f t="shared" si="29"/>
        <v>3844</v>
      </c>
      <c r="G45" s="72">
        <f t="shared" si="29"/>
        <v>501</v>
      </c>
      <c r="H45" s="72">
        <f t="shared" si="29"/>
        <v>-4058</v>
      </c>
      <c r="I45" s="72">
        <f t="shared" si="29"/>
        <v>1145</v>
      </c>
      <c r="J45" s="72">
        <f t="shared" si="29"/>
        <v>18223</v>
      </c>
      <c r="K45" s="72">
        <f t="shared" si="29"/>
        <v>14055</v>
      </c>
      <c r="L45" s="72">
        <f t="shared" si="29"/>
        <v>5093</v>
      </c>
      <c r="M45" s="72">
        <f t="shared" si="29"/>
        <v>-2892</v>
      </c>
      <c r="N45" s="72">
        <f t="shared" si="29"/>
        <v>-672</v>
      </c>
      <c r="O45" s="72">
        <f t="shared" si="29"/>
        <v>1590</v>
      </c>
      <c r="P45" s="72">
        <f t="shared" si="29"/>
        <v>7809</v>
      </c>
      <c r="Q45" s="72">
        <f t="shared" si="29"/>
        <v>-2871</v>
      </c>
      <c r="R45" s="72">
        <f t="shared" ca="1" si="29"/>
        <v>-1910.75</v>
      </c>
      <c r="S45" s="72">
        <f t="shared" ca="1" si="29"/>
        <v>-910</v>
      </c>
      <c r="T45" s="72">
        <f t="shared" ca="1" si="29"/>
        <v>-1660</v>
      </c>
      <c r="U45" s="72">
        <f t="shared" ca="1" si="29"/>
        <v>-1660</v>
      </c>
      <c r="V45" s="72">
        <f t="shared" ca="1" si="29"/>
        <v>-1660</v>
      </c>
      <c r="W45" s="72">
        <f t="shared" ca="1" si="29"/>
        <v>0</v>
      </c>
    </row>
    <row r="46" spans="1:25">
      <c r="A46" s="1"/>
      <c r="B46" s="72"/>
      <c r="C46" s="72"/>
      <c r="D46" s="72"/>
      <c r="E46" s="72"/>
      <c r="F46" s="72"/>
      <c r="G46" s="72"/>
      <c r="H46" s="72"/>
      <c r="I46" s="72"/>
      <c r="J46" s="72"/>
      <c r="K46" s="72"/>
      <c r="L46" s="72"/>
      <c r="M46" s="72"/>
      <c r="N46" s="72"/>
      <c r="O46" s="72"/>
      <c r="P46" s="72"/>
      <c r="Q46" s="72"/>
      <c r="R46" s="72"/>
      <c r="S46" s="72"/>
      <c r="T46" s="72"/>
      <c r="U46" s="72"/>
      <c r="V46" s="72"/>
      <c r="W46" s="72"/>
    </row>
    <row r="47" spans="1:25">
      <c r="A47" s="16" t="s">
        <v>533</v>
      </c>
      <c r="B47" s="60"/>
      <c r="C47" s="60"/>
      <c r="D47" s="60"/>
      <c r="E47" s="60"/>
      <c r="F47" s="60"/>
      <c r="G47" s="60"/>
      <c r="H47" s="60"/>
      <c r="I47" s="60"/>
      <c r="J47" s="60"/>
      <c r="K47" s="60"/>
      <c r="L47" s="60"/>
      <c r="M47" s="60"/>
      <c r="N47" s="60"/>
      <c r="O47" s="60"/>
      <c r="P47" s="60"/>
      <c r="Q47" s="60"/>
      <c r="R47" s="60"/>
      <c r="S47" s="60"/>
      <c r="T47" s="60"/>
      <c r="U47" s="60"/>
      <c r="V47" s="60"/>
      <c r="W47" s="60"/>
    </row>
    <row r="48" spans="1:25" s="5" customFormat="1">
      <c r="A48" s="12" t="s">
        <v>534</v>
      </c>
      <c r="B48" s="179">
        <v>28828</v>
      </c>
      <c r="C48" s="179">
        <v>32676</v>
      </c>
      <c r="D48" s="179">
        <v>44416</v>
      </c>
      <c r="E48" s="179">
        <v>47186</v>
      </c>
      <c r="F48" s="179">
        <v>53579</v>
      </c>
      <c r="G48" s="179">
        <v>60891</v>
      </c>
      <c r="H48" s="179">
        <f>-BCA_Annual!R10</f>
        <v>56017</v>
      </c>
      <c r="I48" s="179">
        <f>-BCA_Annual!S10</f>
        <v>52562</v>
      </c>
      <c r="J48" s="179">
        <f>-BCA_Annual!T10</f>
        <v>49669</v>
      </c>
      <c r="K48" s="179">
        <f>-BCA_Annual!U10</f>
        <v>38912</v>
      </c>
      <c r="L48" s="179">
        <f>-BCA_Annual!V10</f>
        <v>30009</v>
      </c>
      <c r="M48" s="179">
        <f>-BCA_Annual!W10</f>
        <v>25968</v>
      </c>
      <c r="N48" s="179">
        <f>-BCA_Annual!X10</f>
        <v>28237</v>
      </c>
      <c r="O48" s="179">
        <f>-BCA_Annual!Y10</f>
        <v>35536</v>
      </c>
      <c r="P48" s="179">
        <f>-BCA_Annual!Z10</f>
        <v>30830</v>
      </c>
      <c r="Q48" s="179">
        <f>-BCA_Annual!AA10</f>
        <v>48573</v>
      </c>
      <c r="R48" s="179">
        <f>-BCA_Annual!AB10</f>
        <v>51757.667841029928</v>
      </c>
      <c r="S48" s="179">
        <f>-BCA_Annual!AC10</f>
        <v>52799.092539158548</v>
      </c>
      <c r="T48" s="179">
        <f>-BCA_Annual!AD10</f>
        <v>53811.153710989522</v>
      </c>
      <c r="U48" s="179">
        <f>-BCA_Annual!AE10</f>
        <v>55189.691265919108</v>
      </c>
      <c r="V48" s="179">
        <f>-BCA_Annual!AF10</f>
        <v>56609.584947496573</v>
      </c>
      <c r="W48" s="573">
        <f>V48</f>
        <v>56609.584947496573</v>
      </c>
    </row>
    <row r="49" spans="1:23">
      <c r="A49" s="3" t="s">
        <v>518</v>
      </c>
      <c r="B49" s="72" t="s">
        <v>219</v>
      </c>
      <c r="C49" s="72">
        <f t="shared" ref="C49:W49" si="30">C48-B48</f>
        <v>3848</v>
      </c>
      <c r="D49" s="72">
        <f t="shared" si="30"/>
        <v>11740</v>
      </c>
      <c r="E49" s="72">
        <f t="shared" si="30"/>
        <v>2770</v>
      </c>
      <c r="F49" s="72">
        <f t="shared" si="30"/>
        <v>6393</v>
      </c>
      <c r="G49" s="72">
        <f t="shared" si="30"/>
        <v>7312</v>
      </c>
      <c r="H49" s="72">
        <f t="shared" si="30"/>
        <v>-4874</v>
      </c>
      <c r="I49" s="72">
        <f t="shared" si="30"/>
        <v>-3455</v>
      </c>
      <c r="J49" s="72">
        <f t="shared" si="30"/>
        <v>-2893</v>
      </c>
      <c r="K49" s="72">
        <f t="shared" si="30"/>
        <v>-10757</v>
      </c>
      <c r="L49" s="72">
        <f t="shared" si="30"/>
        <v>-8903</v>
      </c>
      <c r="M49" s="72">
        <f>M48-L48</f>
        <v>-4041</v>
      </c>
      <c r="N49" s="72">
        <f t="shared" si="30"/>
        <v>2269</v>
      </c>
      <c r="O49" s="72">
        <f t="shared" si="30"/>
        <v>7299</v>
      </c>
      <c r="P49" s="72">
        <f t="shared" si="30"/>
        <v>-4706</v>
      </c>
      <c r="Q49" s="72">
        <f t="shared" si="30"/>
        <v>17743</v>
      </c>
      <c r="R49" s="72">
        <f t="shared" si="30"/>
        <v>3184.6678410299282</v>
      </c>
      <c r="S49" s="72">
        <f t="shared" si="30"/>
        <v>1041.4246981286196</v>
      </c>
      <c r="T49" s="72">
        <f t="shared" si="30"/>
        <v>1012.0611718309738</v>
      </c>
      <c r="U49" s="72">
        <f t="shared" si="30"/>
        <v>1378.5375549295859</v>
      </c>
      <c r="V49" s="72">
        <f t="shared" si="30"/>
        <v>1419.893681577465</v>
      </c>
      <c r="W49" s="72">
        <f t="shared" si="30"/>
        <v>0</v>
      </c>
    </row>
    <row r="50" spans="1:23">
      <c r="A50" s="1"/>
      <c r="B50" s="72"/>
      <c r="C50" s="72"/>
      <c r="D50" s="72"/>
      <c r="E50" s="72"/>
      <c r="F50" s="72"/>
      <c r="G50" s="72"/>
      <c r="H50" s="72"/>
      <c r="I50" s="72"/>
      <c r="J50" s="72"/>
      <c r="K50" s="72"/>
      <c r="L50" s="72"/>
      <c r="M50" s="72"/>
      <c r="N50" s="72"/>
      <c r="O50" s="72"/>
      <c r="P50" s="72"/>
      <c r="Q50" s="72"/>
      <c r="R50" s="72"/>
      <c r="S50" s="72"/>
      <c r="T50" s="72"/>
      <c r="U50" s="72"/>
      <c r="V50" s="72"/>
      <c r="W50" s="72"/>
    </row>
    <row r="51" spans="1:23">
      <c r="A51" s="16" t="s">
        <v>443</v>
      </c>
      <c r="B51" s="60"/>
      <c r="C51" s="60"/>
      <c r="D51" s="60"/>
      <c r="E51" s="60"/>
      <c r="F51" s="60"/>
      <c r="G51" s="60"/>
      <c r="H51" s="60"/>
      <c r="I51" s="60"/>
      <c r="J51" s="60"/>
      <c r="K51" s="60"/>
      <c r="L51" s="60"/>
      <c r="M51" s="60"/>
      <c r="N51" s="60"/>
      <c r="O51" s="60"/>
      <c r="P51" s="60"/>
      <c r="Q51" s="60"/>
      <c r="R51" s="60"/>
      <c r="S51" s="60"/>
      <c r="T51" s="60"/>
      <c r="U51" s="60"/>
      <c r="V51" s="60"/>
      <c r="W51" s="60"/>
    </row>
    <row r="52" spans="1:23">
      <c r="A52" s="1" t="s">
        <v>134</v>
      </c>
      <c r="B52" s="38">
        <v>31834</v>
      </c>
      <c r="C52" s="38">
        <v>36171</v>
      </c>
      <c r="D52" s="38">
        <v>49127</v>
      </c>
      <c r="E52" s="38">
        <v>52981</v>
      </c>
      <c r="F52" s="38">
        <v>59990</v>
      </c>
      <c r="G52" s="38">
        <v>66048</v>
      </c>
      <c r="H52" s="38">
        <f>BCA_Annual!R3</f>
        <v>58012</v>
      </c>
      <c r="I52" s="38">
        <f>BCA_Annual!S3</f>
        <v>58014</v>
      </c>
      <c r="J52" s="38">
        <f>BCA_Annual!T3</f>
        <v>57499</v>
      </c>
      <c r="K52" s="38">
        <f>BCA_Annual!U3</f>
        <v>32255</v>
      </c>
      <c r="L52" s="38">
        <f>BCA_Annual!V3</f>
        <v>16162</v>
      </c>
      <c r="M52" s="38">
        <f>BCA_Annual!W3</f>
        <v>19493</v>
      </c>
      <c r="N52" s="38">
        <f>BCA_Annual!X3</f>
        <v>25867</v>
      </c>
      <c r="O52" s="38">
        <f>BCA_Annual!Y3</f>
        <v>33901</v>
      </c>
      <c r="P52" s="38">
        <f>BCA_Annual!Z3</f>
        <v>22861</v>
      </c>
      <c r="Q52" s="38">
        <f>BCA_Annual!AA3</f>
        <v>41494</v>
      </c>
      <c r="R52" s="38">
        <f>BCA_Annual!AB3</f>
        <v>50763.126760563377</v>
      </c>
      <c r="S52" s="38">
        <f>BCA_Annual!AC3</f>
        <v>57203.394366197186</v>
      </c>
      <c r="T52" s="38">
        <f>BCA_Annual!AD3</f>
        <v>59684.098591549293</v>
      </c>
      <c r="U52" s="38">
        <f>BCA_Annual!AE3</f>
        <v>61238.071549295775</v>
      </c>
      <c r="V52" s="38">
        <f>BCA_Annual!AF3</f>
        <v>62838.663695774652</v>
      </c>
      <c r="W52" s="573">
        <f>V52</f>
        <v>62838.663695774652</v>
      </c>
    </row>
    <row r="53" spans="1:23" s="278" customFormat="1">
      <c r="A53" s="4" t="s">
        <v>565</v>
      </c>
      <c r="B53" s="281">
        <f>B52*0.55</f>
        <v>17508.7</v>
      </c>
      <c r="C53" s="281">
        <f t="shared" ref="C53:Q53" si="31">C52*0.55</f>
        <v>19894.050000000003</v>
      </c>
      <c r="D53" s="281">
        <f t="shared" si="31"/>
        <v>27019.850000000002</v>
      </c>
      <c r="E53" s="281">
        <f t="shared" si="31"/>
        <v>29139.550000000003</v>
      </c>
      <c r="F53" s="281">
        <f t="shared" si="31"/>
        <v>32994.5</v>
      </c>
      <c r="G53" s="281">
        <f t="shared" si="31"/>
        <v>36326.400000000001</v>
      </c>
      <c r="H53" s="281">
        <f t="shared" si="31"/>
        <v>31906.600000000002</v>
      </c>
      <c r="I53" s="281">
        <f t="shared" si="31"/>
        <v>31907.700000000004</v>
      </c>
      <c r="J53" s="281">
        <f t="shared" si="31"/>
        <v>31624.450000000004</v>
      </c>
      <c r="K53" s="281">
        <f t="shared" si="31"/>
        <v>17740.25</v>
      </c>
      <c r="L53" s="281">
        <f t="shared" si="31"/>
        <v>8889.1</v>
      </c>
      <c r="M53" s="281">
        <f>M52*0.55</f>
        <v>10721.150000000001</v>
      </c>
      <c r="N53" s="281">
        <f>N52*0.55</f>
        <v>14226.85</v>
      </c>
      <c r="O53" s="281">
        <f t="shared" si="31"/>
        <v>18645.550000000003</v>
      </c>
      <c r="P53" s="281">
        <f t="shared" si="31"/>
        <v>12573.550000000001</v>
      </c>
      <c r="Q53" s="281">
        <f t="shared" si="31"/>
        <v>22821.7</v>
      </c>
      <c r="R53" s="281">
        <f t="shared" ref="R53:W53" si="32">R52*0.55</f>
        <v>27919.719718309858</v>
      </c>
      <c r="S53" s="281">
        <f t="shared" si="32"/>
        <v>31461.866901408455</v>
      </c>
      <c r="T53" s="281">
        <f t="shared" si="32"/>
        <v>32826.254225352117</v>
      </c>
      <c r="U53" s="281">
        <f t="shared" si="32"/>
        <v>33680.939352112677</v>
      </c>
      <c r="V53" s="281">
        <f t="shared" si="32"/>
        <v>34561.265032676063</v>
      </c>
      <c r="W53" s="281">
        <f t="shared" si="32"/>
        <v>34561.265032676063</v>
      </c>
    </row>
    <row r="54" spans="1:23" s="278" customFormat="1">
      <c r="A54" s="4" t="s">
        <v>566</v>
      </c>
      <c r="B54" s="281">
        <f t="shared" ref="B54:P54" si="33">B52-B53</f>
        <v>14325.3</v>
      </c>
      <c r="C54" s="281">
        <f t="shared" si="33"/>
        <v>16276.949999999997</v>
      </c>
      <c r="D54" s="281">
        <f t="shared" si="33"/>
        <v>22107.149999999998</v>
      </c>
      <c r="E54" s="281">
        <f t="shared" si="33"/>
        <v>23841.449999999997</v>
      </c>
      <c r="F54" s="281">
        <f t="shared" si="33"/>
        <v>26995.5</v>
      </c>
      <c r="G54" s="281">
        <f t="shared" si="33"/>
        <v>29721.599999999999</v>
      </c>
      <c r="H54" s="281">
        <f t="shared" si="33"/>
        <v>26105.399999999998</v>
      </c>
      <c r="I54" s="281">
        <f t="shared" si="33"/>
        <v>26106.299999999996</v>
      </c>
      <c r="J54" s="281">
        <f t="shared" si="33"/>
        <v>25874.549999999996</v>
      </c>
      <c r="K54" s="281">
        <f t="shared" si="33"/>
        <v>14514.75</v>
      </c>
      <c r="L54" s="281">
        <f t="shared" si="33"/>
        <v>7272.9</v>
      </c>
      <c r="M54" s="281">
        <f>M52-M53</f>
        <v>8771.8499999999985</v>
      </c>
      <c r="N54" s="281">
        <f t="shared" si="33"/>
        <v>11640.15</v>
      </c>
      <c r="O54" s="281">
        <f t="shared" si="33"/>
        <v>15255.449999999997</v>
      </c>
      <c r="P54" s="281">
        <f t="shared" si="33"/>
        <v>10287.449999999999</v>
      </c>
      <c r="Q54" s="281">
        <f t="shared" ref="Q54:V54" si="34">Q52-Q53</f>
        <v>18672.3</v>
      </c>
      <c r="R54" s="281">
        <f t="shared" si="34"/>
        <v>22843.407042253519</v>
      </c>
      <c r="S54" s="281">
        <f t="shared" si="34"/>
        <v>25741.527464788731</v>
      </c>
      <c r="T54" s="281">
        <f t="shared" si="34"/>
        <v>26857.844366197176</v>
      </c>
      <c r="U54" s="281">
        <f t="shared" si="34"/>
        <v>27557.132197183098</v>
      </c>
      <c r="V54" s="281">
        <f t="shared" si="34"/>
        <v>28277.398663098589</v>
      </c>
      <c r="W54" s="281">
        <f t="shared" ref="W54" si="35">W52-W53</f>
        <v>28277.398663098589</v>
      </c>
    </row>
    <row r="55" spans="1:23">
      <c r="A55" s="3"/>
      <c r="B55" s="72"/>
      <c r="C55" s="72"/>
      <c r="D55" s="72"/>
      <c r="E55" s="72"/>
      <c r="F55" s="72"/>
      <c r="G55" s="72"/>
      <c r="H55" s="72"/>
      <c r="I55" s="72"/>
      <c r="J55" s="72"/>
      <c r="K55" s="72"/>
      <c r="L55" s="72"/>
      <c r="M55" s="244"/>
      <c r="N55" s="72"/>
      <c r="O55" s="72"/>
      <c r="P55" s="72"/>
      <c r="Q55" s="72"/>
      <c r="R55" s="72"/>
      <c r="S55" s="72"/>
      <c r="T55" s="72"/>
      <c r="U55" s="72"/>
      <c r="V55" s="72"/>
      <c r="W55" s="72"/>
    </row>
    <row r="56" spans="1:23">
      <c r="A56" s="16" t="s">
        <v>563</v>
      </c>
      <c r="B56" s="60"/>
      <c r="C56" s="60"/>
      <c r="D56" s="60"/>
      <c r="E56" s="60"/>
      <c r="F56" s="60"/>
      <c r="G56" s="60"/>
      <c r="H56" s="60"/>
      <c r="I56" s="60"/>
      <c r="J56" s="60"/>
      <c r="K56" s="60"/>
      <c r="L56" s="60"/>
      <c r="M56" s="60"/>
      <c r="N56" s="60"/>
      <c r="O56" s="60"/>
      <c r="P56" s="60"/>
      <c r="Q56" s="60"/>
      <c r="R56" s="60"/>
      <c r="S56" s="60"/>
      <c r="T56" s="60"/>
      <c r="U56" s="60"/>
      <c r="V56" s="60"/>
      <c r="W56" s="60"/>
    </row>
    <row r="57" spans="1:23">
      <c r="A57" s="3" t="s">
        <v>532</v>
      </c>
      <c r="B57" s="108">
        <f t="shared" ref="B57:Q57" si="36">B28+B37</f>
        <v>18089.6672052904</v>
      </c>
      <c r="C57" s="108">
        <f t="shared" si="36"/>
        <v>23075.201938798058</v>
      </c>
      <c r="D57" s="108">
        <f t="shared" si="36"/>
        <v>25750.136144578315</v>
      </c>
      <c r="E57" s="108">
        <f t="shared" si="36"/>
        <v>29481.367875695734</v>
      </c>
      <c r="F57" s="108">
        <f t="shared" si="36"/>
        <v>30318.031422417338</v>
      </c>
      <c r="G57" s="108">
        <f t="shared" si="36"/>
        <v>26452.673399010513</v>
      </c>
      <c r="H57" s="108">
        <f t="shared" si="36"/>
        <v>25713.869212878824</v>
      </c>
      <c r="I57" s="108">
        <f t="shared" si="36"/>
        <v>22557.998118055784</v>
      </c>
      <c r="J57" s="108">
        <f t="shared" si="36"/>
        <v>15592.197724137932</v>
      </c>
      <c r="K57" s="108">
        <f t="shared" si="36"/>
        <v>9129.7885783580859</v>
      </c>
      <c r="L57" s="108">
        <f t="shared" ca="1" si="36"/>
        <v>9268.5496838760919</v>
      </c>
      <c r="M57" s="108">
        <f ca="1">M28+M37</f>
        <v>12055.519096510128</v>
      </c>
      <c r="N57" s="108">
        <f t="shared" ca="1" si="36"/>
        <v>9755.7585399593409</v>
      </c>
      <c r="O57" s="108">
        <f t="shared" si="36"/>
        <v>12172.609999999999</v>
      </c>
      <c r="P57" s="108">
        <f t="shared" si="36"/>
        <v>16228.913514084506</v>
      </c>
      <c r="Q57" s="108">
        <f t="shared" si="36"/>
        <v>21774.704507042254</v>
      </c>
      <c r="R57" s="108">
        <f t="shared" ref="R57:W57" si="37">R28+R37</f>
        <v>24454.343802816904</v>
      </c>
      <c r="S57" s="108">
        <f t="shared" si="37"/>
        <v>26270.835943661972</v>
      </c>
      <c r="T57" s="108">
        <f t="shared" si="37"/>
        <v>26746.562244507044</v>
      </c>
      <c r="U57" s="108">
        <f t="shared" si="37"/>
        <v>27481.542361842257</v>
      </c>
      <c r="V57" s="108">
        <f t="shared" si="37"/>
        <v>27971.688564218653</v>
      </c>
      <c r="W57" s="108">
        <f t="shared" si="37"/>
        <v>28810.839221145212</v>
      </c>
    </row>
    <row r="58" spans="1:23">
      <c r="A58" s="3" t="s">
        <v>564</v>
      </c>
      <c r="B58" s="72"/>
      <c r="C58" s="72">
        <f>C57-B57</f>
        <v>4985.5347335076585</v>
      </c>
      <c r="D58" s="72">
        <f t="shared" ref="D58:W58" si="38">D57-C57</f>
        <v>2674.9342057802569</v>
      </c>
      <c r="E58" s="72">
        <f t="shared" si="38"/>
        <v>3731.2317311174193</v>
      </c>
      <c r="F58" s="72">
        <f t="shared" si="38"/>
        <v>836.66354672160378</v>
      </c>
      <c r="G58" s="72">
        <f t="shared" si="38"/>
        <v>-3865.3580234068249</v>
      </c>
      <c r="H58" s="72">
        <f t="shared" si="38"/>
        <v>-738.80418613168877</v>
      </c>
      <c r="I58" s="72">
        <f t="shared" si="38"/>
        <v>-3155.87109482304</v>
      </c>
      <c r="J58" s="72">
        <f t="shared" si="38"/>
        <v>-6965.8003939178525</v>
      </c>
      <c r="K58" s="72">
        <f t="shared" si="38"/>
        <v>-6462.4091457798459</v>
      </c>
      <c r="L58" s="72">
        <f t="shared" ca="1" si="38"/>
        <v>138.76110551800593</v>
      </c>
      <c r="M58" s="72">
        <f ca="1">M57-L57</f>
        <v>2786.9694126340364</v>
      </c>
      <c r="N58" s="72">
        <f t="shared" ca="1" si="38"/>
        <v>-2299.7605565507874</v>
      </c>
      <c r="O58" s="72">
        <f t="shared" ca="1" si="38"/>
        <v>2416.8514600406579</v>
      </c>
      <c r="P58" s="72">
        <f t="shared" si="38"/>
        <v>4056.3035140845077</v>
      </c>
      <c r="Q58" s="72">
        <f t="shared" si="38"/>
        <v>5545.7909929577472</v>
      </c>
      <c r="R58" s="72">
        <f t="shared" si="38"/>
        <v>2679.6392957746502</v>
      </c>
      <c r="S58" s="72">
        <f t="shared" si="38"/>
        <v>1816.4921408450682</v>
      </c>
      <c r="T58" s="72">
        <f t="shared" si="38"/>
        <v>475.72630084507182</v>
      </c>
      <c r="U58" s="72">
        <f t="shared" si="38"/>
        <v>734.98011733521344</v>
      </c>
      <c r="V58" s="72">
        <f t="shared" si="38"/>
        <v>490.1462023763961</v>
      </c>
      <c r="W58" s="72">
        <f t="shared" si="38"/>
        <v>839.15065692655844</v>
      </c>
    </row>
    <row r="59" spans="1:23">
      <c r="A59" s="3"/>
      <c r="B59" s="72"/>
      <c r="C59" s="72"/>
      <c r="D59" s="72"/>
      <c r="E59" s="72"/>
      <c r="F59" s="72"/>
      <c r="G59" s="72"/>
      <c r="H59" s="72"/>
      <c r="I59" s="72"/>
      <c r="J59" s="72"/>
      <c r="K59" s="72"/>
      <c r="L59" s="72"/>
      <c r="M59" s="72"/>
      <c r="N59" s="72"/>
      <c r="O59" s="72"/>
      <c r="P59" s="72"/>
      <c r="Q59" s="72"/>
      <c r="R59" s="72"/>
      <c r="S59" s="72"/>
      <c r="T59" s="72"/>
      <c r="U59" s="72"/>
      <c r="V59" s="72"/>
      <c r="W59" s="72"/>
    </row>
    <row r="60" spans="1:23">
      <c r="A60" s="16" t="s">
        <v>535</v>
      </c>
      <c r="B60" s="60"/>
      <c r="C60" s="60"/>
      <c r="D60" s="60"/>
      <c r="E60" s="60"/>
      <c r="F60" s="60"/>
      <c r="G60" s="60"/>
      <c r="H60" s="60"/>
      <c r="I60" s="60"/>
      <c r="J60" s="60"/>
      <c r="K60" s="60"/>
      <c r="L60" s="60"/>
      <c r="M60" s="60"/>
      <c r="N60" s="60"/>
      <c r="O60" s="60"/>
      <c r="P60" s="60"/>
      <c r="Q60" s="60"/>
      <c r="R60" s="60"/>
      <c r="S60" s="60"/>
      <c r="T60" s="60"/>
      <c r="U60" s="60"/>
      <c r="V60" s="60"/>
      <c r="W60" s="60"/>
    </row>
    <row r="61" spans="1:23" s="5" customFormat="1">
      <c r="A61" s="12" t="s">
        <v>536</v>
      </c>
      <c r="B61" s="179">
        <f>Balance_Sheet_Annual!L33</f>
        <v>12323</v>
      </c>
      <c r="C61" s="179">
        <f>Balance_Sheet_Annual!M33</f>
        <v>15496</v>
      </c>
      <c r="D61" s="179">
        <f>Balance_Sheet_Annual!N33</f>
        <v>16672</v>
      </c>
      <c r="E61" s="179">
        <f>Balance_Sheet_Annual!O33</f>
        <v>20027</v>
      </c>
      <c r="F61" s="179">
        <f>Balance_Sheet_Annual!P33</f>
        <v>23175</v>
      </c>
      <c r="G61" s="179">
        <f>Balance_Sheet_Annual!Q33</f>
        <v>24364</v>
      </c>
      <c r="H61" s="179">
        <f>Balance_Sheet_Annual!R33</f>
        <v>23869</v>
      </c>
      <c r="I61" s="179">
        <f>Balance_Sheet_Annual!S33</f>
        <v>27440</v>
      </c>
      <c r="J61" s="179">
        <f>Balance_Sheet_Annual!T33</f>
        <v>50676</v>
      </c>
      <c r="K61" s="179">
        <f>Balance_Sheet_Annual!U33</f>
        <v>51551</v>
      </c>
      <c r="L61" s="179">
        <f>Balance_Sheet_Annual!V33</f>
        <v>50488</v>
      </c>
      <c r="M61" s="179">
        <f>Balance_Sheet_Annual!W33</f>
        <v>52980</v>
      </c>
      <c r="N61" s="179">
        <f>Balance_Sheet_Annual!X33</f>
        <v>53081</v>
      </c>
      <c r="O61" s="179">
        <f>Balance_Sheet_Annual!Y33</f>
        <v>56328</v>
      </c>
      <c r="P61" s="179">
        <f>Balance_Sheet_Annual!Z33</f>
        <v>60333</v>
      </c>
      <c r="Q61" s="179">
        <f>Balance_Sheet_Annual!AA33</f>
        <v>59404</v>
      </c>
      <c r="R61" s="539">
        <f>Q61+R57-R54+R64</f>
        <v>59214.936760563389</v>
      </c>
      <c r="S61" s="539">
        <f t="shared" ref="S61:W61" si="39">R61+S57-S54+S64</f>
        <v>59244.245239436626</v>
      </c>
      <c r="T61" s="539">
        <f t="shared" si="39"/>
        <v>59558.963117746498</v>
      </c>
      <c r="U61" s="539">
        <f t="shared" si="39"/>
        <v>60083.373282405657</v>
      </c>
      <c r="V61" s="539">
        <f t="shared" si="39"/>
        <v>60277.663183525714</v>
      </c>
      <c r="W61" s="539">
        <f t="shared" si="39"/>
        <v>60811.10374157234</v>
      </c>
    </row>
    <row r="62" spans="1:23">
      <c r="A62" s="3" t="s">
        <v>518</v>
      </c>
      <c r="B62" s="72" t="s">
        <v>219</v>
      </c>
      <c r="C62" s="72">
        <f t="shared" ref="C62:L62" si="40">C61-B61</f>
        <v>3173</v>
      </c>
      <c r="D62" s="72">
        <f t="shared" si="40"/>
        <v>1176</v>
      </c>
      <c r="E62" s="72">
        <f t="shared" si="40"/>
        <v>3355</v>
      </c>
      <c r="F62" s="72">
        <f t="shared" si="40"/>
        <v>3148</v>
      </c>
      <c r="G62" s="72">
        <f t="shared" si="40"/>
        <v>1189</v>
      </c>
      <c r="H62" s="72">
        <f t="shared" si="40"/>
        <v>-495</v>
      </c>
      <c r="I62" s="72">
        <f t="shared" si="40"/>
        <v>3571</v>
      </c>
      <c r="J62" s="72">
        <f t="shared" si="40"/>
        <v>23236</v>
      </c>
      <c r="K62" s="72">
        <f t="shared" si="40"/>
        <v>875</v>
      </c>
      <c r="L62" s="72">
        <f t="shared" si="40"/>
        <v>-1063</v>
      </c>
      <c r="M62" s="72">
        <f t="shared" ref="M62:W62" si="41">M61-L61</f>
        <v>2492</v>
      </c>
      <c r="N62" s="72">
        <f t="shared" si="41"/>
        <v>101</v>
      </c>
      <c r="O62" s="72">
        <f t="shared" si="41"/>
        <v>3247</v>
      </c>
      <c r="P62" s="72">
        <f t="shared" si="41"/>
        <v>4005</v>
      </c>
      <c r="Q62" s="72">
        <f t="shared" si="41"/>
        <v>-929</v>
      </c>
      <c r="R62" s="72">
        <f t="shared" si="41"/>
        <v>-189.06323943661118</v>
      </c>
      <c r="S62" s="72">
        <f t="shared" si="41"/>
        <v>29.308478873237618</v>
      </c>
      <c r="T62" s="72">
        <f t="shared" si="41"/>
        <v>314.71787830987159</v>
      </c>
      <c r="U62" s="72">
        <f t="shared" si="41"/>
        <v>524.41016465915891</v>
      </c>
      <c r="V62" s="72">
        <f t="shared" si="41"/>
        <v>194.28990112005704</v>
      </c>
      <c r="W62" s="72">
        <f t="shared" si="41"/>
        <v>533.44055804662639</v>
      </c>
    </row>
    <row r="63" spans="1:23">
      <c r="B63"/>
      <c r="C63"/>
      <c r="D63"/>
      <c r="E63"/>
      <c r="F63"/>
      <c r="G63"/>
      <c r="H63"/>
      <c r="I63"/>
      <c r="J63"/>
      <c r="K63"/>
      <c r="L63"/>
      <c r="M63"/>
      <c r="N63"/>
      <c r="O63"/>
      <c r="P63"/>
      <c r="Q63"/>
      <c r="R63"/>
      <c r="S63"/>
      <c r="T63"/>
      <c r="U63"/>
    </row>
    <row r="64" spans="1:23">
      <c r="A64" t="s">
        <v>650</v>
      </c>
      <c r="P64" s="538"/>
      <c r="Q64" s="538"/>
      <c r="R64" s="538">
        <f>-1800</f>
        <v>-1800</v>
      </c>
      <c r="S64" s="538">
        <v>-500</v>
      </c>
      <c r="T64" s="538">
        <v>426</v>
      </c>
      <c r="U64" s="538">
        <v>600</v>
      </c>
      <c r="V64" s="538">
        <v>500</v>
      </c>
      <c r="W64" s="538">
        <v>0</v>
      </c>
    </row>
    <row r="66" spans="13:13">
      <c r="M66" s="450"/>
    </row>
    <row r="67" spans="13:13">
      <c r="M67" s="22"/>
    </row>
    <row r="68" spans="13:13">
      <c r="M68" s="26" t="s">
        <v>593</v>
      </c>
    </row>
  </sheetData>
  <phoneticPr fontId="44" type="noConversion"/>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dimension ref="A1:AQ51"/>
  <sheetViews>
    <sheetView showGridLines="0" zoomScaleNormal="100" workbookViewId="0">
      <pane xSplit="1" ySplit="2" topLeftCell="W3" activePane="bottomRight" state="frozen"/>
      <selection activeCell="F35" sqref="F35"/>
      <selection pane="topRight" activeCell="F35" sqref="F35"/>
      <selection pane="bottomLeft" activeCell="F35" sqref="F35"/>
      <selection pane="bottomRight" activeCell="AC22" sqref="AC22"/>
    </sheetView>
  </sheetViews>
  <sheetFormatPr defaultRowHeight="14.5"/>
  <cols>
    <col min="1" max="1" width="48" customWidth="1"/>
    <col min="2" max="21" width="12.453125" style="26" customWidth="1"/>
    <col min="22" max="27" width="12.453125" customWidth="1"/>
    <col min="28" max="32" width="11.81640625" customWidth="1"/>
  </cols>
  <sheetData>
    <row r="1" spans="1:32">
      <c r="A1" s="15" t="s">
        <v>348</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row>
    <row r="2" spans="1:32">
      <c r="A2" s="7"/>
      <c r="B2" s="107" t="str">
        <f>Income_Statement_Annual!B2</f>
        <v>CY2000A</v>
      </c>
      <c r="C2" s="107" t="str">
        <f>Income_Statement_Annual!C2</f>
        <v>CY2001A</v>
      </c>
      <c r="D2" s="107" t="str">
        <f>Income_Statement_Annual!D2</f>
        <v>CY2002A</v>
      </c>
      <c r="E2" s="107" t="str">
        <f>Income_Statement_Annual!E2</f>
        <v>CY2003A</v>
      </c>
      <c r="F2" s="107" t="str">
        <f>Income_Statement_Annual!F2</f>
        <v>CY2004A</v>
      </c>
      <c r="G2" s="107" t="str">
        <f>Income_Statement_Annual!G2</f>
        <v>CY2005A</v>
      </c>
      <c r="H2" s="107" t="str">
        <f>Income_Statement_Annual!H2</f>
        <v>CY2006A</v>
      </c>
      <c r="I2" s="107" t="str">
        <f>Income_Statement_Annual!I2</f>
        <v>CY2007A</v>
      </c>
      <c r="J2" s="107" t="str">
        <f>Income_Statement_Annual!J2</f>
        <v>CY2008A</v>
      </c>
      <c r="K2" s="107" t="str">
        <f>Income_Statement_Annual!K2</f>
        <v>CY2009A</v>
      </c>
      <c r="L2" s="107" t="str">
        <f>Income_Statement_Annual!L2</f>
        <v>CY2010A</v>
      </c>
      <c r="M2" s="107" t="str">
        <f>Income_Statement_Annual!M2</f>
        <v>CY2011A</v>
      </c>
      <c r="N2" s="107" t="str">
        <f>Income_Statement_Annual!N2</f>
        <v>CY2012A</v>
      </c>
      <c r="O2" s="107" t="str">
        <f>Income_Statement_Annual!O2</f>
        <v>CY2013A</v>
      </c>
      <c r="P2" s="107" t="str">
        <f>Income_Statement_Annual!P2</f>
        <v>CY2014A</v>
      </c>
      <c r="Q2" s="107" t="str">
        <f>Income_Statement_Annual!Q2</f>
        <v>CY2015A</v>
      </c>
      <c r="R2" s="107" t="str">
        <f>Income_Statement_Annual!R2</f>
        <v>CY2016A</v>
      </c>
      <c r="S2" s="107" t="str">
        <f>Income_Statement_Annual!S2</f>
        <v>CY2017A</v>
      </c>
      <c r="T2" s="107" t="str">
        <f>Income_Statement_Annual!T2</f>
        <v>CY2018A</v>
      </c>
      <c r="U2" s="107" t="str">
        <f>Income_Statement_Annual!U2</f>
        <v>CY2019A</v>
      </c>
      <c r="V2" s="107" t="str">
        <f>Income_Statement_Annual!V2</f>
        <v>CY2020A</v>
      </c>
      <c r="W2" s="107" t="str">
        <f>Income_Statement_Annual!W2</f>
        <v>CY2021A</v>
      </c>
      <c r="X2" s="107" t="str">
        <f>Income_Statement_Annual!X2</f>
        <v>CY2022A</v>
      </c>
      <c r="Y2" s="107" t="str">
        <f>Income_Statement_Annual!Y2</f>
        <v>CY2023A</v>
      </c>
      <c r="Z2" s="107" t="str">
        <f>Income_Statement_Annual!Z2</f>
        <v>CY2024A</v>
      </c>
      <c r="AA2" s="107" t="str">
        <f>Income_Statement_Annual!AA2</f>
        <v>CY2025A</v>
      </c>
      <c r="AB2" s="107" t="str">
        <f>Income_Statement_Annual!AB2</f>
        <v>CY2026E</v>
      </c>
      <c r="AC2" s="107" t="str">
        <f>Income_Statement_Annual!AC2</f>
        <v>CY2027E</v>
      </c>
      <c r="AD2" s="107" t="str">
        <f>Income_Statement_Annual!AD2</f>
        <v>CY2028E</v>
      </c>
      <c r="AE2" s="107" t="str">
        <f>Income_Statement_Annual!AE2</f>
        <v>CY2029E</v>
      </c>
      <c r="AF2" s="107" t="str">
        <f>Income_Statement_Annual!AF2</f>
        <v>CY2030E</v>
      </c>
    </row>
    <row r="3" spans="1:32">
      <c r="A3" s="9" t="str">
        <f>BCA_Qtr!A3</f>
        <v>Net Sales</v>
      </c>
      <c r="B3" s="31"/>
      <c r="C3" s="31"/>
      <c r="D3" s="31"/>
      <c r="E3" s="31"/>
      <c r="F3" s="31"/>
      <c r="G3" s="31"/>
      <c r="H3" s="31"/>
      <c r="I3" s="31"/>
      <c r="J3" s="31"/>
      <c r="K3" s="31"/>
      <c r="L3" s="31"/>
      <c r="M3" s="31"/>
      <c r="N3" s="31"/>
      <c r="O3" s="31"/>
      <c r="P3" s="31"/>
      <c r="Q3" s="178"/>
      <c r="R3" s="178">
        <f>BCA_Qtr!K3</f>
        <v>58012</v>
      </c>
      <c r="S3" s="178">
        <f>BCA_Qtr!P3</f>
        <v>58014</v>
      </c>
      <c r="T3" s="178">
        <f>BCA_Qtr!U3</f>
        <v>57499</v>
      </c>
      <c r="U3" s="178">
        <f>BCA_Qtr!Z3</f>
        <v>32255</v>
      </c>
      <c r="V3" s="178">
        <f>BCA_Qtr!AE3</f>
        <v>16162</v>
      </c>
      <c r="W3" s="178">
        <f>BCA_Qtr!AJ3</f>
        <v>19493</v>
      </c>
      <c r="X3" s="178">
        <f>BCA_Qtr!AO3</f>
        <v>25867</v>
      </c>
      <c r="Y3" s="178">
        <f>BCA_Qtr!AT3</f>
        <v>33901</v>
      </c>
      <c r="Z3" s="178">
        <f>BCA_Qtr!AY3</f>
        <v>22861</v>
      </c>
      <c r="AA3" s="178">
        <f>BCA_Qtr!BD3</f>
        <v>41494</v>
      </c>
      <c r="AB3" s="178">
        <f>BCA_Qtr!BI3</f>
        <v>50763.126760563377</v>
      </c>
      <c r="AC3" s="178">
        <f>BCA_Model_Annual!AC32</f>
        <v>57203.394366197186</v>
      </c>
      <c r="AD3" s="178">
        <f>BCA_Model_Annual!AD32</f>
        <v>59684.098591549293</v>
      </c>
      <c r="AE3" s="178">
        <f>BCA_Model_Annual!AE32</f>
        <v>61238.071549295775</v>
      </c>
      <c r="AF3" s="178">
        <f>BCA_Model_Annual!AF32</f>
        <v>62838.663695774652</v>
      </c>
    </row>
    <row r="4" spans="1:32">
      <c r="A4" s="1" t="str">
        <f>BCA_Qtr!A4</f>
        <v>YoY</v>
      </c>
      <c r="B4" s="268"/>
      <c r="C4" s="204"/>
      <c r="D4" s="204"/>
      <c r="E4" s="204"/>
      <c r="F4" s="204"/>
      <c r="G4" s="204"/>
      <c r="H4" s="204"/>
      <c r="I4" s="204"/>
      <c r="J4" s="204"/>
      <c r="K4" s="204"/>
      <c r="L4" s="204"/>
      <c r="M4" s="204"/>
      <c r="N4" s="204"/>
      <c r="O4" s="204"/>
      <c r="P4" s="204"/>
      <c r="Q4" s="197"/>
      <c r="R4" s="197"/>
      <c r="S4" s="197">
        <f>BCA_Qtr!P4</f>
        <v>3.447562573266616E-5</v>
      </c>
      <c r="T4" s="197">
        <f>BCA_Qtr!U4</f>
        <v>-8.8771675802392647E-3</v>
      </c>
      <c r="U4" s="197">
        <f>BCA_Qtr!Z4</f>
        <v>-0.43903372232560567</v>
      </c>
      <c r="V4" s="197">
        <f>BCA_Qtr!AE4</f>
        <v>-0.49893039838784681</v>
      </c>
      <c r="W4" s="197">
        <f>BCA_Qtr!AJ4</f>
        <v>0.20610073010765984</v>
      </c>
      <c r="X4" s="454">
        <f>BCA_Qtr!AO4</f>
        <v>0.32698917560149798</v>
      </c>
      <c r="Y4" s="454">
        <f>BCA_Qtr!AT4</f>
        <v>0.31058878107240884</v>
      </c>
      <c r="Z4" s="454">
        <f>BCA_Qtr!AY4</f>
        <v>-0.32565411049821535</v>
      </c>
      <c r="AA4" s="454">
        <f>BCA_Qtr!BD4</f>
        <v>0.81505620926468669</v>
      </c>
      <c r="AB4" s="454">
        <f>BCA_Qtr!BI4</f>
        <v>0.22338474865193469</v>
      </c>
      <c r="AC4" s="301">
        <f>AC3/AB3-1</f>
        <v>0.12686900938964807</v>
      </c>
      <c r="AD4" s="301">
        <f>AD3/AC3-1</f>
        <v>4.3366381537981225E-2</v>
      </c>
      <c r="AE4" s="301">
        <f>AE3/AD3-1</f>
        <v>2.6036632778542401E-2</v>
      </c>
      <c r="AF4" s="301">
        <f>AF3/AE3-1</f>
        <v>2.6137206903885435E-2</v>
      </c>
    </row>
    <row r="5" spans="1:32">
      <c r="A5" s="1"/>
      <c r="B5" s="38"/>
      <c r="C5" s="38"/>
      <c r="D5" s="38"/>
      <c r="E5" s="38"/>
      <c r="F5" s="38"/>
      <c r="G5" s="38"/>
      <c r="H5" s="38"/>
      <c r="I5" s="38"/>
      <c r="J5" s="38"/>
      <c r="K5" s="38"/>
      <c r="L5" s="38"/>
      <c r="M5" s="38"/>
      <c r="N5" s="38"/>
      <c r="O5" s="38"/>
      <c r="P5" s="38"/>
      <c r="Q5" s="38"/>
      <c r="R5" s="38"/>
      <c r="S5" s="38"/>
      <c r="T5" s="38"/>
      <c r="U5" s="38"/>
      <c r="V5" s="38"/>
      <c r="W5" s="38"/>
      <c r="X5" s="449"/>
      <c r="Y5" s="449"/>
      <c r="Z5" s="449"/>
      <c r="AA5" s="449"/>
      <c r="AB5" s="449"/>
      <c r="AC5" s="201"/>
      <c r="AD5" s="201"/>
      <c r="AE5" s="201"/>
      <c r="AF5" s="201"/>
    </row>
    <row r="6" spans="1:32">
      <c r="A6" s="7" t="str">
        <f>BCA_Qtr!A6</f>
        <v>R&amp;D Expense, net</v>
      </c>
      <c r="B6" s="21"/>
      <c r="C6" s="21"/>
      <c r="D6" s="21"/>
      <c r="E6" s="21"/>
      <c r="F6" s="21"/>
      <c r="G6" s="21"/>
      <c r="H6" s="21"/>
      <c r="I6" s="21"/>
      <c r="J6" s="21"/>
      <c r="K6" s="21"/>
      <c r="L6" s="21"/>
      <c r="M6" s="21"/>
      <c r="N6" s="21"/>
      <c r="O6" s="21"/>
      <c r="P6" s="21"/>
      <c r="Q6" s="196"/>
      <c r="R6" s="196">
        <f>BCA_Qtr!K6</f>
        <v>3706</v>
      </c>
      <c r="S6" s="196">
        <f>BCA_Qtr!P6</f>
        <v>2247</v>
      </c>
      <c r="T6" s="196">
        <f>BCA_Qtr!U6</f>
        <v>2188</v>
      </c>
      <c r="U6" s="196">
        <f>BCA_Qtr!Z6</f>
        <v>1956</v>
      </c>
      <c r="V6" s="196">
        <f>BCA_Qtr!AE6</f>
        <v>1385</v>
      </c>
      <c r="W6" s="196">
        <f>BCA_Qtr!AJ6</f>
        <v>1140</v>
      </c>
      <c r="X6" s="382">
        <f>BCA_Qtr!AO6</f>
        <v>1510</v>
      </c>
      <c r="Y6" s="382">
        <f>BCA_Qtr!AT6</f>
        <v>2036</v>
      </c>
      <c r="Z6" s="382">
        <f>BCA_Qtr!AY6</f>
        <v>2386</v>
      </c>
      <c r="AA6" s="382">
        <f>BCA_Qtr!BD6</f>
        <v>2202</v>
      </c>
      <c r="AB6" s="382">
        <f>BCA_Qtr!BI6</f>
        <v>2422.2000000000003</v>
      </c>
      <c r="AC6" s="229">
        <f>AB6*(1+AC7)</f>
        <v>2664.4200000000005</v>
      </c>
      <c r="AD6" s="229">
        <f>AC6*(1+AD7)</f>
        <v>2930.862000000001</v>
      </c>
      <c r="AE6" s="229">
        <f>AD6*(1+AE7)</f>
        <v>3223.9482000000012</v>
      </c>
      <c r="AF6" s="229">
        <f>AE6*(1+AF7)</f>
        <v>3546.3430200000016</v>
      </c>
    </row>
    <row r="7" spans="1:32">
      <c r="A7" s="1" t="str">
        <f>BCA_Qtr!A7</f>
        <v>YoY</v>
      </c>
      <c r="B7" s="21"/>
      <c r="C7" s="21"/>
      <c r="D7" s="21"/>
      <c r="E7" s="21"/>
      <c r="F7" s="21"/>
      <c r="G7" s="21"/>
      <c r="H7" s="21"/>
      <c r="I7" s="21"/>
      <c r="J7" s="21"/>
      <c r="K7" s="21"/>
      <c r="L7" s="21"/>
      <c r="M7" s="21"/>
      <c r="N7" s="21"/>
      <c r="O7" s="21"/>
      <c r="P7" s="21"/>
      <c r="Q7" s="196"/>
      <c r="R7" s="197"/>
      <c r="S7" s="197">
        <f>BCA_Qtr!P7</f>
        <v>-0.39368591473286563</v>
      </c>
      <c r="T7" s="197">
        <f>BCA_Qtr!U7</f>
        <v>-2.6257231864708519E-2</v>
      </c>
      <c r="U7" s="197">
        <f>BCA_Qtr!Z7</f>
        <v>-0.10603290676416821</v>
      </c>
      <c r="V7" s="197">
        <f>BCA_Qtr!AE7</f>
        <v>-0.29192229038854811</v>
      </c>
      <c r="W7" s="197">
        <f>BCA_Qtr!AJ7</f>
        <v>-0.17689530685920574</v>
      </c>
      <c r="X7" s="454">
        <f>BCA_Qtr!AO7</f>
        <v>0.32456140350877183</v>
      </c>
      <c r="Y7" s="454">
        <f>BCA_Qtr!AT7</f>
        <v>0.34834437086092707</v>
      </c>
      <c r="Z7" s="454">
        <f>BCA_Qtr!AY7</f>
        <v>0.17190569744597251</v>
      </c>
      <c r="AA7" s="454">
        <f>BCA_Qtr!BD7</f>
        <v>-7.7116512992456032E-2</v>
      </c>
      <c r="AB7" s="454">
        <f>BCA_Qtr!BI7</f>
        <v>0.10000000000000009</v>
      </c>
      <c r="AC7" s="240">
        <v>0.1</v>
      </c>
      <c r="AD7" s="240">
        <v>0.1</v>
      </c>
      <c r="AE7" s="240">
        <v>0.1</v>
      </c>
      <c r="AF7" s="240">
        <v>0.1</v>
      </c>
    </row>
    <row r="8" spans="1:32">
      <c r="A8" s="1" t="str">
        <f>BCA_Qtr!A8</f>
        <v>% of Sales</v>
      </c>
      <c r="B8" s="36"/>
      <c r="C8" s="36"/>
      <c r="D8" s="36"/>
      <c r="E8" s="36"/>
      <c r="F8" s="36"/>
      <c r="G8" s="36"/>
      <c r="H8" s="36"/>
      <c r="I8" s="36"/>
      <c r="J8" s="36"/>
      <c r="K8" s="36"/>
      <c r="L8" s="36"/>
      <c r="M8" s="36"/>
      <c r="N8" s="36"/>
      <c r="O8" s="36"/>
      <c r="P8" s="36"/>
      <c r="Q8" s="197"/>
      <c r="R8" s="197">
        <f>BCA_Qtr!K8</f>
        <v>6.3883334482520857E-2</v>
      </c>
      <c r="S8" s="197">
        <f>BCA_Qtr!P8</f>
        <v>3.8732030199606991E-2</v>
      </c>
      <c r="T8" s="197">
        <f>BCA_Qtr!U8</f>
        <v>3.8052835701490463E-2</v>
      </c>
      <c r="U8" s="197">
        <f>BCA_Qtr!Z8</f>
        <v>6.0641760967291895E-2</v>
      </c>
      <c r="V8" s="197">
        <f>BCA_Qtr!AE8</f>
        <v>8.5694839747555998E-2</v>
      </c>
      <c r="W8" s="197">
        <f>BCA_Qtr!AJ8</f>
        <v>5.8482532191042935E-2</v>
      </c>
      <c r="X8" s="197">
        <f>BCA_Qtr!AO8</f>
        <v>5.8375536397726836E-2</v>
      </c>
      <c r="Y8" s="197">
        <f>BCA_Qtr!AT8</f>
        <v>6.0057225450576679E-2</v>
      </c>
      <c r="Z8" s="197">
        <f>BCA_Qtr!AY8</f>
        <v>0.10436988758147063</v>
      </c>
      <c r="AA8" s="197">
        <f>BCA_Qtr!BD8</f>
        <v>5.3067913433267458E-2</v>
      </c>
      <c r="AB8" s="197">
        <f>BCA_Qtr!BI8</f>
        <v>4.7715736885651179E-2</v>
      </c>
      <c r="AC8" s="204">
        <f>AC6/AC3</f>
        <v>4.6578005195692863E-2</v>
      </c>
      <c r="AD8" s="204">
        <f>AD6/AD3</f>
        <v>4.9106245535473055E-2</v>
      </c>
      <c r="AE8" s="204">
        <f>AE6/AE3</f>
        <v>5.2646141827062086E-2</v>
      </c>
      <c r="AF8" s="204">
        <f>AF6/AF3</f>
        <v>5.6435684838384972E-2</v>
      </c>
    </row>
    <row r="9" spans="1:32">
      <c r="B9" s="38"/>
      <c r="C9" s="38"/>
      <c r="D9" s="38"/>
      <c r="E9" s="38"/>
      <c r="F9" s="38"/>
      <c r="G9" s="38"/>
      <c r="H9" s="38"/>
      <c r="I9" s="38"/>
      <c r="J9" s="38"/>
      <c r="K9" s="38"/>
      <c r="L9" s="38"/>
      <c r="M9" s="38"/>
      <c r="N9" s="38"/>
      <c r="O9" s="38"/>
      <c r="P9" s="38"/>
      <c r="Q9" s="38"/>
      <c r="R9" s="38"/>
      <c r="S9" s="38"/>
      <c r="T9" s="38"/>
      <c r="U9" s="38"/>
      <c r="V9" s="38"/>
      <c r="W9" s="38"/>
      <c r="X9" s="449"/>
      <c r="Y9" s="449"/>
      <c r="Z9" s="449"/>
      <c r="AA9" s="449"/>
      <c r="AB9" s="449"/>
      <c r="AC9" s="201"/>
      <c r="AD9" s="201"/>
      <c r="AE9" s="201"/>
      <c r="AF9" s="201"/>
    </row>
    <row r="10" spans="1:32">
      <c r="A10" s="10" t="str">
        <f>BCA_Qtr!A10</f>
        <v>Operating Expenses</v>
      </c>
      <c r="B10" s="29"/>
      <c r="C10" s="29"/>
      <c r="D10" s="29"/>
      <c r="E10" s="29"/>
      <c r="F10" s="29"/>
      <c r="G10" s="29"/>
      <c r="H10" s="29"/>
      <c r="I10" s="29"/>
      <c r="J10" s="29"/>
      <c r="K10" s="29"/>
      <c r="L10" s="29"/>
      <c r="M10" s="29"/>
      <c r="N10" s="29"/>
      <c r="O10" s="29"/>
      <c r="P10" s="29"/>
      <c r="Q10" s="198"/>
      <c r="R10" s="198">
        <f>BCA_Qtr!K10</f>
        <v>-56017</v>
      </c>
      <c r="S10" s="198">
        <f>BCA_Qtr!P10</f>
        <v>-52562</v>
      </c>
      <c r="T10" s="198">
        <f>BCA_Qtr!U10</f>
        <v>-49669</v>
      </c>
      <c r="U10" s="198">
        <f>BCA_Qtr!Z10</f>
        <v>-38912</v>
      </c>
      <c r="V10" s="198">
        <f>BCA_Qtr!AE10</f>
        <v>-30009</v>
      </c>
      <c r="W10" s="198">
        <f>BCA_Qtr!AJ10</f>
        <v>-25968</v>
      </c>
      <c r="X10" s="198">
        <f>BCA_Qtr!AO10</f>
        <v>-28237</v>
      </c>
      <c r="Y10" s="198">
        <f>BCA_Qtr!AT10</f>
        <v>-35536</v>
      </c>
      <c r="Z10" s="198">
        <f>BCA_Qtr!AY10</f>
        <v>-30830</v>
      </c>
      <c r="AA10" s="198">
        <f>BCA_Qtr!BD10</f>
        <v>-48573</v>
      </c>
      <c r="AB10" s="198">
        <f>BCA_Qtr!BI10</f>
        <v>-51757.667841029928</v>
      </c>
      <c r="AC10" s="29">
        <f>+-AC3+AC13</f>
        <v>-52799.092539158548</v>
      </c>
      <c r="AD10" s="29">
        <f>+-AD3+AD13</f>
        <v>-53811.153710989522</v>
      </c>
      <c r="AE10" s="29">
        <f>+-AE3+AE13</f>
        <v>-55189.691265919108</v>
      </c>
      <c r="AF10" s="29">
        <f>+-AF3+AF13</f>
        <v>-56609.584947496573</v>
      </c>
    </row>
    <row r="11" spans="1:32">
      <c r="A11" s="1" t="str">
        <f>BCA_Qtr!A11</f>
        <v>YoY</v>
      </c>
      <c r="B11" s="204"/>
      <c r="C11" s="204"/>
      <c r="D11" s="204"/>
      <c r="E11" s="204"/>
      <c r="F11" s="204"/>
      <c r="G11" s="204"/>
      <c r="H11" s="204"/>
      <c r="I11" s="204"/>
      <c r="J11" s="204"/>
      <c r="K11" s="204"/>
      <c r="L11" s="204"/>
      <c r="M11" s="204"/>
      <c r="N11" s="204"/>
      <c r="O11" s="204"/>
      <c r="P11" s="204"/>
      <c r="Q11" s="197"/>
      <c r="R11" s="197"/>
      <c r="S11" s="197">
        <f>BCA_Qtr!P11</f>
        <v>-6.1677704982416093E-2</v>
      </c>
      <c r="T11" s="197">
        <f>BCA_Qtr!U11</f>
        <v>-5.5039762566112427E-2</v>
      </c>
      <c r="U11" s="197">
        <f>BCA_Qtr!Z11</f>
        <v>-0.21657371801324765</v>
      </c>
      <c r="V11" s="197">
        <f>BCA_Qtr!AE11</f>
        <v>-0.22879831414473684</v>
      </c>
      <c r="W11" s="197">
        <f>BCA_Qtr!AJ11</f>
        <v>-0.13465960211936423</v>
      </c>
      <c r="X11" s="454">
        <f>BCA_Qtr!AO11</f>
        <v>8.7376771410967446E-2</v>
      </c>
      <c r="Y11" s="454">
        <f>BCA_Qtr!AT11</f>
        <v>0.25849063285759821</v>
      </c>
      <c r="Z11" s="454">
        <f>BCA_Qtr!AY11</f>
        <v>-0.13242908599729852</v>
      </c>
      <c r="AA11" s="454">
        <f>BCA_Qtr!BD11</f>
        <v>0.5755108660395718</v>
      </c>
      <c r="AB11" s="454">
        <f>BCA_Qtr!BI11</f>
        <v>6.5564569638069115E-2</v>
      </c>
      <c r="AC11" s="202">
        <f>AC10/AB10-1</f>
        <v>2.0121167385811933E-2</v>
      </c>
      <c r="AD11" s="202">
        <f>AD10/AC10-1</f>
        <v>1.9168154662513981E-2</v>
      </c>
      <c r="AE11" s="202">
        <f>AE10/AD10-1</f>
        <v>2.5618063540013836E-2</v>
      </c>
      <c r="AF11" s="202">
        <f>AF10/AE10-1</f>
        <v>2.5727516298941211E-2</v>
      </c>
    </row>
    <row r="12" spans="1:32">
      <c r="A12" s="1"/>
      <c r="B12" s="204"/>
      <c r="C12" s="204"/>
      <c r="D12" s="204"/>
      <c r="E12" s="204"/>
      <c r="F12" s="204"/>
      <c r="G12" s="204"/>
      <c r="H12" s="204"/>
      <c r="I12" s="204"/>
      <c r="J12" s="204"/>
      <c r="K12" s="204"/>
      <c r="L12" s="204"/>
      <c r="M12" s="204"/>
      <c r="N12" s="204"/>
      <c r="O12" s="204"/>
      <c r="P12" s="204"/>
      <c r="Q12" s="197"/>
      <c r="R12" s="197"/>
      <c r="S12" s="197"/>
      <c r="T12" s="197"/>
      <c r="U12" s="197"/>
      <c r="V12" s="197"/>
      <c r="W12" s="197"/>
      <c r="X12" s="202"/>
      <c r="Y12" s="202"/>
      <c r="Z12" s="202"/>
      <c r="AA12" s="202"/>
      <c r="AB12" s="202"/>
      <c r="AC12" s="202"/>
      <c r="AD12" s="202"/>
      <c r="AE12" s="202"/>
      <c r="AF12" s="202"/>
    </row>
    <row r="13" spans="1:32">
      <c r="A13" s="9" t="str">
        <f>BCA_Qtr!A13</f>
        <v>Operating Profit</v>
      </c>
      <c r="B13" s="31"/>
      <c r="C13" s="31"/>
      <c r="D13" s="31"/>
      <c r="E13" s="31"/>
      <c r="F13" s="31"/>
      <c r="G13" s="31"/>
      <c r="H13" s="31"/>
      <c r="I13" s="31"/>
      <c r="J13" s="31"/>
      <c r="K13" s="31"/>
      <c r="L13" s="31"/>
      <c r="M13" s="31"/>
      <c r="N13" s="31"/>
      <c r="O13" s="31"/>
      <c r="P13" s="31"/>
      <c r="Q13" s="25"/>
      <c r="R13" s="25">
        <f t="shared" ref="R13:W13" si="0">R3+R10</f>
        <v>1995</v>
      </c>
      <c r="S13" s="25">
        <f t="shared" si="0"/>
        <v>5452</v>
      </c>
      <c r="T13" s="25">
        <f t="shared" si="0"/>
        <v>7830</v>
      </c>
      <c r="U13" s="25">
        <f t="shared" si="0"/>
        <v>-6657</v>
      </c>
      <c r="V13" s="25">
        <f t="shared" si="0"/>
        <v>-13847</v>
      </c>
      <c r="W13" s="25">
        <f t="shared" si="0"/>
        <v>-6475</v>
      </c>
      <c r="X13" s="25">
        <f t="shared" ref="X13:AC13" si="1">X19-X17</f>
        <v>-2370</v>
      </c>
      <c r="Y13" s="25">
        <f t="shared" si="1"/>
        <v>-1635</v>
      </c>
      <c r="Z13" s="25">
        <f t="shared" ref="Z13:AA13" si="2">Z19-Z17</f>
        <v>-7969</v>
      </c>
      <c r="AA13" s="25">
        <f t="shared" si="2"/>
        <v>-7079</v>
      </c>
      <c r="AB13" s="25">
        <f t="shared" ref="AB13" si="3">AB19-AB17</f>
        <v>-994.54108046655199</v>
      </c>
      <c r="AC13" s="25">
        <f t="shared" si="1"/>
        <v>4404.3018270386419</v>
      </c>
      <c r="AD13" s="25">
        <f t="shared" ref="AD13:AE13" si="4">AD19-AD17</f>
        <v>5872.9448805597685</v>
      </c>
      <c r="AE13" s="25">
        <f t="shared" si="4"/>
        <v>6048.3802833766704</v>
      </c>
      <c r="AF13" s="25">
        <f t="shared" ref="AF13" si="5">AF19-AF17</f>
        <v>6229.0787482780788</v>
      </c>
    </row>
    <row r="14" spans="1:32">
      <c r="A14" s="1" t="str">
        <f>BCA_Qtr!A14</f>
        <v>YoY</v>
      </c>
      <c r="B14" s="36"/>
      <c r="C14" s="36"/>
      <c r="D14" s="36"/>
      <c r="E14" s="36"/>
      <c r="F14" s="36"/>
      <c r="G14" s="36"/>
      <c r="H14" s="36"/>
      <c r="I14" s="36"/>
      <c r="J14" s="36"/>
      <c r="K14" s="36"/>
      <c r="L14" s="36"/>
      <c r="M14" s="36"/>
      <c r="N14" s="36"/>
      <c r="O14" s="36"/>
      <c r="P14" s="36"/>
      <c r="Q14" s="197"/>
      <c r="R14" s="197"/>
      <c r="S14" s="197">
        <f>BCA_Qtr!P14</f>
        <v>1.7328320802005011</v>
      </c>
      <c r="T14" s="197">
        <f>BCA_Qtr!U14</f>
        <v>0.43617021276595747</v>
      </c>
      <c r="U14" s="197">
        <f>BCA_Qtr!Z14</f>
        <v>-1.850191570881226</v>
      </c>
      <c r="V14" s="197">
        <f>BCA_Qtr!AE14</f>
        <v>1.0800660958389665</v>
      </c>
      <c r="W14" s="197">
        <f>BCA_Qtr!AJ14</f>
        <v>-0.5323896872968874</v>
      </c>
      <c r="X14" s="454">
        <f>BCA_Qtr!AO14</f>
        <v>-0.63397683397683391</v>
      </c>
      <c r="Y14" s="454">
        <f>BCA_Qtr!AT14</f>
        <v>-0.310126582278481</v>
      </c>
      <c r="Z14" s="454">
        <f>BCA_Qtr!AY14</f>
        <v>3.8740061162079513</v>
      </c>
      <c r="AA14" s="454">
        <f>BCA_Qtr!BD14</f>
        <v>-0.11168277073660438</v>
      </c>
      <c r="AB14" s="454">
        <f>BCA_Qtr!BI14</f>
        <v>-0.85950825251214125</v>
      </c>
      <c r="AC14" s="36">
        <f>AC13/AB13-1</f>
        <v>-5.4284765240391355</v>
      </c>
      <c r="AD14" s="36">
        <f>AD13/AC13-1</f>
        <v>0.33345649576169278</v>
      </c>
      <c r="AE14" s="36">
        <f>AE13/AD13-1</f>
        <v>2.9871794540012875E-2</v>
      </c>
      <c r="AF14" s="36">
        <f>AF13/AE13-1</f>
        <v>2.9875513184585811E-2</v>
      </c>
    </row>
    <row r="15" spans="1:32">
      <c r="A15" s="1" t="str">
        <f>BCA_Qtr!A15</f>
        <v>% Margin</v>
      </c>
      <c r="B15" s="36"/>
      <c r="C15" s="36"/>
      <c r="D15" s="36"/>
      <c r="E15" s="36"/>
      <c r="F15" s="36"/>
      <c r="G15" s="36"/>
      <c r="H15" s="36"/>
      <c r="I15" s="36"/>
      <c r="J15" s="36"/>
      <c r="K15" s="36"/>
      <c r="L15" s="36"/>
      <c r="M15" s="36"/>
      <c r="N15" s="36"/>
      <c r="O15" s="36"/>
      <c r="P15" s="36"/>
      <c r="Q15" s="197"/>
      <c r="R15" s="197">
        <f>BCA_Qtr!K15</f>
        <v>3.4389436668275528E-2</v>
      </c>
      <c r="S15" s="197">
        <f>BCA_Qtr!P15</f>
        <v>9.3977315820319235E-2</v>
      </c>
      <c r="T15" s="197">
        <f>BCA_Qtr!U15</f>
        <v>0.13617628132663176</v>
      </c>
      <c r="U15" s="197">
        <f>BCA_Qtr!Z15</f>
        <v>-0.20638660672763912</v>
      </c>
      <c r="V15" s="197">
        <f>BCA_Qtr!AE15</f>
        <v>-0.856762776884049</v>
      </c>
      <c r="W15" s="197">
        <f>BCA_Qtr!AJ15</f>
        <v>-0.33217052275175701</v>
      </c>
      <c r="X15" s="454">
        <f>BCA_Qtr!AO15</f>
        <v>-9.1622530637491789E-2</v>
      </c>
      <c r="Y15" s="454">
        <f>BCA_Qtr!AT15</f>
        <v>-4.8228665821067225E-2</v>
      </c>
      <c r="Z15" s="454">
        <f>BCA_Qtr!AY15</f>
        <v>-0.34858492629368792</v>
      </c>
      <c r="AA15" s="454">
        <f>BCA_Qtr!BD15</f>
        <v>-0.17060297874391478</v>
      </c>
      <c r="AB15" s="454">
        <f>BCA_Qtr!BI15</f>
        <v>-1.9591801055863771E-2</v>
      </c>
      <c r="AC15" s="36">
        <f>AC13/AC3</f>
        <v>7.6993714723356449E-2</v>
      </c>
      <c r="AD15" s="36">
        <f>AD13/AD3</f>
        <v>9.8400495595175538E-2</v>
      </c>
      <c r="AE15" s="36">
        <f>AE13/AE3</f>
        <v>9.8768300998959613E-2</v>
      </c>
      <c r="AF15" s="36">
        <f>AF13/AF3</f>
        <v>9.9128122431682605E-2</v>
      </c>
    </row>
    <row r="16" spans="1:32">
      <c r="A16" s="1"/>
      <c r="B16" s="204"/>
      <c r="C16" s="204"/>
      <c r="D16" s="204"/>
      <c r="E16" s="204"/>
      <c r="F16" s="204"/>
      <c r="G16" s="204"/>
      <c r="H16" s="204"/>
      <c r="I16" s="204"/>
      <c r="J16" s="204"/>
      <c r="K16" s="204"/>
      <c r="L16" s="204"/>
      <c r="M16" s="204"/>
      <c r="N16" s="204"/>
      <c r="O16" s="204"/>
      <c r="P16" s="204"/>
      <c r="Q16" s="197"/>
      <c r="R16" s="197"/>
      <c r="S16" s="197"/>
      <c r="T16" s="197"/>
      <c r="U16" s="197"/>
      <c r="V16" s="197"/>
      <c r="W16" s="197"/>
      <c r="X16" s="454"/>
      <c r="Y16" s="454"/>
      <c r="Z16" s="454"/>
      <c r="AA16" s="454"/>
      <c r="AB16" s="454"/>
      <c r="AC16" s="202"/>
      <c r="AD16" s="202"/>
      <c r="AE16" s="202"/>
      <c r="AF16" s="202"/>
    </row>
    <row r="17" spans="1:43">
      <c r="A17" s="7" t="str">
        <f>BCA_Qtr!A17</f>
        <v>Non-Recurring and Unusual Charges</v>
      </c>
      <c r="B17" s="21"/>
      <c r="C17" s="21"/>
      <c r="D17" s="21"/>
      <c r="E17" s="21"/>
      <c r="F17" s="21"/>
      <c r="G17" s="21"/>
      <c r="H17" s="21"/>
      <c r="I17" s="21"/>
      <c r="J17" s="21"/>
      <c r="K17" s="21"/>
      <c r="L17" s="21"/>
      <c r="M17" s="21"/>
      <c r="N17" s="21"/>
      <c r="O17" s="21"/>
      <c r="P17" s="21"/>
      <c r="Q17" s="196"/>
      <c r="R17" s="196">
        <f>BCA_Qtr!K17</f>
        <v>0</v>
      </c>
      <c r="S17" s="196">
        <f>BCA_Qtr!P17</f>
        <v>0</v>
      </c>
      <c r="T17" s="196">
        <f>BCA_Qtr!U17</f>
        <v>0</v>
      </c>
      <c r="U17" s="196">
        <f>BCA_Qtr!Z17</f>
        <v>0</v>
      </c>
      <c r="V17" s="196">
        <f>BCA_Qtr!AE17</f>
        <v>0</v>
      </c>
      <c r="W17" s="196">
        <f>BCA_Qtr!AJ17</f>
        <v>0</v>
      </c>
      <c r="X17" s="382">
        <f>BCA_Qtr!AO17</f>
        <v>0</v>
      </c>
      <c r="Y17" s="382">
        <f>BCA_Qtr!AT17</f>
        <v>0</v>
      </c>
      <c r="Z17" s="382">
        <f>BCA_Qtr!AY17</f>
        <v>0</v>
      </c>
      <c r="AA17" s="382">
        <f>BCA_Qtr!BD17</f>
        <v>0</v>
      </c>
      <c r="AB17" s="382">
        <f>BCA_Qtr!BI17</f>
        <v>0</v>
      </c>
      <c r="AC17" s="270">
        <v>0</v>
      </c>
      <c r="AD17" s="270">
        <v>0</v>
      </c>
      <c r="AE17" s="270">
        <v>0</v>
      </c>
      <c r="AF17" s="270">
        <v>0</v>
      </c>
    </row>
    <row r="18" spans="1:43">
      <c r="A18" s="1"/>
      <c r="B18" s="38"/>
      <c r="C18" s="38"/>
      <c r="D18" s="38"/>
      <c r="E18" s="38"/>
      <c r="F18" s="38"/>
      <c r="G18" s="38"/>
      <c r="H18" s="38"/>
      <c r="I18" s="38"/>
      <c r="J18" s="38"/>
      <c r="K18" s="38"/>
      <c r="L18" s="38"/>
      <c r="M18" s="38"/>
      <c r="N18" s="38"/>
      <c r="O18" s="38"/>
      <c r="P18" s="38"/>
      <c r="Q18" s="38"/>
      <c r="R18" s="38"/>
      <c r="S18" s="38"/>
      <c r="T18" s="38"/>
      <c r="U18" s="38"/>
      <c r="V18" s="38"/>
      <c r="W18" s="38"/>
      <c r="X18" s="201"/>
      <c r="Y18" s="201"/>
      <c r="Z18" s="201"/>
      <c r="AA18" s="201"/>
      <c r="AB18" s="201"/>
      <c r="AC18" s="201"/>
      <c r="AD18" s="201"/>
      <c r="AE18" s="201"/>
      <c r="AF18" s="201"/>
    </row>
    <row r="19" spans="1:43">
      <c r="A19" s="9" t="str">
        <f>BCA_Qtr!A19</f>
        <v>Adjusted Operating Profit</v>
      </c>
      <c r="B19" s="25"/>
      <c r="C19" s="25"/>
      <c r="D19" s="25"/>
      <c r="E19" s="25"/>
      <c r="F19" s="25"/>
      <c r="G19" s="25"/>
      <c r="H19" s="25"/>
      <c r="I19" s="25"/>
      <c r="J19" s="25"/>
      <c r="K19" s="25"/>
      <c r="L19" s="25"/>
      <c r="M19" s="25"/>
      <c r="N19" s="25"/>
      <c r="O19" s="25"/>
      <c r="P19" s="25"/>
      <c r="Q19" s="199"/>
      <c r="R19" s="199">
        <f t="shared" ref="R19:W19" si="6">R13+R17</f>
        <v>1995</v>
      </c>
      <c r="S19" s="199">
        <f t="shared" si="6"/>
        <v>5452</v>
      </c>
      <c r="T19" s="199">
        <f t="shared" si="6"/>
        <v>7830</v>
      </c>
      <c r="U19" s="199">
        <f t="shared" si="6"/>
        <v>-6657</v>
      </c>
      <c r="V19" s="199">
        <f t="shared" si="6"/>
        <v>-13847</v>
      </c>
      <c r="W19" s="199">
        <f t="shared" si="6"/>
        <v>-6475</v>
      </c>
      <c r="X19" s="178">
        <f>BCA_Qtr!AO19</f>
        <v>-2370</v>
      </c>
      <c r="Y19" s="178">
        <f>BCA_Qtr!AT19</f>
        <v>-1635</v>
      </c>
      <c r="Z19" s="178">
        <f>BCA_Qtr!AY19</f>
        <v>-7969</v>
      </c>
      <c r="AA19" s="178">
        <f>BCA_Qtr!BD19</f>
        <v>-7079</v>
      </c>
      <c r="AB19" s="178">
        <f>BCA_Qtr!BI19</f>
        <v>-994.54108046655199</v>
      </c>
      <c r="AC19" s="178">
        <f>BCA_Model_Annual!AC62</f>
        <v>4404.3018270386419</v>
      </c>
      <c r="AD19" s="178">
        <f>BCA_Model_Annual!AD62</f>
        <v>5872.9448805597685</v>
      </c>
      <c r="AE19" s="178">
        <f>BCA_Model_Annual!AE62</f>
        <v>6048.3802833766704</v>
      </c>
      <c r="AF19" s="178">
        <f>BCA_Model_Annual!AF62</f>
        <v>6229.0787482780788</v>
      </c>
    </row>
    <row r="20" spans="1:43">
      <c r="A20" s="1" t="str">
        <f>BCA_Qtr!A20</f>
        <v>YoY</v>
      </c>
      <c r="B20" s="204"/>
      <c r="C20" s="204"/>
      <c r="D20" s="204"/>
      <c r="E20" s="204"/>
      <c r="F20" s="204"/>
      <c r="G20" s="204"/>
      <c r="H20" s="204"/>
      <c r="I20" s="204"/>
      <c r="J20" s="204"/>
      <c r="K20" s="204"/>
      <c r="L20" s="204"/>
      <c r="M20" s="204"/>
      <c r="N20" s="204"/>
      <c r="O20" s="204"/>
      <c r="P20" s="204"/>
      <c r="Q20" s="197"/>
      <c r="R20" s="197"/>
      <c r="S20" s="197">
        <f>BCA_Qtr!P20</f>
        <v>1.7328320802005011</v>
      </c>
      <c r="T20" s="197">
        <f>BCA_Qtr!U20</f>
        <v>0.43617021276595747</v>
      </c>
      <c r="U20" s="197">
        <f>BCA_Qtr!Z20</f>
        <v>-1.850191570881226</v>
      </c>
      <c r="V20" s="197">
        <f>BCA_Qtr!AE20</f>
        <v>1.0800660958389665</v>
      </c>
      <c r="W20" s="197">
        <f>BCA_Qtr!AJ20</f>
        <v>-0.5323896872968874</v>
      </c>
      <c r="X20" s="454">
        <f>BCA_Qtr!AO20</f>
        <v>-0.63397683397683391</v>
      </c>
      <c r="Y20" s="454">
        <f>BCA_Qtr!AT20</f>
        <v>-0.310126582278481</v>
      </c>
      <c r="Z20" s="454">
        <f>BCA_Qtr!AY20</f>
        <v>3.8740061162079513</v>
      </c>
      <c r="AA20" s="454">
        <f>BCA_Qtr!BD20</f>
        <v>-0.11168277073660438</v>
      </c>
      <c r="AB20" s="454">
        <f>BCA_Qtr!BI20</f>
        <v>-0.85950825251214125</v>
      </c>
      <c r="AC20" s="202">
        <f>AC19/AB19-1</f>
        <v>-5.4284765240391355</v>
      </c>
      <c r="AD20" s="202">
        <f>AD19/AC19-1</f>
        <v>0.33345649576169278</v>
      </c>
      <c r="AE20" s="202">
        <f>AE19/AD19-1</f>
        <v>2.9871794540012875E-2</v>
      </c>
      <c r="AF20" s="202">
        <f>AF19/AE19-1</f>
        <v>2.9875513184585811E-2</v>
      </c>
    </row>
    <row r="21" spans="1:43">
      <c r="B21" s="38"/>
      <c r="C21" s="38"/>
      <c r="D21" s="38"/>
      <c r="E21" s="38"/>
      <c r="F21" s="38"/>
      <c r="G21" s="38"/>
      <c r="H21" s="38"/>
      <c r="I21" s="38"/>
      <c r="J21" s="38"/>
      <c r="K21" s="38"/>
      <c r="L21" s="38"/>
      <c r="M21" s="38"/>
      <c r="N21" s="38"/>
      <c r="O21" s="38"/>
      <c r="P21" s="38"/>
      <c r="Q21" s="38"/>
      <c r="R21" s="38"/>
      <c r="S21" s="38"/>
      <c r="T21" s="38"/>
      <c r="U21" s="38"/>
      <c r="V21" s="38"/>
      <c r="W21" s="38"/>
      <c r="X21" s="201"/>
      <c r="Y21" s="201"/>
      <c r="Z21" s="201"/>
      <c r="AA21" s="201"/>
      <c r="AB21" s="201"/>
      <c r="AC21" s="201"/>
      <c r="AD21" s="201"/>
      <c r="AE21" s="201"/>
      <c r="AF21" s="201"/>
    </row>
    <row r="22" spans="1:43">
      <c r="A22" s="9" t="str">
        <f>BCA_Qtr!A22</f>
        <v>Adjusted Operating Margin</v>
      </c>
      <c r="B22" s="119"/>
      <c r="C22" s="119"/>
      <c r="D22" s="119"/>
      <c r="E22" s="119"/>
      <c r="F22" s="119"/>
      <c r="G22" s="119"/>
      <c r="H22" s="119"/>
      <c r="I22" s="119"/>
      <c r="J22" s="119"/>
      <c r="K22" s="119"/>
      <c r="L22" s="119"/>
      <c r="M22" s="119"/>
      <c r="N22" s="119"/>
      <c r="O22" s="119"/>
      <c r="P22" s="119"/>
      <c r="Q22" s="119"/>
      <c r="R22" s="119">
        <f t="shared" ref="R22:X22" si="7">+R19/R3</f>
        <v>3.4389436668275528E-2</v>
      </c>
      <c r="S22" s="119">
        <f t="shared" si="7"/>
        <v>9.3977315820319235E-2</v>
      </c>
      <c r="T22" s="119">
        <f t="shared" si="7"/>
        <v>0.13617628132663176</v>
      </c>
      <c r="U22" s="119">
        <f t="shared" si="7"/>
        <v>-0.20638660672763912</v>
      </c>
      <c r="V22" s="119">
        <f t="shared" si="7"/>
        <v>-0.856762776884049</v>
      </c>
      <c r="W22" s="119">
        <f t="shared" si="7"/>
        <v>-0.33217052275175701</v>
      </c>
      <c r="X22" s="119">
        <f t="shared" si="7"/>
        <v>-9.1622530637491789E-2</v>
      </c>
      <c r="Y22" s="119">
        <f t="shared" ref="Y22:Z22" si="8">+Y19/Y3</f>
        <v>-4.8228665821067225E-2</v>
      </c>
      <c r="Z22" s="119">
        <f t="shared" si="8"/>
        <v>-0.34858492629368792</v>
      </c>
      <c r="AA22" s="119">
        <f t="shared" ref="AA22:AB22" si="9">+AA19/AA3</f>
        <v>-0.17060297874391478</v>
      </c>
      <c r="AB22" s="119">
        <f t="shared" si="9"/>
        <v>-1.9591801055863771E-2</v>
      </c>
      <c r="AC22" s="119">
        <f>+AC19/AC3</f>
        <v>7.6993714723356449E-2</v>
      </c>
      <c r="AD22" s="119">
        <f>+AD19/AD3</f>
        <v>9.8400495595175538E-2</v>
      </c>
      <c r="AE22" s="119">
        <f>+AE19/AE3</f>
        <v>9.8768300998959613E-2</v>
      </c>
      <c r="AF22" s="119">
        <f>+AF19/AF3</f>
        <v>9.9128122431682605E-2</v>
      </c>
    </row>
    <row r="23" spans="1:43">
      <c r="A23" s="1" t="str">
        <f>BCA_Qtr!A23</f>
        <v>YoY</v>
      </c>
      <c r="B23" s="204"/>
      <c r="C23" s="204"/>
      <c r="D23" s="204"/>
      <c r="E23" s="204"/>
      <c r="F23" s="204"/>
      <c r="G23" s="204"/>
      <c r="H23" s="204"/>
      <c r="I23" s="204"/>
      <c r="J23" s="204"/>
      <c r="K23" s="204"/>
      <c r="L23" s="204"/>
      <c r="M23" s="204"/>
      <c r="N23" s="204"/>
      <c r="O23" s="204"/>
      <c r="P23" s="204"/>
      <c r="Q23" s="197"/>
      <c r="R23" s="197"/>
      <c r="S23" s="197">
        <f>BCA_Qtr!P23</f>
        <v>1.7327378673525611</v>
      </c>
      <c r="T23" s="197">
        <f>BCA_Qtr!U23</f>
        <v>0.44903352620748627</v>
      </c>
      <c r="U23" s="197">
        <f>BCA_Qtr!Z23</f>
        <v>-2.5155840996465546</v>
      </c>
      <c r="V23" s="197">
        <f>BCA_Qtr!AE23</f>
        <v>3.1512518203988282</v>
      </c>
      <c r="W23" s="197">
        <f>BCA_Qtr!AJ23</f>
        <v>-0.61229580496035985</v>
      </c>
      <c r="X23" s="454">
        <f>BCA_Qtr!AO23</f>
        <v>-0.72417019463835874</v>
      </c>
      <c r="Y23" s="454">
        <f>BCA_Qtr!AT23</f>
        <v>-0.47361565451749121</v>
      </c>
      <c r="Z23" s="454">
        <f>BCA_Qtr!AY23</f>
        <v>6.2277538754020272</v>
      </c>
      <c r="AA23" s="454">
        <f>BCA_Qtr!BD23</f>
        <v>-0.51058417655105592</v>
      </c>
      <c r="AB23" s="454">
        <f>BCA_Qtr!BI23</f>
        <v>-0.88516143621810828</v>
      </c>
      <c r="AC23" s="202">
        <f>AC22/AB22-1</f>
        <v>-4.9298946790965115</v>
      </c>
      <c r="AD23" s="202">
        <f>AD22/AC22-1</f>
        <v>0.27803283617026509</v>
      </c>
      <c r="AE23" s="202">
        <f>AE22/AD22-1</f>
        <v>3.7378409687818248E-3</v>
      </c>
      <c r="AF23" s="202">
        <f>AF22/AE22-1</f>
        <v>3.6430861833574024E-3</v>
      </c>
    </row>
    <row r="24" spans="1:43">
      <c r="A24" s="1"/>
      <c r="B24" s="204"/>
      <c r="C24" s="204"/>
      <c r="D24" s="204"/>
      <c r="E24" s="204"/>
      <c r="F24" s="204"/>
      <c r="G24" s="204"/>
      <c r="H24" s="204"/>
      <c r="I24" s="204"/>
      <c r="J24" s="204"/>
      <c r="K24" s="204"/>
      <c r="L24" s="204"/>
      <c r="M24" s="204"/>
      <c r="N24" s="204"/>
      <c r="O24" s="204"/>
      <c r="P24" s="204"/>
      <c r="Q24" s="197"/>
      <c r="R24" s="197"/>
      <c r="S24" s="197"/>
      <c r="T24" s="197"/>
      <c r="U24" s="197"/>
      <c r="V24" s="197"/>
      <c r="W24" s="197"/>
      <c r="X24" s="202"/>
      <c r="Y24" s="202"/>
      <c r="Z24" s="202"/>
      <c r="AA24" s="202"/>
      <c r="AB24" s="202"/>
      <c r="AC24" s="202"/>
      <c r="AD24" s="202"/>
      <c r="AE24" s="202"/>
      <c r="AF24" s="202"/>
    </row>
    <row r="25" spans="1:43">
      <c r="A25" s="9" t="s">
        <v>418</v>
      </c>
      <c r="B25" s="25"/>
      <c r="C25" s="25"/>
      <c r="D25" s="25"/>
      <c r="E25" s="25"/>
      <c r="F25" s="25"/>
      <c r="G25" s="25"/>
      <c r="H25" s="25"/>
      <c r="I25" s="25"/>
      <c r="J25" s="25"/>
      <c r="K25" s="25"/>
      <c r="L25" s="25"/>
      <c r="M25" s="25"/>
      <c r="N25" s="25"/>
      <c r="O25" s="25"/>
      <c r="P25" s="25"/>
      <c r="Q25" s="199"/>
      <c r="R25" s="199"/>
      <c r="S25" s="199"/>
      <c r="T25" s="199"/>
      <c r="U25" s="199"/>
      <c r="V25" s="199"/>
      <c r="W25" s="199"/>
      <c r="X25" s="199"/>
      <c r="Y25" s="199"/>
      <c r="Z25" s="199"/>
      <c r="AA25" s="199"/>
      <c r="AB25" s="199"/>
      <c r="AC25" s="199"/>
      <c r="AD25" s="199"/>
      <c r="AE25" s="199"/>
      <c r="AF25" s="199"/>
    </row>
    <row r="26" spans="1:43">
      <c r="A26" s="5" t="s">
        <v>342</v>
      </c>
      <c r="B26" s="21"/>
      <c r="C26" s="21"/>
      <c r="D26" s="21"/>
      <c r="E26" s="21"/>
      <c r="F26" s="21"/>
      <c r="G26" s="21"/>
      <c r="H26" s="21"/>
      <c r="I26" s="21"/>
      <c r="J26" s="21"/>
      <c r="K26" s="21"/>
      <c r="L26" s="21"/>
      <c r="M26" s="21"/>
      <c r="N26" s="21"/>
      <c r="O26" s="21"/>
      <c r="P26" s="21"/>
      <c r="Q26" s="196"/>
      <c r="R26" s="196"/>
      <c r="S26" s="196"/>
      <c r="T26" s="196"/>
      <c r="U26" s="196"/>
      <c r="V26" s="196"/>
      <c r="W26" s="196"/>
      <c r="X26" s="229"/>
      <c r="Y26" s="229"/>
      <c r="Z26" s="229"/>
      <c r="AA26" s="229"/>
      <c r="AB26" s="229"/>
      <c r="AC26" s="229"/>
      <c r="AD26" s="229"/>
      <c r="AE26" s="229"/>
      <c r="AF26" s="229"/>
      <c r="AG26" s="41"/>
      <c r="AH26" s="41"/>
      <c r="AI26" s="41"/>
      <c r="AJ26" s="41"/>
      <c r="AK26" s="41"/>
      <c r="AL26" s="41"/>
      <c r="AM26" s="41"/>
      <c r="AN26" s="41"/>
      <c r="AO26" s="41"/>
      <c r="AP26" s="41"/>
      <c r="AQ26" s="41"/>
    </row>
    <row r="27" spans="1:43">
      <c r="A27" s="1" t="s">
        <v>410</v>
      </c>
      <c r="B27" s="196"/>
      <c r="C27" s="196"/>
      <c r="D27" s="196"/>
      <c r="E27" s="196"/>
      <c r="F27" s="196"/>
      <c r="G27" s="196"/>
      <c r="H27" s="196"/>
      <c r="I27" s="196"/>
      <c r="J27" s="196"/>
      <c r="K27" s="196"/>
      <c r="L27" s="196"/>
      <c r="M27" s="196"/>
      <c r="N27" s="196"/>
      <c r="O27" s="196"/>
      <c r="P27" s="196"/>
      <c r="Q27" s="196">
        <f>BCA_Qtr!F31</f>
        <v>0</v>
      </c>
      <c r="R27" s="196">
        <f>BCA_Qtr!K31</f>
        <v>0</v>
      </c>
      <c r="S27" s="196">
        <f>BCA_Qtr!P31</f>
        <v>0</v>
      </c>
      <c r="T27" s="196">
        <f>BCA_Qtr!U31</f>
        <v>0</v>
      </c>
      <c r="U27" s="196">
        <f>BCA_Qtr!Z31</f>
        <v>0</v>
      </c>
      <c r="V27" s="196">
        <f>BCA_Qtr!AE31</f>
        <v>-336</v>
      </c>
      <c r="W27" s="38">
        <f>BCA_Qtr!AJ31</f>
        <v>0</v>
      </c>
      <c r="X27" s="38">
        <f>BCA_Qtr!AO31</f>
        <v>0</v>
      </c>
      <c r="Y27" s="38">
        <f>BCA_Qtr!AT31</f>
        <v>0</v>
      </c>
      <c r="Z27" s="38">
        <f>BCA_Qtr!AY31</f>
        <v>0</v>
      </c>
      <c r="AA27" s="38">
        <f>BCA_Qtr!BD31</f>
        <v>0</v>
      </c>
      <c r="AB27" s="38">
        <f>BCA_Qtr!BI31</f>
        <v>0</v>
      </c>
      <c r="AC27" s="43">
        <v>0</v>
      </c>
      <c r="AD27" s="43">
        <v>0</v>
      </c>
      <c r="AE27" s="43">
        <v>0</v>
      </c>
      <c r="AF27" s="43">
        <v>0</v>
      </c>
      <c r="AG27" s="41"/>
      <c r="AH27" s="41"/>
      <c r="AI27" s="41"/>
      <c r="AJ27" s="41"/>
      <c r="AK27" s="41"/>
      <c r="AL27" s="41"/>
      <c r="AM27" s="41"/>
      <c r="AN27" s="41"/>
      <c r="AO27" s="41"/>
      <c r="AP27" s="41"/>
      <c r="AQ27" s="41"/>
    </row>
    <row r="28" spans="1:43">
      <c r="A28" s="1" t="s">
        <v>341</v>
      </c>
      <c r="B28" s="196"/>
      <c r="C28" s="196"/>
      <c r="D28" s="196"/>
      <c r="E28" s="196"/>
      <c r="F28" s="196"/>
      <c r="G28" s="196"/>
      <c r="H28" s="196"/>
      <c r="I28" s="196"/>
      <c r="J28" s="196"/>
      <c r="K28" s="196"/>
      <c r="L28" s="196"/>
      <c r="M28" s="196"/>
      <c r="N28" s="196"/>
      <c r="O28" s="196"/>
      <c r="P28" s="196"/>
      <c r="Q28" s="196">
        <f>BCA_Qtr!F32</f>
        <v>0</v>
      </c>
      <c r="R28" s="196">
        <f>BCA_Qtr!K32</f>
        <v>0</v>
      </c>
      <c r="S28" s="196">
        <f>BCA_Qtr!P32</f>
        <v>0</v>
      </c>
      <c r="T28" s="196">
        <f>BCA_Qtr!U32</f>
        <v>0</v>
      </c>
      <c r="U28" s="196">
        <f>BCA_Qtr!Z32</f>
        <v>-8200</v>
      </c>
      <c r="V28" s="196">
        <f>BCA_Qtr!AE32</f>
        <v>-2099</v>
      </c>
      <c r="W28" s="38">
        <f>BCA_Qtr!AJ32</f>
        <v>-1501</v>
      </c>
      <c r="X28" s="38">
        <f>BCA_Qtr!AO32</f>
        <v>-188</v>
      </c>
      <c r="Y28" s="38">
        <f>BCA_Qtr!AT32</f>
        <v>0</v>
      </c>
      <c r="Z28" s="38">
        <f>BCA_Qtr!AY32</f>
        <v>0</v>
      </c>
      <c r="AA28" s="38">
        <f>BCA_Qtr!BD32</f>
        <v>0</v>
      </c>
      <c r="AB28" s="38">
        <f>BCA_Qtr!BI32</f>
        <v>0</v>
      </c>
      <c r="AC28" s="43">
        <v>0</v>
      </c>
      <c r="AD28" s="43">
        <v>0</v>
      </c>
      <c r="AE28" s="43">
        <v>0</v>
      </c>
      <c r="AF28" s="43">
        <v>0</v>
      </c>
      <c r="AG28" s="41"/>
      <c r="AH28" s="41"/>
      <c r="AI28" s="41"/>
      <c r="AJ28" s="41"/>
      <c r="AK28" s="41"/>
      <c r="AL28" s="41"/>
      <c r="AM28" s="41"/>
      <c r="AN28" s="41"/>
      <c r="AO28" s="41"/>
      <c r="AP28" s="41"/>
      <c r="AQ28" s="41"/>
    </row>
    <row r="29" spans="1:43">
      <c r="A29" s="1" t="s">
        <v>428</v>
      </c>
      <c r="B29" s="196"/>
      <c r="C29" s="196"/>
      <c r="D29" s="196"/>
      <c r="E29" s="196"/>
      <c r="F29" s="196"/>
      <c r="G29" s="196"/>
      <c r="H29" s="196"/>
      <c r="I29" s="196"/>
      <c r="J29" s="196"/>
      <c r="K29" s="196"/>
      <c r="L29" s="196"/>
      <c r="M29" s="196"/>
      <c r="N29" s="196"/>
      <c r="O29" s="196"/>
      <c r="P29" s="196"/>
      <c r="Q29" s="196">
        <f>BCA_Qtr!F33</f>
        <v>0</v>
      </c>
      <c r="R29" s="196">
        <f>BCA_Qtr!K33</f>
        <v>-128</v>
      </c>
      <c r="S29" s="196">
        <f>BCA_Qtr!P33</f>
        <v>0</v>
      </c>
      <c r="T29" s="196">
        <f>BCA_Qtr!U33</f>
        <v>0</v>
      </c>
      <c r="U29" s="196">
        <f>BCA_Qtr!Z33</f>
        <v>0</v>
      </c>
      <c r="V29" s="196">
        <f>BCA_Qtr!AE33</f>
        <v>-6500</v>
      </c>
      <c r="W29" s="38">
        <f>BCA_Qtr!AJ33</f>
        <v>0</v>
      </c>
      <c r="X29" s="38">
        <f>BCA_Qtr!AO33</f>
        <v>-213</v>
      </c>
      <c r="Y29" s="38">
        <f>BCA_Qtr!AT33</f>
        <v>-513</v>
      </c>
      <c r="Z29" s="38">
        <f>BCA_Qtr!AY33</f>
        <v>0</v>
      </c>
      <c r="AA29" s="38">
        <f>BCA_Qtr!BD33</f>
        <v>0</v>
      </c>
      <c r="AB29" s="38">
        <f>BCA_Qtr!BI33</f>
        <v>0</v>
      </c>
      <c r="AC29" s="43">
        <v>0</v>
      </c>
      <c r="AD29" s="43">
        <v>0</v>
      </c>
      <c r="AE29" s="43">
        <v>0</v>
      </c>
      <c r="AF29" s="43">
        <v>0</v>
      </c>
      <c r="AG29" s="41"/>
      <c r="AH29" s="41"/>
      <c r="AI29" s="41"/>
      <c r="AJ29" s="41"/>
      <c r="AK29" s="41"/>
      <c r="AL29" s="41"/>
      <c r="AM29" s="41"/>
      <c r="AN29" s="41"/>
      <c r="AO29" s="41"/>
      <c r="AP29" s="41"/>
      <c r="AQ29" s="41"/>
    </row>
    <row r="30" spans="1:43">
      <c r="A30" s="1" t="s">
        <v>343</v>
      </c>
      <c r="B30" s="196"/>
      <c r="C30" s="196"/>
      <c r="D30" s="196"/>
      <c r="E30" s="196"/>
      <c r="F30" s="196"/>
      <c r="G30" s="196"/>
      <c r="H30" s="196"/>
      <c r="I30" s="196"/>
      <c r="J30" s="196"/>
      <c r="K30" s="196"/>
      <c r="L30" s="196"/>
      <c r="M30" s="196"/>
      <c r="N30" s="196"/>
      <c r="O30" s="196"/>
      <c r="P30" s="196"/>
      <c r="Q30" s="196">
        <f>BCA_Qtr!F34</f>
        <v>0</v>
      </c>
      <c r="R30" s="196">
        <f>BCA_Qtr!K34</f>
        <v>0</v>
      </c>
      <c r="S30" s="196">
        <f>BCA_Qtr!P34</f>
        <v>0</v>
      </c>
      <c r="T30" s="196">
        <f>BCA_Qtr!U34</f>
        <v>0</v>
      </c>
      <c r="U30" s="196">
        <f>BCA_Qtr!Z34</f>
        <v>0</v>
      </c>
      <c r="V30" s="196">
        <f>BCA_Qtr!AE34</f>
        <v>-270</v>
      </c>
      <c r="W30" s="38">
        <f>BCA_Qtr!AJ34</f>
        <v>0</v>
      </c>
      <c r="X30" s="38">
        <f>BCA_Qtr!AO34</f>
        <v>0</v>
      </c>
      <c r="Y30" s="38">
        <f>BCA_Qtr!AT34</f>
        <v>0</v>
      </c>
      <c r="Z30" s="38">
        <f>BCA_Qtr!AY34</f>
        <v>0</v>
      </c>
      <c r="AA30" s="38">
        <f>BCA_Qtr!BD34</f>
        <v>0</v>
      </c>
      <c r="AB30" s="38">
        <f>BCA_Qtr!BI34</f>
        <v>0</v>
      </c>
      <c r="AC30" s="43">
        <v>0</v>
      </c>
      <c r="AD30" s="43">
        <v>0</v>
      </c>
      <c r="AE30" s="43">
        <v>0</v>
      </c>
      <c r="AF30" s="43">
        <v>0</v>
      </c>
      <c r="AG30" s="41"/>
      <c r="AH30" s="41"/>
      <c r="AI30" s="41"/>
      <c r="AJ30" s="41"/>
      <c r="AK30" s="41"/>
      <c r="AL30" s="41"/>
      <c r="AM30" s="41"/>
      <c r="AN30" s="41"/>
      <c r="AO30" s="41"/>
      <c r="AP30" s="41"/>
      <c r="AQ30" s="41"/>
    </row>
    <row r="31" spans="1:43">
      <c r="A31" s="1" t="s">
        <v>1</v>
      </c>
      <c r="B31" s="196"/>
      <c r="C31" s="196"/>
      <c r="D31" s="196"/>
      <c r="E31" s="196"/>
      <c r="F31" s="196"/>
      <c r="G31" s="196"/>
      <c r="H31" s="196"/>
      <c r="I31" s="196"/>
      <c r="J31" s="196"/>
      <c r="K31" s="196"/>
      <c r="L31" s="196"/>
      <c r="M31" s="196"/>
      <c r="N31" s="196"/>
      <c r="O31" s="196"/>
      <c r="P31" s="196"/>
      <c r="Q31" s="196">
        <f>BCA_Qtr!F35</f>
        <v>0</v>
      </c>
      <c r="R31" s="196">
        <f>BCA_Qtr!K35</f>
        <v>-1235</v>
      </c>
      <c r="S31" s="196">
        <f>BCA_Qtr!P35</f>
        <v>0</v>
      </c>
      <c r="T31" s="196">
        <f>BCA_Qtr!U35</f>
        <v>0</v>
      </c>
      <c r="U31" s="196">
        <f>BCA_Qtr!Z35</f>
        <v>0</v>
      </c>
      <c r="V31" s="196">
        <f>BCA_Qtr!AE35</f>
        <v>-468</v>
      </c>
      <c r="W31" s="38">
        <f>BCA_Qtr!AJ35</f>
        <v>-3785</v>
      </c>
      <c r="X31" s="38">
        <f>BCA_Qtr!AO35</f>
        <v>-4097</v>
      </c>
      <c r="Y31" s="38">
        <f>BCA_Qtr!AT35</f>
        <v>-1014</v>
      </c>
      <c r="Z31" s="38">
        <f>BCA_Qtr!AY35</f>
        <v>-4350</v>
      </c>
      <c r="AA31" s="38">
        <f>BCA_Qtr!BD35</f>
        <v>-4950</v>
      </c>
      <c r="AB31" s="38">
        <f>BCA_Qtr!BI35</f>
        <v>0</v>
      </c>
      <c r="AC31" s="38">
        <f>+BCA_Model_Annual!AG61</f>
        <v>0</v>
      </c>
      <c r="AD31" s="38">
        <f>+BCA_Model_Annual!AL61</f>
        <v>0</v>
      </c>
      <c r="AE31" s="38">
        <f>+BCA_Model_Annual!AM61</f>
        <v>0</v>
      </c>
      <c r="AF31" s="38">
        <f>+BCA_Model_Annual!AN61</f>
        <v>0</v>
      </c>
      <c r="AG31" s="41"/>
      <c r="AH31" s="41"/>
      <c r="AI31" s="41"/>
      <c r="AJ31" s="41"/>
      <c r="AK31" s="41"/>
      <c r="AL31" s="41"/>
      <c r="AM31" s="41"/>
      <c r="AN31" s="41"/>
      <c r="AO31" s="41"/>
      <c r="AP31" s="41"/>
      <c r="AQ31" s="41"/>
    </row>
    <row r="32" spans="1:43" s="5" customFormat="1">
      <c r="A32" s="12" t="s">
        <v>11</v>
      </c>
      <c r="B32" s="330">
        <f t="shared" ref="B32:X32" si="10">SUM(B27:B31)</f>
        <v>0</v>
      </c>
      <c r="C32" s="330">
        <f t="shared" si="10"/>
        <v>0</v>
      </c>
      <c r="D32" s="330">
        <f t="shared" si="10"/>
        <v>0</v>
      </c>
      <c r="E32" s="330">
        <f t="shared" si="10"/>
        <v>0</v>
      </c>
      <c r="F32" s="330">
        <f t="shared" si="10"/>
        <v>0</v>
      </c>
      <c r="G32" s="330">
        <f t="shared" si="10"/>
        <v>0</v>
      </c>
      <c r="H32" s="330">
        <f t="shared" si="10"/>
        <v>0</v>
      </c>
      <c r="I32" s="330">
        <f t="shared" si="10"/>
        <v>0</v>
      </c>
      <c r="J32" s="330">
        <f t="shared" si="10"/>
        <v>0</v>
      </c>
      <c r="K32" s="330">
        <f t="shared" si="10"/>
        <v>0</v>
      </c>
      <c r="L32" s="330">
        <f t="shared" si="10"/>
        <v>0</v>
      </c>
      <c r="M32" s="330">
        <f t="shared" si="10"/>
        <v>0</v>
      </c>
      <c r="N32" s="330">
        <f t="shared" si="10"/>
        <v>0</v>
      </c>
      <c r="O32" s="330">
        <f t="shared" si="10"/>
        <v>0</v>
      </c>
      <c r="P32" s="330">
        <f t="shared" si="10"/>
        <v>0</v>
      </c>
      <c r="Q32" s="330">
        <f t="shared" si="10"/>
        <v>0</v>
      </c>
      <c r="R32" s="330">
        <f t="shared" si="10"/>
        <v>-1363</v>
      </c>
      <c r="S32" s="330">
        <f t="shared" si="10"/>
        <v>0</v>
      </c>
      <c r="T32" s="330">
        <f t="shared" si="10"/>
        <v>0</v>
      </c>
      <c r="U32" s="330">
        <f t="shared" si="10"/>
        <v>-8200</v>
      </c>
      <c r="V32" s="330">
        <f t="shared" si="10"/>
        <v>-9673</v>
      </c>
      <c r="W32" s="108">
        <f t="shared" si="10"/>
        <v>-5286</v>
      </c>
      <c r="X32" s="108">
        <f t="shared" si="10"/>
        <v>-4498</v>
      </c>
      <c r="Y32" s="108">
        <f t="shared" ref="Y32:Z32" si="11">SUM(Y27:Y31)</f>
        <v>-1527</v>
      </c>
      <c r="Z32" s="108">
        <f t="shared" si="11"/>
        <v>-4350</v>
      </c>
      <c r="AA32" s="108">
        <f t="shared" ref="AA32:AB32" si="12">SUM(AA27:AA31)</f>
        <v>-4950</v>
      </c>
      <c r="AB32" s="108">
        <f t="shared" si="12"/>
        <v>0</v>
      </c>
      <c r="AC32" s="108">
        <f>SUM(AC27:AC31)</f>
        <v>0</v>
      </c>
      <c r="AD32" s="108">
        <f>SUM(AD27:AD31)</f>
        <v>0</v>
      </c>
      <c r="AE32" s="108">
        <f>SUM(AE27:AE31)</f>
        <v>0</v>
      </c>
      <c r="AF32" s="108">
        <f>SUM(AF27:AF31)</f>
        <v>0</v>
      </c>
      <c r="AG32" s="81"/>
      <c r="AH32" s="81"/>
      <c r="AI32" s="81"/>
      <c r="AJ32" s="81"/>
      <c r="AK32" s="81"/>
      <c r="AL32" s="81"/>
      <c r="AM32" s="81"/>
      <c r="AN32" s="81"/>
      <c r="AO32" s="81"/>
      <c r="AP32" s="81"/>
      <c r="AQ32" s="81"/>
    </row>
    <row r="33" spans="1:43">
      <c r="A33" s="1"/>
      <c r="B33" s="196"/>
      <c r="C33" s="196"/>
      <c r="D33" s="196"/>
      <c r="E33" s="196"/>
      <c r="F33" s="196"/>
      <c r="G33" s="196"/>
      <c r="H33" s="196"/>
      <c r="I33" s="196"/>
      <c r="J33" s="196"/>
      <c r="K33" s="196"/>
      <c r="L33" s="196"/>
      <c r="M33" s="196"/>
      <c r="N33" s="196"/>
      <c r="O33" s="196"/>
      <c r="P33" s="196"/>
      <c r="Q33" s="196"/>
      <c r="R33" s="196"/>
      <c r="S33" s="196"/>
      <c r="T33" s="196"/>
      <c r="U33" s="196"/>
      <c r="V33" s="196"/>
      <c r="W33" s="196"/>
      <c r="X33" s="196"/>
      <c r="Y33" s="196"/>
      <c r="Z33" s="196"/>
      <c r="AA33" s="196"/>
      <c r="AB33" s="196"/>
      <c r="AC33" s="196"/>
      <c r="AD33" s="196"/>
      <c r="AE33" s="196"/>
      <c r="AF33" s="196"/>
      <c r="AG33" s="41"/>
      <c r="AH33" s="41"/>
      <c r="AI33" s="41"/>
      <c r="AJ33" s="41"/>
      <c r="AK33" s="41"/>
      <c r="AL33" s="41"/>
      <c r="AM33" s="41"/>
      <c r="AN33" s="41"/>
      <c r="AO33" s="41"/>
      <c r="AP33" s="41"/>
      <c r="AQ33" s="41"/>
    </row>
    <row r="34" spans="1:43">
      <c r="A34" s="5" t="s">
        <v>429</v>
      </c>
      <c r="B34" s="196"/>
      <c r="C34" s="196"/>
      <c r="D34" s="196"/>
      <c r="E34" s="196"/>
      <c r="F34" s="196"/>
      <c r="G34" s="196"/>
      <c r="H34" s="196"/>
      <c r="I34" s="196"/>
      <c r="J34" s="196"/>
      <c r="K34" s="196"/>
      <c r="L34" s="196"/>
      <c r="M34" s="196"/>
      <c r="N34" s="196"/>
      <c r="O34" s="196"/>
      <c r="P34" s="196"/>
      <c r="Q34" s="196"/>
      <c r="R34" s="196"/>
      <c r="S34" s="196"/>
      <c r="T34" s="196"/>
      <c r="U34" s="196"/>
      <c r="V34" s="196"/>
      <c r="W34" s="196"/>
      <c r="X34" s="196"/>
      <c r="Y34" s="196"/>
      <c r="Z34" s="196"/>
      <c r="AA34" s="196"/>
      <c r="AB34" s="196"/>
      <c r="AC34" s="196"/>
      <c r="AD34" s="196"/>
      <c r="AE34" s="196"/>
      <c r="AF34" s="196"/>
      <c r="AG34" s="41"/>
      <c r="AH34" s="41"/>
      <c r="AI34" s="41"/>
      <c r="AJ34" s="41"/>
      <c r="AK34" s="41"/>
      <c r="AL34" s="41"/>
      <c r="AM34" s="41"/>
      <c r="AN34" s="41"/>
      <c r="AO34" s="41"/>
      <c r="AP34" s="41"/>
      <c r="AQ34" s="41"/>
    </row>
    <row r="35" spans="1:43">
      <c r="A35" s="1" t="s">
        <v>344</v>
      </c>
      <c r="B35" s="196"/>
      <c r="C35" s="196"/>
      <c r="D35" s="196"/>
      <c r="E35" s="196"/>
      <c r="F35" s="196"/>
      <c r="G35" s="196"/>
      <c r="H35" s="196"/>
      <c r="I35" s="196"/>
      <c r="J35" s="196"/>
      <c r="K35" s="196"/>
      <c r="L35" s="196"/>
      <c r="M35" s="196"/>
      <c r="N35" s="196"/>
      <c r="O35" s="196"/>
      <c r="P35" s="196"/>
      <c r="Q35" s="196">
        <f>BCA_Qtr!F39</f>
        <v>0</v>
      </c>
      <c r="R35" s="196">
        <f>BCA_Qtr!K39</f>
        <v>-772</v>
      </c>
      <c r="S35" s="196">
        <f>BCA_Qtr!P39</f>
        <v>-376</v>
      </c>
      <c r="T35" s="196">
        <f>BCA_Qtr!U39</f>
        <v>-419</v>
      </c>
      <c r="U35" s="196">
        <f>BCA_Qtr!Z39</f>
        <v>0</v>
      </c>
      <c r="V35" s="196">
        <f>BCA_Qtr!AE39</f>
        <v>0</v>
      </c>
      <c r="W35" s="196">
        <f>BCA_Qtr!AJ39</f>
        <v>0</v>
      </c>
      <c r="X35" s="38">
        <f>BCA_Qtr!AO39</f>
        <v>0</v>
      </c>
      <c r="Y35" s="38">
        <f>BCA_Qtr!AT39</f>
        <v>0</v>
      </c>
      <c r="Z35" s="38">
        <f>BCA_Qtr!AY39</f>
        <v>0</v>
      </c>
      <c r="AA35" s="38">
        <f>BCA_Qtr!BD39</f>
        <v>0</v>
      </c>
      <c r="AB35" s="38">
        <f>BCA_Qtr!BI39</f>
        <v>0</v>
      </c>
      <c r="AC35" s="21">
        <v>0</v>
      </c>
      <c r="AD35" s="21">
        <v>0</v>
      </c>
      <c r="AE35" s="21">
        <v>0</v>
      </c>
      <c r="AF35" s="21">
        <v>0</v>
      </c>
      <c r="AG35" s="41"/>
      <c r="AH35" s="41"/>
      <c r="AI35" s="41"/>
      <c r="AJ35" s="41"/>
      <c r="AK35" s="41"/>
      <c r="AL35" s="41"/>
      <c r="AM35" s="41"/>
      <c r="AN35" s="41"/>
      <c r="AO35" s="41"/>
      <c r="AP35" s="41"/>
      <c r="AQ35" s="41"/>
    </row>
    <row r="36" spans="1:43">
      <c r="A36" s="1" t="s">
        <v>430</v>
      </c>
      <c r="B36" s="196"/>
      <c r="C36" s="196"/>
      <c r="D36" s="196"/>
      <c r="E36" s="196"/>
      <c r="F36" s="196"/>
      <c r="G36" s="196"/>
      <c r="H36" s="196"/>
      <c r="I36" s="196"/>
      <c r="J36" s="196"/>
      <c r="K36" s="196"/>
      <c r="L36" s="196"/>
      <c r="M36" s="196"/>
      <c r="N36" s="196"/>
      <c r="O36" s="196"/>
      <c r="P36" s="196"/>
      <c r="Q36" s="196">
        <f>BCA_Qtr!F40</f>
        <v>0</v>
      </c>
      <c r="R36" s="196">
        <f>BCA_Qtr!K40</f>
        <v>-1258</v>
      </c>
      <c r="S36" s="196">
        <f>BCA_Qtr!P40</f>
        <v>0</v>
      </c>
      <c r="T36" s="196">
        <f>BCA_Qtr!U40</f>
        <v>0</v>
      </c>
      <c r="U36" s="196">
        <f>BCA_Qtr!Z40</f>
        <v>0</v>
      </c>
      <c r="V36" s="196">
        <f>BCA_Qtr!AE40</f>
        <v>0</v>
      </c>
      <c r="W36" s="196">
        <f>BCA_Qtr!AJ40</f>
        <v>0</v>
      </c>
      <c r="X36" s="38">
        <f>BCA_Qtr!AO40</f>
        <v>0</v>
      </c>
      <c r="Y36" s="38">
        <f>BCA_Qtr!AT40</f>
        <v>0</v>
      </c>
      <c r="Z36" s="38">
        <f>BCA_Qtr!AY40</f>
        <v>0</v>
      </c>
      <c r="AA36" s="38">
        <f>BCA_Qtr!BD40</f>
        <v>0</v>
      </c>
      <c r="AB36" s="38">
        <f>BCA_Qtr!BI40</f>
        <v>0</v>
      </c>
      <c r="AC36" s="21">
        <v>0</v>
      </c>
      <c r="AD36" s="21">
        <v>0</v>
      </c>
      <c r="AE36" s="21">
        <v>0</v>
      </c>
      <c r="AF36" s="21">
        <v>0</v>
      </c>
      <c r="AG36" s="41"/>
      <c r="AH36" s="41"/>
      <c r="AI36" s="41"/>
      <c r="AJ36" s="41"/>
      <c r="AK36" s="41"/>
      <c r="AL36" s="41"/>
      <c r="AM36" s="41"/>
      <c r="AN36" s="41"/>
      <c r="AO36" s="41"/>
      <c r="AP36" s="41"/>
      <c r="AQ36" s="41"/>
    </row>
    <row r="37" spans="1:43">
      <c r="A37" s="1" t="s">
        <v>428</v>
      </c>
      <c r="B37" s="196"/>
      <c r="C37" s="196"/>
      <c r="D37" s="196"/>
      <c r="E37" s="196"/>
      <c r="F37" s="196"/>
      <c r="G37" s="196"/>
      <c r="H37" s="196"/>
      <c r="I37" s="196"/>
      <c r="J37" s="196"/>
      <c r="K37" s="196"/>
      <c r="L37" s="196"/>
      <c r="M37" s="196"/>
      <c r="N37" s="196"/>
      <c r="O37" s="196"/>
      <c r="P37" s="196"/>
      <c r="Q37" s="196">
        <f>BCA_Qtr!F41</f>
        <v>0</v>
      </c>
      <c r="R37" s="196">
        <f>BCA_Qtr!K41</f>
        <v>0</v>
      </c>
      <c r="S37" s="196">
        <f>BCA_Qtr!P41</f>
        <v>0</v>
      </c>
      <c r="T37" s="196">
        <f>BCA_Qtr!U41</f>
        <v>0</v>
      </c>
      <c r="U37" s="196">
        <f>BCA_Qtr!Z41</f>
        <v>0</v>
      </c>
      <c r="V37" s="196">
        <f>BCA_Qtr!AE41</f>
        <v>0</v>
      </c>
      <c r="W37" s="196">
        <f>BCA_Qtr!AJ41</f>
        <v>0</v>
      </c>
      <c r="X37" s="38">
        <f>BCA_Qtr!AO41</f>
        <v>0</v>
      </c>
      <c r="Y37" s="38">
        <f>BCA_Qtr!AT41</f>
        <v>0</v>
      </c>
      <c r="Z37" s="38">
        <f>BCA_Qtr!AY41</f>
        <v>0</v>
      </c>
      <c r="AA37" s="38">
        <f>BCA_Qtr!BD41</f>
        <v>0</v>
      </c>
      <c r="AB37" s="38">
        <f>BCA_Qtr!BI41</f>
        <v>0</v>
      </c>
      <c r="AC37" s="21">
        <v>0</v>
      </c>
      <c r="AD37" s="21">
        <v>0</v>
      </c>
      <c r="AE37" s="21">
        <v>0</v>
      </c>
      <c r="AF37" s="21">
        <v>0</v>
      </c>
      <c r="AG37" s="41"/>
      <c r="AH37" s="41"/>
      <c r="AI37" s="41"/>
      <c r="AJ37" s="41"/>
      <c r="AK37" s="41"/>
      <c r="AL37" s="41"/>
      <c r="AM37" s="41"/>
      <c r="AN37" s="41"/>
      <c r="AO37" s="41"/>
      <c r="AP37" s="41"/>
      <c r="AQ37" s="41"/>
    </row>
    <row r="38" spans="1:43" s="5" customFormat="1">
      <c r="A38" s="12" t="s">
        <v>11</v>
      </c>
      <c r="B38" s="330">
        <f t="shared" ref="B38:X38" si="13">SUM(B35:B37)</f>
        <v>0</v>
      </c>
      <c r="C38" s="330">
        <f t="shared" si="13"/>
        <v>0</v>
      </c>
      <c r="D38" s="330">
        <f t="shared" si="13"/>
        <v>0</v>
      </c>
      <c r="E38" s="330">
        <f t="shared" si="13"/>
        <v>0</v>
      </c>
      <c r="F38" s="330">
        <f t="shared" si="13"/>
        <v>0</v>
      </c>
      <c r="G38" s="330">
        <f t="shared" si="13"/>
        <v>0</v>
      </c>
      <c r="H38" s="330">
        <f t="shared" si="13"/>
        <v>0</v>
      </c>
      <c r="I38" s="330">
        <f t="shared" si="13"/>
        <v>0</v>
      </c>
      <c r="J38" s="330">
        <f t="shared" si="13"/>
        <v>0</v>
      </c>
      <c r="K38" s="330">
        <f t="shared" si="13"/>
        <v>0</v>
      </c>
      <c r="L38" s="330">
        <f t="shared" si="13"/>
        <v>0</v>
      </c>
      <c r="M38" s="330">
        <f t="shared" si="13"/>
        <v>0</v>
      </c>
      <c r="N38" s="330">
        <f t="shared" si="13"/>
        <v>0</v>
      </c>
      <c r="O38" s="330">
        <f t="shared" si="13"/>
        <v>0</v>
      </c>
      <c r="P38" s="330">
        <f t="shared" si="13"/>
        <v>0</v>
      </c>
      <c r="Q38" s="330">
        <f t="shared" si="13"/>
        <v>0</v>
      </c>
      <c r="R38" s="330">
        <f t="shared" si="13"/>
        <v>-2030</v>
      </c>
      <c r="S38" s="330">
        <f t="shared" si="13"/>
        <v>-376</v>
      </c>
      <c r="T38" s="330">
        <f t="shared" si="13"/>
        <v>-419</v>
      </c>
      <c r="U38" s="330">
        <f t="shared" si="13"/>
        <v>0</v>
      </c>
      <c r="V38" s="330">
        <f t="shared" si="13"/>
        <v>0</v>
      </c>
      <c r="W38" s="330">
        <f t="shared" si="13"/>
        <v>0</v>
      </c>
      <c r="X38" s="330">
        <f t="shared" si="13"/>
        <v>0</v>
      </c>
      <c r="Y38" s="330">
        <f t="shared" ref="Y38:Z38" si="14">SUM(Y35:Y37)</f>
        <v>0</v>
      </c>
      <c r="Z38" s="330">
        <f t="shared" si="14"/>
        <v>0</v>
      </c>
      <c r="AA38" s="330">
        <f t="shared" ref="AA38:AB38" si="15">SUM(AA35:AA37)</f>
        <v>0</v>
      </c>
      <c r="AB38" s="330">
        <f t="shared" si="15"/>
        <v>0</v>
      </c>
      <c r="AC38" s="330">
        <f>SUM(AC35:AC37)</f>
        <v>0</v>
      </c>
      <c r="AD38" s="330">
        <f>SUM(AD35:AD37)</f>
        <v>0</v>
      </c>
      <c r="AE38" s="330">
        <f>SUM(AE35:AE37)</f>
        <v>0</v>
      </c>
      <c r="AF38" s="330">
        <f>SUM(AF35:AF37)</f>
        <v>0</v>
      </c>
      <c r="AG38" s="81"/>
      <c r="AH38" s="81"/>
      <c r="AI38" s="81"/>
      <c r="AJ38" s="81"/>
      <c r="AK38" s="81"/>
      <c r="AL38" s="81"/>
      <c r="AM38" s="81"/>
      <c r="AN38" s="81"/>
      <c r="AO38" s="81"/>
      <c r="AP38" s="81"/>
      <c r="AQ38" s="81"/>
    </row>
    <row r="39" spans="1:43">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row>
    <row r="40" spans="1:43">
      <c r="A40" s="1" t="s">
        <v>342</v>
      </c>
      <c r="B40" s="23">
        <f t="shared" ref="B40:AA40" si="16">B32+B38</f>
        <v>0</v>
      </c>
      <c r="C40" s="23">
        <f t="shared" si="16"/>
        <v>0</v>
      </c>
      <c r="D40" s="23">
        <f t="shared" si="16"/>
        <v>0</v>
      </c>
      <c r="E40" s="23">
        <f t="shared" si="16"/>
        <v>0</v>
      </c>
      <c r="F40" s="23">
        <f t="shared" si="16"/>
        <v>0</v>
      </c>
      <c r="G40" s="23">
        <f t="shared" si="16"/>
        <v>0</v>
      </c>
      <c r="H40" s="23">
        <f t="shared" si="16"/>
        <v>0</v>
      </c>
      <c r="I40" s="23">
        <f t="shared" si="16"/>
        <v>0</v>
      </c>
      <c r="J40" s="23">
        <f t="shared" si="16"/>
        <v>0</v>
      </c>
      <c r="K40" s="23">
        <f t="shared" si="16"/>
        <v>0</v>
      </c>
      <c r="L40" s="23">
        <f t="shared" si="16"/>
        <v>0</v>
      </c>
      <c r="M40" s="23">
        <f t="shared" si="16"/>
        <v>0</v>
      </c>
      <c r="N40" s="23">
        <f t="shared" si="16"/>
        <v>0</v>
      </c>
      <c r="O40" s="23">
        <f t="shared" si="16"/>
        <v>0</v>
      </c>
      <c r="P40" s="23">
        <f t="shared" si="16"/>
        <v>0</v>
      </c>
      <c r="Q40" s="23">
        <f t="shared" si="16"/>
        <v>0</v>
      </c>
      <c r="R40" s="23">
        <f t="shared" si="16"/>
        <v>-3393</v>
      </c>
      <c r="S40" s="23">
        <f t="shared" si="16"/>
        <v>-376</v>
      </c>
      <c r="T40" s="23">
        <f t="shared" si="16"/>
        <v>-419</v>
      </c>
      <c r="U40" s="23">
        <f t="shared" si="16"/>
        <v>-8200</v>
      </c>
      <c r="V40" s="23">
        <f t="shared" si="16"/>
        <v>-9673</v>
      </c>
      <c r="W40" s="23">
        <f>W32+W38</f>
        <v>-5286</v>
      </c>
      <c r="X40" s="23">
        <f t="shared" si="16"/>
        <v>-4498</v>
      </c>
      <c r="Y40" s="23">
        <f t="shared" ref="Y40:Z40" si="17">Y32+Y38</f>
        <v>-1527</v>
      </c>
      <c r="Z40" s="23">
        <f t="shared" si="17"/>
        <v>-4350</v>
      </c>
      <c r="AA40" s="23">
        <f t="shared" si="16"/>
        <v>-4950</v>
      </c>
      <c r="AB40" s="23">
        <f t="shared" ref="AB40" si="18">AB32+AB38</f>
        <v>0</v>
      </c>
      <c r="AC40" s="23">
        <f>AC32+AC38</f>
        <v>0</v>
      </c>
      <c r="AD40" s="23">
        <f>AD32+AD38</f>
        <v>0</v>
      </c>
      <c r="AE40" s="23">
        <f>AE32+AE38</f>
        <v>0</v>
      </c>
      <c r="AF40" s="23">
        <f>AF32+AF38</f>
        <v>0</v>
      </c>
    </row>
    <row r="41" spans="1:43">
      <c r="A41" s="1" t="s">
        <v>210</v>
      </c>
      <c r="B41" s="23">
        <f t="shared" ref="B41:S41" si="19">B13-B40</f>
        <v>0</v>
      </c>
      <c r="C41" s="23">
        <f t="shared" si="19"/>
        <v>0</v>
      </c>
      <c r="D41" s="23">
        <f t="shared" si="19"/>
        <v>0</v>
      </c>
      <c r="E41" s="23">
        <f t="shared" si="19"/>
        <v>0</v>
      </c>
      <c r="F41" s="23">
        <f t="shared" si="19"/>
        <v>0</v>
      </c>
      <c r="G41" s="23">
        <f t="shared" si="19"/>
        <v>0</v>
      </c>
      <c r="H41" s="23">
        <f t="shared" si="19"/>
        <v>0</v>
      </c>
      <c r="I41" s="23">
        <f t="shared" si="19"/>
        <v>0</v>
      </c>
      <c r="J41" s="23">
        <f t="shared" si="19"/>
        <v>0</v>
      </c>
      <c r="K41" s="23">
        <f t="shared" si="19"/>
        <v>0</v>
      </c>
      <c r="L41" s="23">
        <f t="shared" si="19"/>
        <v>0</v>
      </c>
      <c r="M41" s="23">
        <f t="shared" si="19"/>
        <v>0</v>
      </c>
      <c r="N41" s="23">
        <f t="shared" si="19"/>
        <v>0</v>
      </c>
      <c r="O41" s="23">
        <f t="shared" si="19"/>
        <v>0</v>
      </c>
      <c r="P41" s="23">
        <f t="shared" si="19"/>
        <v>0</v>
      </c>
      <c r="Q41" s="23">
        <f t="shared" si="19"/>
        <v>0</v>
      </c>
      <c r="R41" s="23">
        <f>R13-R40</f>
        <v>5388</v>
      </c>
      <c r="S41" s="23">
        <f t="shared" si="19"/>
        <v>5828</v>
      </c>
      <c r="T41" s="23">
        <f t="shared" ref="T41:AA41" si="20">T13-T40</f>
        <v>8249</v>
      </c>
      <c r="U41" s="23">
        <f t="shared" si="20"/>
        <v>1543</v>
      </c>
      <c r="V41" s="23">
        <f t="shared" si="20"/>
        <v>-4174</v>
      </c>
      <c r="W41" s="23">
        <f t="shared" si="20"/>
        <v>-1189</v>
      </c>
      <c r="X41" s="23">
        <f t="shared" si="20"/>
        <v>2128</v>
      </c>
      <c r="Y41" s="23">
        <f t="shared" ref="Y41:Z41" si="21">Y13-Y40</f>
        <v>-108</v>
      </c>
      <c r="Z41" s="23">
        <f t="shared" si="21"/>
        <v>-3619</v>
      </c>
      <c r="AA41" s="23">
        <f t="shared" si="20"/>
        <v>-2129</v>
      </c>
      <c r="AB41" s="23">
        <f t="shared" ref="AB41" si="22">AB13-AB40</f>
        <v>-994.54108046655199</v>
      </c>
      <c r="AC41" s="23">
        <f>AC13-AC40</f>
        <v>4404.3018270386419</v>
      </c>
      <c r="AD41" s="23">
        <f>AD13-AD40</f>
        <v>5872.9448805597685</v>
      </c>
      <c r="AE41" s="23">
        <f>AE13-AE40</f>
        <v>6048.3802833766704</v>
      </c>
      <c r="AF41" s="23">
        <f>AF13-AF40</f>
        <v>6229.0787482780788</v>
      </c>
    </row>
    <row r="42" spans="1:43">
      <c r="A42" s="5" t="s">
        <v>537</v>
      </c>
      <c r="B42" s="333">
        <f>IFERROR(B41/B3,0)</f>
        <v>0</v>
      </c>
      <c r="C42" s="333">
        <f t="shared" ref="C42:AA42" si="23">IFERROR(C41/C3,0)</f>
        <v>0</v>
      </c>
      <c r="D42" s="333">
        <f t="shared" si="23"/>
        <v>0</v>
      </c>
      <c r="E42" s="333">
        <f t="shared" si="23"/>
        <v>0</v>
      </c>
      <c r="F42" s="333">
        <f t="shared" si="23"/>
        <v>0</v>
      </c>
      <c r="G42" s="333">
        <f t="shared" si="23"/>
        <v>0</v>
      </c>
      <c r="H42" s="333">
        <f t="shared" si="23"/>
        <v>0</v>
      </c>
      <c r="I42" s="333">
        <f t="shared" si="23"/>
        <v>0</v>
      </c>
      <c r="J42" s="333">
        <f t="shared" si="23"/>
        <v>0</v>
      </c>
      <c r="K42" s="333">
        <f t="shared" si="23"/>
        <v>0</v>
      </c>
      <c r="L42" s="333">
        <f t="shared" si="23"/>
        <v>0</v>
      </c>
      <c r="M42" s="333">
        <f t="shared" si="23"/>
        <v>0</v>
      </c>
      <c r="N42" s="333">
        <f t="shared" si="23"/>
        <v>0</v>
      </c>
      <c r="O42" s="333">
        <f t="shared" si="23"/>
        <v>0</v>
      </c>
      <c r="P42" s="333">
        <f t="shared" si="23"/>
        <v>0</v>
      </c>
      <c r="Q42" s="333">
        <f t="shared" si="23"/>
        <v>0</v>
      </c>
      <c r="R42" s="333">
        <f>IFERROR(R41/R3,0)</f>
        <v>9.2877335723643387E-2</v>
      </c>
      <c r="S42" s="333">
        <f t="shared" si="23"/>
        <v>0.100458510014824</v>
      </c>
      <c r="T42" s="333">
        <f t="shared" si="23"/>
        <v>0.14346336458025358</v>
      </c>
      <c r="U42" s="333">
        <f t="shared" si="23"/>
        <v>4.7837544566733843E-2</v>
      </c>
      <c r="V42" s="333">
        <f t="shared" si="23"/>
        <v>-0.25826011632223733</v>
      </c>
      <c r="W42" s="333">
        <f t="shared" si="23"/>
        <v>-6.0996255065921101E-2</v>
      </c>
      <c r="X42" s="333">
        <f t="shared" si="23"/>
        <v>8.2266981095604444E-2</v>
      </c>
      <c r="Y42" s="333">
        <f t="shared" ref="Y42:Z42" si="24">IFERROR(Y41/Y3,0)</f>
        <v>-3.1857467331347158E-3</v>
      </c>
      <c r="Z42" s="333">
        <f t="shared" si="24"/>
        <v>-0.15830453610953152</v>
      </c>
      <c r="AA42" s="333">
        <f t="shared" si="23"/>
        <v>-5.130862293343616E-2</v>
      </c>
      <c r="AB42" s="333">
        <f t="shared" ref="AB42" si="25">IFERROR(AB41/AB3,0)</f>
        <v>-1.9591801055863771E-2</v>
      </c>
      <c r="AC42" s="333">
        <f>IFERROR(AC41/AC3,0)</f>
        <v>7.6993714723356449E-2</v>
      </c>
      <c r="AD42" s="333">
        <f>IFERROR(AD41/AD3,0)</f>
        <v>9.8400495595175538E-2</v>
      </c>
      <c r="AE42" s="333">
        <f>IFERROR(AE41/AE3,0)</f>
        <v>9.8768300998959613E-2</v>
      </c>
      <c r="AF42" s="333">
        <f>IFERROR(AF41/AF3,0)</f>
        <v>9.9128122431682605E-2</v>
      </c>
    </row>
    <row r="43" spans="1:43">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row>
    <row r="44" spans="1:43">
      <c r="A44" s="14" t="s">
        <v>538</v>
      </c>
      <c r="B44" s="40">
        <f t="shared" ref="B44:AA44" si="26">B45*B3</f>
        <v>0</v>
      </c>
      <c r="C44" s="40">
        <f t="shared" si="26"/>
        <v>0</v>
      </c>
      <c r="D44" s="40">
        <f t="shared" si="26"/>
        <v>0</v>
      </c>
      <c r="E44" s="40">
        <f t="shared" si="26"/>
        <v>0</v>
      </c>
      <c r="F44" s="40">
        <f t="shared" si="26"/>
        <v>0</v>
      </c>
      <c r="G44" s="40">
        <f t="shared" si="26"/>
        <v>0</v>
      </c>
      <c r="H44" s="40">
        <f t="shared" si="26"/>
        <v>0</v>
      </c>
      <c r="I44" s="40">
        <f t="shared" si="26"/>
        <v>0</v>
      </c>
      <c r="J44" s="40">
        <f t="shared" si="26"/>
        <v>0</v>
      </c>
      <c r="K44" s="40">
        <f t="shared" si="26"/>
        <v>0</v>
      </c>
      <c r="L44" s="40">
        <f t="shared" si="26"/>
        <v>0</v>
      </c>
      <c r="M44" s="40">
        <f t="shared" si="26"/>
        <v>0</v>
      </c>
      <c r="N44" s="40">
        <f t="shared" si="26"/>
        <v>0</v>
      </c>
      <c r="O44" s="40">
        <f t="shared" si="26"/>
        <v>0</v>
      </c>
      <c r="P44" s="40">
        <f t="shared" si="26"/>
        <v>0</v>
      </c>
      <c r="Q44" s="40">
        <f t="shared" si="26"/>
        <v>0</v>
      </c>
      <c r="R44" s="40">
        <f t="shared" si="26"/>
        <v>6196.4529662669665</v>
      </c>
      <c r="S44" s="40">
        <f t="shared" si="26"/>
        <v>6385.6129583460015</v>
      </c>
      <c r="T44" s="40">
        <f t="shared" si="26"/>
        <v>7164.7562863623962</v>
      </c>
      <c r="U44" s="40">
        <f t="shared" si="26"/>
        <v>1915.4897919569978</v>
      </c>
      <c r="V44" s="40">
        <f t="shared" si="26"/>
        <v>580.31503995018772</v>
      </c>
      <c r="W44" s="40">
        <f t="shared" si="26"/>
        <v>654.58650761828392</v>
      </c>
      <c r="X44" s="40">
        <f t="shared" si="26"/>
        <v>425.94482797645992</v>
      </c>
      <c r="Y44" s="40">
        <f t="shared" ref="Y44:Z44" ca="1" si="27">Y45*Y3</f>
        <v>382.16378415835612</v>
      </c>
      <c r="Z44" s="40">
        <f t="shared" si="27"/>
        <v>-1675.975695160975</v>
      </c>
      <c r="AA44" s="40">
        <f t="shared" si="26"/>
        <v>-1033.6327493071424</v>
      </c>
      <c r="AB44" s="40">
        <f t="shared" ref="AB44" si="28">AB45*AB3</f>
        <v>-1019.3907042253519</v>
      </c>
      <c r="AC44" s="40">
        <f>AC45*AC3</f>
        <v>4379.2037070422539</v>
      </c>
      <c r="AD44" s="40">
        <f>AD45*AD3</f>
        <v>5847.8467605633805</v>
      </c>
      <c r="AE44" s="40">
        <f>AE45*AE3</f>
        <v>6023.2821633802823</v>
      </c>
      <c r="AF44" s="40">
        <f>AF45*AF3</f>
        <v>6203.9806282816908</v>
      </c>
    </row>
    <row r="45" spans="1:43">
      <c r="A45" s="334" t="s">
        <v>540</v>
      </c>
      <c r="B45" s="336">
        <f>BCA_Model_Annual!B44</f>
        <v>9.3715135738192637E-2</v>
      </c>
      <c r="C45" s="336">
        <f>BCA_Model_Annual!C44</f>
        <v>7.9501560360636492E-2</v>
      </c>
      <c r="D45" s="336">
        <f>BCA_Model_Annual!D44</f>
        <v>7.9785472563363616E-2</v>
      </c>
      <c r="E45" s="336">
        <f>BCA_Model_Annual!E44</f>
        <v>5.4110065359477127E-2</v>
      </c>
      <c r="F45" s="336">
        <f>BCA_Model_Annual!F44</f>
        <v>7.4210172152750525E-2</v>
      </c>
      <c r="G45" s="336">
        <f>BCA_Model_Annual!G44</f>
        <v>7.4945131416947697E-2</v>
      </c>
      <c r="H45" s="336">
        <f>BCA_Model_Annual!H44</f>
        <v>0.10410759666888221</v>
      </c>
      <c r="I45" s="336">
        <f>BCA_Model_Annual!I44</f>
        <v>0.11091521213636742</v>
      </c>
      <c r="J45" s="336">
        <f>BCA_Model_Annual!J44</f>
        <v>0.11255929100441042</v>
      </c>
      <c r="K45" s="336">
        <f>BCA_Model_Annual!K44</f>
        <v>0.11357528037846956</v>
      </c>
      <c r="L45" s="336">
        <f>BCA_Model_Annual!L44</f>
        <v>0.11969575806041219</v>
      </c>
      <c r="M45" s="336">
        <f>BCA_Model_Annual!M44</f>
        <v>0.11252662130534598</v>
      </c>
      <c r="N45" s="336">
        <f>BCA_Model_Annual!N44</f>
        <v>0.10523533378287256</v>
      </c>
      <c r="O45" s="336">
        <f>BCA_Model_Annual!O44</f>
        <v>0.11949050315879864</v>
      </c>
      <c r="P45" s="336">
        <f>BCA_Model_Annual!P44</f>
        <v>0.11733125836922298</v>
      </c>
      <c r="Q45" s="336">
        <f>BCA_Model_Annual!Q44</f>
        <v>0.10631839554429148</v>
      </c>
      <c r="R45" s="336">
        <f>BCA_Model_Annual!R44</f>
        <v>0.10681329666736135</v>
      </c>
      <c r="S45" s="336">
        <f>BCA_Model_Annual!S44</f>
        <v>0.11007020647336853</v>
      </c>
      <c r="T45" s="336">
        <f>BCA_Model_Annual!T44</f>
        <v>0.12460662422585429</v>
      </c>
      <c r="U45" s="336">
        <f>BCA_Model_Annual!U44</f>
        <v>5.938582520406132E-2</v>
      </c>
      <c r="V45" s="336">
        <f>BCA_Model_Annual!V44</f>
        <v>3.590614032608512E-2</v>
      </c>
      <c r="W45" s="336">
        <f>BCA_Model_Annual!W44</f>
        <v>3.3580593424218125E-2</v>
      </c>
      <c r="X45" s="336">
        <f>BCA_Model_Annual!X44</f>
        <v>1.646672702580353E-2</v>
      </c>
      <c r="Y45" s="336">
        <f ca="1">BCA_Model_Annual!Y44</f>
        <v>1.1272935434304479E-2</v>
      </c>
      <c r="Z45" s="336">
        <f>BCA_Model_Annual!Z44</f>
        <v>-7.3311565336642098E-2</v>
      </c>
      <c r="AA45" s="336">
        <f>BCA_Model_Annual!AA44</f>
        <v>-2.4910414742062525E-2</v>
      </c>
      <c r="AB45" s="336">
        <f>BCA_Model_Annual!AB44</f>
        <v>-2.0081322197380708E-2</v>
      </c>
      <c r="AC45" s="336">
        <f>BCA_Model_Annual!AC44</f>
        <v>7.6554962438208515E-2</v>
      </c>
      <c r="AD45" s="336">
        <f>BCA_Model_Annual!AD44</f>
        <v>9.7979979568483935E-2</v>
      </c>
      <c r="AE45" s="336">
        <f>BCA_Model_Annual!AE44</f>
        <v>9.8358455957118535E-2</v>
      </c>
      <c r="AF45" s="336">
        <f>BCA_Model_Annual!AF44</f>
        <v>9.8728716739067982E-2</v>
      </c>
    </row>
    <row r="46" spans="1:43">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row>
    <row r="47" spans="1:43">
      <c r="A47" t="s">
        <v>539</v>
      </c>
      <c r="B47" s="76">
        <f t="shared" ref="B47:S47" si="29">B41-B44</f>
        <v>0</v>
      </c>
      <c r="C47" s="76">
        <f t="shared" si="29"/>
        <v>0</v>
      </c>
      <c r="D47" s="76">
        <f t="shared" si="29"/>
        <v>0</v>
      </c>
      <c r="E47" s="76">
        <f t="shared" si="29"/>
        <v>0</v>
      </c>
      <c r="F47" s="76">
        <f t="shared" si="29"/>
        <v>0</v>
      </c>
      <c r="G47" s="76">
        <f t="shared" si="29"/>
        <v>0</v>
      </c>
      <c r="H47" s="76">
        <f t="shared" si="29"/>
        <v>0</v>
      </c>
      <c r="I47" s="76">
        <f t="shared" si="29"/>
        <v>0</v>
      </c>
      <c r="J47" s="76">
        <f t="shared" si="29"/>
        <v>0</v>
      </c>
      <c r="K47" s="76">
        <f t="shared" si="29"/>
        <v>0</v>
      </c>
      <c r="L47" s="76">
        <f t="shared" si="29"/>
        <v>0</v>
      </c>
      <c r="M47" s="76">
        <f t="shared" si="29"/>
        <v>0</v>
      </c>
      <c r="N47" s="76">
        <f t="shared" si="29"/>
        <v>0</v>
      </c>
      <c r="O47" s="76">
        <f t="shared" si="29"/>
        <v>0</v>
      </c>
      <c r="P47" s="76">
        <f t="shared" si="29"/>
        <v>0</v>
      </c>
      <c r="Q47" s="76">
        <f t="shared" si="29"/>
        <v>0</v>
      </c>
      <c r="R47" s="76">
        <f t="shared" si="29"/>
        <v>-808.45296626696654</v>
      </c>
      <c r="S47" s="76">
        <f t="shared" si="29"/>
        <v>-557.61295834600151</v>
      </c>
      <c r="T47" s="76">
        <f>T41-T44</f>
        <v>1084.2437136376038</v>
      </c>
      <c r="U47" s="76">
        <f t="shared" ref="U47:AA47" si="30">U41-U44</f>
        <v>-372.48979195699781</v>
      </c>
      <c r="V47" s="76">
        <f t="shared" si="30"/>
        <v>-4754.3150399501874</v>
      </c>
      <c r="W47" s="76">
        <f>W41-W44</f>
        <v>-1843.586507618284</v>
      </c>
      <c r="X47" s="76">
        <f t="shared" si="30"/>
        <v>1702.0551720235401</v>
      </c>
      <c r="Y47" s="76">
        <f t="shared" ref="Y47:Z47" ca="1" si="31">Y41-Y44</f>
        <v>-490.16378415835612</v>
      </c>
      <c r="Z47" s="76">
        <f t="shared" si="31"/>
        <v>-1943.024304839025</v>
      </c>
      <c r="AA47" s="76">
        <f t="shared" si="30"/>
        <v>-1095.3672506928576</v>
      </c>
      <c r="AB47" s="76">
        <f t="shared" ref="AB47" si="32">AB41-AB44</f>
        <v>24.849623758799908</v>
      </c>
      <c r="AC47" s="76">
        <f>AC41-AC44</f>
        <v>25.09811999638805</v>
      </c>
      <c r="AD47" s="76">
        <f>AD41-AD44</f>
        <v>25.09811999638805</v>
      </c>
      <c r="AE47" s="76">
        <f>AE41-AE44</f>
        <v>25.09811999638805</v>
      </c>
      <c r="AF47" s="76">
        <f>AF41-AF44</f>
        <v>25.09811999638805</v>
      </c>
    </row>
    <row r="51" spans="25:25">
      <c r="Y51" s="297"/>
    </row>
  </sheetData>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11"/>
  <dimension ref="A1:BL58"/>
  <sheetViews>
    <sheetView showGridLines="0" tabSelected="1" zoomScaleNormal="100" workbookViewId="0">
      <pane xSplit="1" ySplit="2" topLeftCell="AW21" activePane="bottomRight" state="frozen"/>
      <selection activeCell="K31" sqref="K31"/>
      <selection pane="topRight" activeCell="K31" sqref="K31"/>
      <selection pane="bottomLeft" activeCell="K31" sqref="K31"/>
      <selection pane="bottomRight" activeCell="BI19" sqref="BI19"/>
    </sheetView>
  </sheetViews>
  <sheetFormatPr defaultColWidth="9.1796875" defaultRowHeight="14.5" outlineLevelCol="1"/>
  <cols>
    <col min="1" max="1" width="47.81640625" customWidth="1"/>
    <col min="2" max="5" width="12.26953125" style="26" hidden="1" customWidth="1" outlineLevel="1"/>
    <col min="6" max="6" width="12.26953125" style="26" customWidth="1" collapsed="1"/>
    <col min="7" max="10" width="12.26953125" style="26" hidden="1" customWidth="1" outlineLevel="1"/>
    <col min="11" max="11" width="12.26953125" style="26" customWidth="1" collapsed="1"/>
    <col min="12" max="15" width="12.26953125" style="26" hidden="1" customWidth="1" outlineLevel="1"/>
    <col min="16" max="16" width="12.26953125" style="26" customWidth="1" collapsed="1"/>
    <col min="17" max="20" width="12.26953125" style="26" hidden="1" customWidth="1" outlineLevel="1"/>
    <col min="21" max="21" width="12.26953125" style="26" customWidth="1" collapsed="1"/>
    <col min="22" max="25" width="12.26953125" style="26" hidden="1" customWidth="1" outlineLevel="1"/>
    <col min="26" max="26" width="12.26953125" style="26" customWidth="1" collapsed="1"/>
    <col min="27" max="30" width="12.26953125" style="26" customWidth="1" outlineLevel="1"/>
    <col min="31" max="31" width="12.26953125" style="26" customWidth="1"/>
    <col min="32" max="35" width="12.26953125" style="26" customWidth="1" outlineLevel="1"/>
    <col min="36" max="36" width="12.26953125" style="26" customWidth="1"/>
    <col min="37" max="40" width="12.26953125" style="26" customWidth="1" outlineLevel="1"/>
    <col min="41" max="41" width="12.26953125" style="26" customWidth="1"/>
    <col min="42" max="45" width="12.26953125" style="26" customWidth="1" outlineLevel="1"/>
    <col min="46" max="46" width="12.26953125" style="26" customWidth="1"/>
    <col min="47" max="50" width="12.26953125" style="26" customWidth="1" outlineLevel="1"/>
    <col min="51" max="51" width="12.26953125" style="26" customWidth="1"/>
    <col min="52" max="55" width="12.26953125" style="26" customWidth="1" outlineLevel="1"/>
    <col min="56" max="56" width="12.26953125" style="26" customWidth="1"/>
    <col min="57" max="60" width="12.26953125" style="26" customWidth="1" outlineLevel="1"/>
    <col min="61" max="61" width="12.26953125" style="26" customWidth="1"/>
  </cols>
  <sheetData>
    <row r="1" spans="1:64">
      <c r="A1" s="15" t="s">
        <v>349</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row>
    <row r="2" spans="1:64">
      <c r="A2" s="7"/>
      <c r="B2" s="106" t="str">
        <f>Income_Statement_Qtr!B2</f>
        <v>1Q15A</v>
      </c>
      <c r="C2" s="106" t="str">
        <f>Income_Statement_Qtr!C2</f>
        <v>2Q15A</v>
      </c>
      <c r="D2" s="106" t="str">
        <f>Income_Statement_Qtr!D2</f>
        <v>3Q15A</v>
      </c>
      <c r="E2" s="106" t="str">
        <f>Income_Statement_Qtr!E2</f>
        <v>4Q15A</v>
      </c>
      <c r="F2" s="107" t="str">
        <f>Income_Statement_Qtr!F2</f>
        <v>CY2015A</v>
      </c>
      <c r="G2" s="106" t="str">
        <f>Income_Statement_Qtr!G2</f>
        <v>1Q16A</v>
      </c>
      <c r="H2" s="106" t="str">
        <f>Income_Statement_Qtr!H2</f>
        <v>2Q16A</v>
      </c>
      <c r="I2" s="106" t="str">
        <f>Income_Statement_Qtr!I2</f>
        <v>3Q16A</v>
      </c>
      <c r="J2" s="106" t="str">
        <f>Income_Statement_Qtr!J2</f>
        <v>4Q16A</v>
      </c>
      <c r="K2" s="107" t="str">
        <f>Income_Statement_Qtr!K2</f>
        <v>CY2016A</v>
      </c>
      <c r="L2" s="106" t="str">
        <f>Income_Statement_Qtr!L2</f>
        <v>1Q17A</v>
      </c>
      <c r="M2" s="106" t="str">
        <f>Income_Statement_Qtr!M2</f>
        <v>2Q17A</v>
      </c>
      <c r="N2" s="106" t="str">
        <f>Income_Statement_Qtr!N2</f>
        <v>3Q17A</v>
      </c>
      <c r="O2" s="106" t="str">
        <f>Income_Statement_Qtr!O2</f>
        <v>4Q17A</v>
      </c>
      <c r="P2" s="107" t="str">
        <f>Income_Statement_Qtr!P2</f>
        <v>CY2017A</v>
      </c>
      <c r="Q2" s="106" t="str">
        <f>Income_Statement_Qtr!Q2</f>
        <v>1Q18A</v>
      </c>
      <c r="R2" s="106" t="str">
        <f>Income_Statement_Qtr!R2</f>
        <v>2Q18A</v>
      </c>
      <c r="S2" s="106" t="str">
        <f>Income_Statement_Qtr!S2</f>
        <v>3Q18A</v>
      </c>
      <c r="T2" s="106" t="str">
        <f>Income_Statement_Qtr!T2</f>
        <v>4Q18A</v>
      </c>
      <c r="U2" s="107" t="str">
        <f>Income_Statement_Qtr!U2</f>
        <v>CY2018A</v>
      </c>
      <c r="V2" s="106" t="str">
        <f>Income_Statement_Qtr!V2</f>
        <v>1Q19A</v>
      </c>
      <c r="W2" s="106" t="str">
        <f>Income_Statement_Qtr!W2</f>
        <v>2Q19A</v>
      </c>
      <c r="X2" s="106" t="str">
        <f>Income_Statement_Qtr!X2</f>
        <v>3Q19A</v>
      </c>
      <c r="Y2" s="106" t="str">
        <f>Income_Statement_Qtr!Y2</f>
        <v>4Q19A</v>
      </c>
      <c r="Z2" s="107" t="str">
        <f>Income_Statement_Qtr!Z2</f>
        <v>CY2019A</v>
      </c>
      <c r="AA2" s="106" t="str">
        <f>Income_Statement_Qtr!AA2</f>
        <v>1Q20A</v>
      </c>
      <c r="AB2" s="106" t="str">
        <f>Income_Statement_Qtr!AB2</f>
        <v>2Q20A</v>
      </c>
      <c r="AC2" s="106" t="str">
        <f>Income_Statement_Qtr!AC2</f>
        <v>3Q20A</v>
      </c>
      <c r="AD2" s="106" t="str">
        <f>Income_Statement_Qtr!AD2</f>
        <v>4Q20A</v>
      </c>
      <c r="AE2" s="107" t="str">
        <f>Income_Statement_Qtr!AE2</f>
        <v>CY2020E</v>
      </c>
      <c r="AF2" s="106" t="str">
        <f>Income_Statement_Qtr!AF2</f>
        <v>1Q21A</v>
      </c>
      <c r="AG2" s="106" t="str">
        <f>Income_Statement_Qtr!AG2</f>
        <v>2Q21A</v>
      </c>
      <c r="AH2" s="106" t="str">
        <f>Income_Statement_Qtr!AH2</f>
        <v>3Q21A</v>
      </c>
      <c r="AI2" s="106" t="str">
        <f>Income_Statement_Qtr!AI2</f>
        <v>4Q21A</v>
      </c>
      <c r="AJ2" s="107" t="str">
        <f>Income_Statement_Qtr!AJ2</f>
        <v>CY2021A</v>
      </c>
      <c r="AK2" s="106" t="str">
        <f>Income_Statement_Qtr!AK2</f>
        <v>1Q22A</v>
      </c>
      <c r="AL2" s="106" t="str">
        <f>Income_Statement_Qtr!AL2</f>
        <v>2Q22A</v>
      </c>
      <c r="AM2" s="106" t="str">
        <f>Income_Statement_Qtr!AM2</f>
        <v>3Q22A</v>
      </c>
      <c r="AN2" s="106" t="str">
        <f>Income_Statement_Qtr!AN2</f>
        <v>4Q22A</v>
      </c>
      <c r="AO2" s="107" t="str">
        <f>Income_Statement_Qtr!AO2</f>
        <v>CY2022A</v>
      </c>
      <c r="AP2" s="106" t="str">
        <f>Income_Statement_Qtr!AP2</f>
        <v>1Q23A</v>
      </c>
      <c r="AQ2" s="106" t="str">
        <f>Income_Statement_Qtr!AQ2</f>
        <v>2Q23A</v>
      </c>
      <c r="AR2" s="106" t="str">
        <f>Income_Statement_Qtr!AR2</f>
        <v>3Q23A</v>
      </c>
      <c r="AS2" s="106" t="str">
        <f>Income_Statement_Qtr!AS2</f>
        <v>4Q23A</v>
      </c>
      <c r="AT2" s="107" t="str">
        <f>Income_Statement_Qtr!AT2</f>
        <v>CY2023A</v>
      </c>
      <c r="AU2" s="106" t="str">
        <f>Income_Statement_Qtr!AU2</f>
        <v>1Q24A</v>
      </c>
      <c r="AV2" s="106" t="str">
        <f>Income_Statement_Qtr!AV2</f>
        <v>2Q24A</v>
      </c>
      <c r="AW2" s="106" t="str">
        <f>Income_Statement_Qtr!AW2</f>
        <v>3Q24A</v>
      </c>
      <c r="AX2" s="106" t="str">
        <f>Income_Statement_Qtr!AX2</f>
        <v>4Q24A</v>
      </c>
      <c r="AY2" s="107" t="str">
        <f>Income_Statement_Qtr!AY2</f>
        <v>CY2024A</v>
      </c>
      <c r="AZ2" s="106" t="str">
        <f>Income_Statement_Qtr!AZ2</f>
        <v>1Q25A</v>
      </c>
      <c r="BA2" s="106" t="str">
        <f>Income_Statement_Qtr!BA2</f>
        <v>2Q25A</v>
      </c>
      <c r="BB2" s="106" t="str">
        <f>Income_Statement_Qtr!BB2</f>
        <v>3Q25A</v>
      </c>
      <c r="BC2" s="106" t="str">
        <f>Income_Statement_Qtr!BC2</f>
        <v>4Q25A</v>
      </c>
      <c r="BD2" s="107" t="str">
        <f>Income_Statement_Qtr!BD2</f>
        <v>CY2025A</v>
      </c>
      <c r="BE2" s="106" t="str">
        <f>Income_Statement_Qtr!BE2</f>
        <v>1Q26E</v>
      </c>
      <c r="BF2" s="106" t="str">
        <f>Income_Statement_Qtr!BF2</f>
        <v>2Q26E</v>
      </c>
      <c r="BG2" s="106" t="str">
        <f>Income_Statement_Qtr!BG2</f>
        <v>3Q26E</v>
      </c>
      <c r="BH2" s="106" t="str">
        <f>Income_Statement_Qtr!BH2</f>
        <v>4Q26E</v>
      </c>
      <c r="BI2" s="107" t="str">
        <f>Income_Statement_Qtr!BI2</f>
        <v>CY2026E</v>
      </c>
    </row>
    <row r="3" spans="1:64">
      <c r="A3" s="9" t="s">
        <v>0</v>
      </c>
      <c r="B3" s="30"/>
      <c r="C3" s="30"/>
      <c r="D3" s="71"/>
      <c r="E3" s="24"/>
      <c r="F3" s="178"/>
      <c r="G3" s="30">
        <v>12787</v>
      </c>
      <c r="H3" s="30">
        <v>15643</v>
      </c>
      <c r="I3" s="30">
        <v>15200</v>
      </c>
      <c r="J3" s="24">
        <f>+K3-SUM(G3,H3,I3)</f>
        <v>14382</v>
      </c>
      <c r="K3" s="31">
        <v>58012</v>
      </c>
      <c r="L3" s="30">
        <v>12953</v>
      </c>
      <c r="M3" s="30">
        <v>14280</v>
      </c>
      <c r="N3" s="30">
        <v>15393</v>
      </c>
      <c r="O3" s="24">
        <f>+P3-SUM(L3,M3,N3)</f>
        <v>15388</v>
      </c>
      <c r="P3" s="31">
        <v>58014</v>
      </c>
      <c r="Q3" s="30">
        <v>12945</v>
      </c>
      <c r="R3" s="30">
        <v>13952</v>
      </c>
      <c r="S3" s="30">
        <v>14071</v>
      </c>
      <c r="T3" s="24">
        <f>+U3-SUM(Q3,R3,S3)</f>
        <v>16531</v>
      </c>
      <c r="U3" s="31">
        <v>57499</v>
      </c>
      <c r="V3" s="30">
        <v>11822</v>
      </c>
      <c r="W3" s="30">
        <v>4722</v>
      </c>
      <c r="X3" s="30">
        <v>8249</v>
      </c>
      <c r="Y3" s="24">
        <f>+Z3-SUM(V3,W3,X3)</f>
        <v>7462</v>
      </c>
      <c r="Z3" s="31">
        <v>32255</v>
      </c>
      <c r="AA3" s="30">
        <v>6205</v>
      </c>
      <c r="AB3" s="30">
        <v>1633</v>
      </c>
      <c r="AC3" s="30">
        <v>3596</v>
      </c>
      <c r="AD3" s="24">
        <f>+AE3-SUM(AA3,AB3,AC3)</f>
        <v>4728</v>
      </c>
      <c r="AE3" s="31">
        <v>16162</v>
      </c>
      <c r="AF3" s="30">
        <v>4269</v>
      </c>
      <c r="AG3" s="30">
        <v>6015</v>
      </c>
      <c r="AH3" s="30">
        <v>4459</v>
      </c>
      <c r="AI3" s="24">
        <f>+AJ3-SUM(AF3,AG3,AH3)</f>
        <v>4750</v>
      </c>
      <c r="AJ3" s="31">
        <v>19493</v>
      </c>
      <c r="AK3" s="30">
        <v>4161</v>
      </c>
      <c r="AL3" s="30">
        <v>6219</v>
      </c>
      <c r="AM3" s="30">
        <v>6263</v>
      </c>
      <c r="AN3" s="24">
        <f>+AO3-SUM(AK3,AL3,AM3)</f>
        <v>9224</v>
      </c>
      <c r="AO3" s="31">
        <v>25867</v>
      </c>
      <c r="AP3" s="30">
        <v>6704</v>
      </c>
      <c r="AQ3" s="30">
        <v>8840</v>
      </c>
      <c r="AR3" s="30">
        <v>7876</v>
      </c>
      <c r="AS3" s="24">
        <f>+AT3-SUM(AP3,AQ3,AR3)</f>
        <v>10481</v>
      </c>
      <c r="AT3" s="31">
        <v>33901</v>
      </c>
      <c r="AU3" s="30">
        <v>4653</v>
      </c>
      <c r="AV3" s="30">
        <v>6003</v>
      </c>
      <c r="AW3" s="30">
        <v>7443</v>
      </c>
      <c r="AX3" s="24">
        <f>AY3-SUM(AU3:AW3)</f>
        <v>4762</v>
      </c>
      <c r="AY3" s="31">
        <v>22861</v>
      </c>
      <c r="AZ3" s="30">
        <v>8147</v>
      </c>
      <c r="BA3" s="30">
        <v>10874</v>
      </c>
      <c r="BB3" s="30">
        <v>11094</v>
      </c>
      <c r="BC3" s="24">
        <f>BD3-SUM(AZ3:BB3)</f>
        <v>11379</v>
      </c>
      <c r="BD3" s="31">
        <v>41494</v>
      </c>
      <c r="BE3" s="71">
        <f>BCA_Deliveries_Qtr!BE30</f>
        <v>12690.781690140844</v>
      </c>
      <c r="BF3" s="71">
        <f>BCA_Deliveries_Qtr!BF30</f>
        <v>12690.781690140844</v>
      </c>
      <c r="BG3" s="71">
        <f>BCA_Deliveries_Qtr!BG30</f>
        <v>12690.781690140844</v>
      </c>
      <c r="BH3" s="24">
        <f>BI3-SUM(BE3:BG3)</f>
        <v>12690.781690140844</v>
      </c>
      <c r="BI3" s="178">
        <f>BCA_Model_Annual!AB32</f>
        <v>50763.126760563377</v>
      </c>
    </row>
    <row r="4" spans="1:64">
      <c r="A4" s="1" t="s">
        <v>4</v>
      </c>
      <c r="B4" s="22"/>
      <c r="C4" s="22"/>
      <c r="D4" s="22"/>
      <c r="E4" s="35"/>
      <c r="F4" s="36"/>
      <c r="G4" s="34"/>
      <c r="H4" s="35"/>
      <c r="I4" s="35"/>
      <c r="J4" s="35"/>
      <c r="K4" s="36"/>
      <c r="L4" s="34">
        <f t="shared" ref="L4:AH4" si="0">L3/G3-1</f>
        <v>1.2981934777508419E-2</v>
      </c>
      <c r="M4" s="35">
        <f t="shared" si="0"/>
        <v>-8.7131624368727234E-2</v>
      </c>
      <c r="N4" s="35">
        <f t="shared" si="0"/>
        <v>1.2697368421052735E-2</v>
      </c>
      <c r="O4" s="35">
        <f t="shared" si="0"/>
        <v>6.9948546794604383E-2</v>
      </c>
      <c r="P4" s="36">
        <f t="shared" si="0"/>
        <v>3.447562573266616E-5</v>
      </c>
      <c r="Q4" s="34">
        <f t="shared" si="0"/>
        <v>-6.1761754033817784E-4</v>
      </c>
      <c r="R4" s="35">
        <f t="shared" si="0"/>
        <v>-2.2969187675070057E-2</v>
      </c>
      <c r="S4" s="35">
        <f t="shared" si="0"/>
        <v>-8.5883193659455626E-2</v>
      </c>
      <c r="T4" s="35">
        <f t="shared" si="0"/>
        <v>7.4278658695086985E-2</v>
      </c>
      <c r="U4" s="36">
        <f t="shared" si="0"/>
        <v>-8.8771675802392647E-3</v>
      </c>
      <c r="V4" s="34">
        <f t="shared" si="0"/>
        <v>-8.6751641560448012E-2</v>
      </c>
      <c r="W4" s="35">
        <f t="shared" si="0"/>
        <v>-0.66155389908256879</v>
      </c>
      <c r="X4" s="35">
        <f t="shared" si="0"/>
        <v>-0.41375879468410204</v>
      </c>
      <c r="Y4" s="35">
        <f t="shared" si="0"/>
        <v>-0.5486056499909262</v>
      </c>
      <c r="Z4" s="36">
        <f t="shared" si="0"/>
        <v>-0.43903372232560567</v>
      </c>
      <c r="AA4" s="34">
        <f t="shared" si="0"/>
        <v>-0.475131111487058</v>
      </c>
      <c r="AB4" s="34">
        <f t="shared" si="0"/>
        <v>-0.65417196103346043</v>
      </c>
      <c r="AC4" s="34">
        <f t="shared" si="0"/>
        <v>-0.56406837192386949</v>
      </c>
      <c r="AD4" s="35">
        <f t="shared" si="0"/>
        <v>-0.36638970785312253</v>
      </c>
      <c r="AE4" s="36">
        <f t="shared" si="0"/>
        <v>-0.49893039838784681</v>
      </c>
      <c r="AF4" s="34">
        <f t="shared" si="0"/>
        <v>-0.31200644641418207</v>
      </c>
      <c r="AG4" s="34">
        <f t="shared" si="0"/>
        <v>2.6834047764849971</v>
      </c>
      <c r="AH4" s="34">
        <f t="shared" si="0"/>
        <v>0.23998887652947709</v>
      </c>
      <c r="AI4" s="35">
        <f t="shared" ref="AI4:AR4" si="1">AI3/AD3-1</f>
        <v>4.6531302876480218E-3</v>
      </c>
      <c r="AJ4" s="36">
        <f t="shared" si="1"/>
        <v>0.20610073010765984</v>
      </c>
      <c r="AK4" s="34">
        <f t="shared" si="1"/>
        <v>-2.5298664792691494E-2</v>
      </c>
      <c r="AL4" s="34">
        <f t="shared" si="1"/>
        <v>3.3915211970074743E-2</v>
      </c>
      <c r="AM4" s="34">
        <f t="shared" si="1"/>
        <v>0.4045750168199147</v>
      </c>
      <c r="AN4" s="35">
        <f t="shared" ref="AN4" si="2">AN3/AI3-1</f>
        <v>0.94189473684210534</v>
      </c>
      <c r="AO4" s="36">
        <f t="shared" ref="AO4" si="3">AO3/AJ3-1</f>
        <v>0.32698917560149798</v>
      </c>
      <c r="AP4" s="34">
        <f t="shared" si="1"/>
        <v>0.61115116558519578</v>
      </c>
      <c r="AQ4" s="34">
        <f t="shared" si="1"/>
        <v>0.42145039395401196</v>
      </c>
      <c r="AR4" s="34">
        <f t="shared" si="1"/>
        <v>0.25754430783969351</v>
      </c>
      <c r="AS4" s="35">
        <f t="shared" ref="AS4" si="4">AS3/AN3-1</f>
        <v>0.13627493495229825</v>
      </c>
      <c r="AT4" s="36">
        <f t="shared" ref="AT4:BD4" si="5">AT3/AO3-1</f>
        <v>0.31058878107240884</v>
      </c>
      <c r="AU4" s="34">
        <f t="shared" si="5"/>
        <v>-0.30593675417661093</v>
      </c>
      <c r="AV4" s="34">
        <f t="shared" si="5"/>
        <v>-0.32092760180995472</v>
      </c>
      <c r="AW4" s="34">
        <f t="shared" si="5"/>
        <v>-5.4977145759268709E-2</v>
      </c>
      <c r="AX4" s="35">
        <f t="shared" ref="AX4" si="6">AX3/AS3-1</f>
        <v>-0.54565404064497658</v>
      </c>
      <c r="AY4" s="36">
        <f t="shared" si="5"/>
        <v>-0.32565411049821535</v>
      </c>
      <c r="AZ4" s="34">
        <f t="shared" si="5"/>
        <v>0.75091338921126161</v>
      </c>
      <c r="BA4" s="34">
        <f t="shared" si="5"/>
        <v>0.81142761952357145</v>
      </c>
      <c r="BB4" s="34">
        <f t="shared" si="5"/>
        <v>0.49052801289802495</v>
      </c>
      <c r="BC4" s="35">
        <f t="shared" ref="BC4" si="7">BC3/AX3-1</f>
        <v>1.3895422091558167</v>
      </c>
      <c r="BD4" s="36">
        <f t="shared" si="5"/>
        <v>0.81505620926468669</v>
      </c>
      <c r="BE4" s="34">
        <f t="shared" ref="BE4:BG4" si="8">BE3/AZ3-1</f>
        <v>0.55772452315463905</v>
      </c>
      <c r="BF4" s="34">
        <f t="shared" si="8"/>
        <v>0.16707574858753405</v>
      </c>
      <c r="BG4" s="34">
        <f t="shared" si="8"/>
        <v>0.14393200740407819</v>
      </c>
      <c r="BH4" s="35">
        <f t="shared" ref="BH4" si="9">BH3/BC3-1</f>
        <v>0.1152809289164991</v>
      </c>
      <c r="BI4" s="36">
        <f t="shared" ref="BI4" si="10">BI3/BD3-1</f>
        <v>0.22338474865193469</v>
      </c>
      <c r="BL4" s="277"/>
    </row>
    <row r="5" spans="1:64">
      <c r="A5" s="1"/>
      <c r="B5" s="22"/>
      <c r="C5" s="22"/>
      <c r="D5" s="22"/>
      <c r="E5" s="22"/>
      <c r="F5" s="23"/>
      <c r="G5" s="22"/>
      <c r="H5" s="22"/>
      <c r="I5" s="22"/>
      <c r="J5" s="22"/>
      <c r="K5" s="23"/>
      <c r="L5" s="22"/>
      <c r="M5" s="22"/>
      <c r="N5" s="22"/>
      <c r="O5" s="22"/>
      <c r="P5" s="23"/>
      <c r="Q5" s="22"/>
      <c r="R5" s="22"/>
      <c r="S5" s="22"/>
      <c r="T5" s="22"/>
      <c r="U5" s="23"/>
      <c r="V5" s="22"/>
      <c r="W5" s="22"/>
      <c r="X5" s="22"/>
      <c r="Y5" s="22"/>
      <c r="Z5" s="23"/>
      <c r="AA5" s="22"/>
      <c r="AB5" s="22"/>
      <c r="AC5" s="22"/>
      <c r="AD5" s="22"/>
      <c r="AE5" s="23"/>
      <c r="AF5" s="22"/>
      <c r="AG5" s="22"/>
      <c r="AH5" s="22"/>
      <c r="AI5" s="22"/>
      <c r="AJ5" s="23"/>
      <c r="AK5" s="22"/>
      <c r="AL5" s="22"/>
      <c r="AM5" s="22"/>
      <c r="AN5" s="22"/>
      <c r="AO5" s="23"/>
      <c r="AP5" s="22"/>
      <c r="AQ5" s="22"/>
      <c r="AR5" s="22"/>
      <c r="AS5" s="22"/>
      <c r="AT5" s="23"/>
      <c r="AU5" s="22"/>
      <c r="AV5" s="22"/>
      <c r="AW5" s="22"/>
      <c r="AX5" s="22"/>
      <c r="AY5" s="23"/>
      <c r="AZ5" s="22"/>
      <c r="BA5" s="22"/>
      <c r="BB5" s="22"/>
      <c r="BC5" s="22"/>
      <c r="BD5" s="23"/>
      <c r="BE5" s="22"/>
      <c r="BF5" s="22"/>
      <c r="BG5" s="22"/>
      <c r="BH5" s="22"/>
      <c r="BI5" s="23"/>
    </row>
    <row r="6" spans="1:64">
      <c r="A6" s="7" t="s">
        <v>293</v>
      </c>
      <c r="B6" s="22"/>
      <c r="C6" s="22"/>
      <c r="D6" s="22"/>
      <c r="E6" s="22"/>
      <c r="F6" s="23"/>
      <c r="G6" s="41">
        <v>659</v>
      </c>
      <c r="H6" s="41">
        <v>1860</v>
      </c>
      <c r="I6" s="41">
        <v>633</v>
      </c>
      <c r="J6" s="22">
        <f>+K6-SUM(G6,H6,I6)</f>
        <v>554</v>
      </c>
      <c r="K6" s="23">
        <v>3706</v>
      </c>
      <c r="L6" s="41">
        <v>625</v>
      </c>
      <c r="M6" s="41">
        <v>592</v>
      </c>
      <c r="N6" s="41">
        <v>538</v>
      </c>
      <c r="O6" s="22">
        <f>+P6-SUM(L6,M6,N6)</f>
        <v>492</v>
      </c>
      <c r="P6" s="43">
        <v>2247</v>
      </c>
      <c r="Q6" s="41">
        <v>549</v>
      </c>
      <c r="R6" s="41">
        <v>550</v>
      </c>
      <c r="S6" s="41">
        <v>517</v>
      </c>
      <c r="T6" s="22">
        <f>+U6-SUM(Q6,R6,S6)</f>
        <v>572</v>
      </c>
      <c r="U6" s="43">
        <v>2188</v>
      </c>
      <c r="V6" s="41">
        <v>564</v>
      </c>
      <c r="W6" s="41">
        <v>498</v>
      </c>
      <c r="X6" s="41">
        <v>467</v>
      </c>
      <c r="Y6" s="22">
        <f>+Z6-SUM(V6,W6,X6)</f>
        <v>427</v>
      </c>
      <c r="Z6" s="43">
        <v>1956</v>
      </c>
      <c r="AA6" s="41">
        <v>425</v>
      </c>
      <c r="AB6" s="41">
        <v>361</v>
      </c>
      <c r="AC6" s="41">
        <v>321</v>
      </c>
      <c r="AD6" s="22">
        <f>+AE6-SUM(AA6,AB6,AC6)</f>
        <v>278</v>
      </c>
      <c r="AE6" s="43">
        <v>1385</v>
      </c>
      <c r="AF6" s="41">
        <v>269</v>
      </c>
      <c r="AG6" s="41">
        <v>255</v>
      </c>
      <c r="AH6" s="41">
        <v>293</v>
      </c>
      <c r="AI6" s="22">
        <f>+AJ6-SUM(AF6,AG6,AH6)</f>
        <v>323</v>
      </c>
      <c r="AJ6" s="43">
        <v>1140</v>
      </c>
      <c r="AK6" s="19">
        <v>321</v>
      </c>
      <c r="AL6" s="41">
        <v>372</v>
      </c>
      <c r="AM6" s="41">
        <v>409</v>
      </c>
      <c r="AN6" s="22">
        <f>+AO6-SUM(AK6,AL6,AM6)</f>
        <v>408</v>
      </c>
      <c r="AO6" s="43">
        <v>1510</v>
      </c>
      <c r="AP6" s="19">
        <v>444</v>
      </c>
      <c r="AQ6" s="41">
        <v>471</v>
      </c>
      <c r="AR6" s="41">
        <v>623</v>
      </c>
      <c r="AS6" s="22">
        <f>+AT6-SUM(AP6,AQ6,AR6)</f>
        <v>498</v>
      </c>
      <c r="AT6" s="43">
        <v>2036</v>
      </c>
      <c r="AU6" s="19">
        <v>518</v>
      </c>
      <c r="AV6" s="41">
        <v>555</v>
      </c>
      <c r="AW6" s="41">
        <v>779</v>
      </c>
      <c r="AX6" s="22">
        <f>+AY6-SUM(AU6,AV6,AW6)</f>
        <v>534</v>
      </c>
      <c r="AY6" s="43">
        <v>2386</v>
      </c>
      <c r="AZ6" s="19">
        <v>534</v>
      </c>
      <c r="BA6" s="41">
        <v>558</v>
      </c>
      <c r="BB6" s="41">
        <v>565</v>
      </c>
      <c r="BC6" s="22">
        <f>+BD6-SUM(AZ6,BA6,BB6)</f>
        <v>545</v>
      </c>
      <c r="BD6" s="43">
        <v>2202</v>
      </c>
      <c r="BE6" s="22">
        <f t="shared" ref="BE6:BG6" si="11">AZ6*(1+BE7)</f>
        <v>587.40000000000009</v>
      </c>
      <c r="BF6" s="22">
        <f t="shared" si="11"/>
        <v>613.80000000000007</v>
      </c>
      <c r="BG6" s="22">
        <f t="shared" si="11"/>
        <v>621.5</v>
      </c>
      <c r="BH6" s="22">
        <f>BC6*(1+BH7)</f>
        <v>599.5</v>
      </c>
      <c r="BI6" s="23">
        <f>SUM(BE6:BH6)</f>
        <v>2422.2000000000003</v>
      </c>
    </row>
    <row r="7" spans="1:64">
      <c r="A7" s="1" t="s">
        <v>4</v>
      </c>
      <c r="F7" s="36"/>
      <c r="G7" s="34"/>
      <c r="H7" s="35"/>
      <c r="I7" s="35"/>
      <c r="J7" s="35"/>
      <c r="K7" s="36"/>
      <c r="L7" s="34">
        <f t="shared" ref="L7:AC7" si="12">L6/G6-1</f>
        <v>-5.1593323216995501E-2</v>
      </c>
      <c r="M7" s="35">
        <f t="shared" si="12"/>
        <v>-0.68172043010752681</v>
      </c>
      <c r="N7" s="35">
        <f t="shared" si="12"/>
        <v>-0.15007898894154814</v>
      </c>
      <c r="O7" s="35">
        <f t="shared" si="12"/>
        <v>-0.11191335740072206</v>
      </c>
      <c r="P7" s="36">
        <f t="shared" si="12"/>
        <v>-0.39368591473286563</v>
      </c>
      <c r="Q7" s="34">
        <f t="shared" si="12"/>
        <v>-0.12160000000000004</v>
      </c>
      <c r="R7" s="35">
        <f t="shared" si="12"/>
        <v>-7.0945945945945943E-2</v>
      </c>
      <c r="S7" s="35">
        <f t="shared" si="12"/>
        <v>-3.9033457249070591E-2</v>
      </c>
      <c r="T7" s="35">
        <f t="shared" si="12"/>
        <v>0.16260162601626016</v>
      </c>
      <c r="U7" s="36">
        <f t="shared" si="12"/>
        <v>-2.6257231864708519E-2</v>
      </c>
      <c r="V7" s="34">
        <f t="shared" si="12"/>
        <v>2.732240437158473E-2</v>
      </c>
      <c r="W7" s="35">
        <f t="shared" si="12"/>
        <v>-9.4545454545454599E-2</v>
      </c>
      <c r="X7" s="35">
        <f t="shared" si="12"/>
        <v>-9.6711798839458463E-2</v>
      </c>
      <c r="Y7" s="35">
        <f t="shared" si="12"/>
        <v>-0.25349650349650354</v>
      </c>
      <c r="Z7" s="36">
        <f t="shared" si="12"/>
        <v>-0.10603290676416821</v>
      </c>
      <c r="AA7" s="34">
        <f t="shared" si="12"/>
        <v>-0.24645390070921991</v>
      </c>
      <c r="AB7" s="34">
        <f t="shared" si="12"/>
        <v>-0.27510040160642568</v>
      </c>
      <c r="AC7" s="34">
        <f t="shared" si="12"/>
        <v>-0.31263383297644542</v>
      </c>
      <c r="AD7" s="35">
        <f t="shared" ref="AD7:AM7" si="13">AD6/Y6-1</f>
        <v>-0.34894613583138179</v>
      </c>
      <c r="AE7" s="36">
        <f t="shared" si="13"/>
        <v>-0.29192229038854811</v>
      </c>
      <c r="AF7" s="34">
        <f t="shared" si="13"/>
        <v>-0.36705882352941177</v>
      </c>
      <c r="AG7" s="34">
        <f t="shared" si="13"/>
        <v>-0.2936288088642659</v>
      </c>
      <c r="AH7" s="34">
        <f t="shared" si="13"/>
        <v>-8.7227414330218078E-2</v>
      </c>
      <c r="AI7" s="35">
        <f t="shared" si="13"/>
        <v>0.16187050359712241</v>
      </c>
      <c r="AJ7" s="36">
        <f t="shared" si="13"/>
        <v>-0.17689530685920574</v>
      </c>
      <c r="AK7" s="34">
        <f t="shared" si="13"/>
        <v>0.19330855018587356</v>
      </c>
      <c r="AL7" s="34">
        <f t="shared" si="13"/>
        <v>0.45882352941176463</v>
      </c>
      <c r="AM7" s="34">
        <f t="shared" si="13"/>
        <v>0.39590443686006815</v>
      </c>
      <c r="AN7" s="35">
        <f t="shared" ref="AN7" si="14">AN6/AI6-1</f>
        <v>0.26315789473684204</v>
      </c>
      <c r="AO7" s="36">
        <f t="shared" ref="AO7:AR7" si="15">AO6/AJ6-1</f>
        <v>0.32456140350877183</v>
      </c>
      <c r="AP7" s="34">
        <f t="shared" si="15"/>
        <v>0.38317757009345788</v>
      </c>
      <c r="AQ7" s="34">
        <f t="shared" si="15"/>
        <v>0.2661290322580645</v>
      </c>
      <c r="AR7" s="34">
        <f t="shared" si="15"/>
        <v>0.52322738386308076</v>
      </c>
      <c r="AS7" s="35">
        <f t="shared" ref="AS7" si="16">AS6/AN6-1</f>
        <v>0.22058823529411775</v>
      </c>
      <c r="AT7" s="36">
        <f t="shared" ref="AT7:BD7" si="17">AT6/AO6-1</f>
        <v>0.34834437086092707</v>
      </c>
      <c r="AU7" s="34">
        <f t="shared" si="17"/>
        <v>0.16666666666666674</v>
      </c>
      <c r="AV7" s="34">
        <f t="shared" si="17"/>
        <v>0.17834394904458595</v>
      </c>
      <c r="AW7" s="34">
        <f t="shared" si="17"/>
        <v>0.25040128410914919</v>
      </c>
      <c r="AX7" s="35">
        <f t="shared" si="17"/>
        <v>7.2289156626506035E-2</v>
      </c>
      <c r="AY7" s="36">
        <f t="shared" si="17"/>
        <v>0.17190569744597251</v>
      </c>
      <c r="AZ7" s="34">
        <f t="shared" si="17"/>
        <v>3.0888030888030826E-2</v>
      </c>
      <c r="BA7" s="34">
        <f t="shared" si="17"/>
        <v>5.4054054054053502E-3</v>
      </c>
      <c r="BB7" s="34">
        <f t="shared" si="17"/>
        <v>-0.27471116816431318</v>
      </c>
      <c r="BC7" s="35">
        <f t="shared" si="17"/>
        <v>2.0599250936329527E-2</v>
      </c>
      <c r="BD7" s="36">
        <f t="shared" si="17"/>
        <v>-7.7116512992456032E-2</v>
      </c>
      <c r="BE7" s="211">
        <v>0.1</v>
      </c>
      <c r="BF7" s="211">
        <v>0.1</v>
      </c>
      <c r="BG7" s="211">
        <v>0.1</v>
      </c>
      <c r="BH7" s="252">
        <v>0.1</v>
      </c>
      <c r="BI7" s="36">
        <f>BI6/BD6-1</f>
        <v>0.10000000000000009</v>
      </c>
    </row>
    <row r="8" spans="1:64">
      <c r="A8" s="1" t="s">
        <v>220</v>
      </c>
      <c r="B8" s="34"/>
      <c r="C8" s="35"/>
      <c r="D8" s="35"/>
      <c r="E8" s="35"/>
      <c r="F8" s="36"/>
      <c r="G8" s="34">
        <f t="shared" ref="G8:Z8" si="18">G6/G3</f>
        <v>5.1536716978180963E-2</v>
      </c>
      <c r="H8" s="35">
        <f t="shared" si="18"/>
        <v>0.11890302371667838</v>
      </c>
      <c r="I8" s="35">
        <f t="shared" si="18"/>
        <v>4.1644736842105262E-2</v>
      </c>
      <c r="J8" s="35">
        <f t="shared" si="18"/>
        <v>3.8520372688082324E-2</v>
      </c>
      <c r="K8" s="36">
        <f t="shared" si="18"/>
        <v>6.3883334482520857E-2</v>
      </c>
      <c r="L8" s="34">
        <f t="shared" si="18"/>
        <v>4.8251370338917625E-2</v>
      </c>
      <c r="M8" s="35">
        <f t="shared" si="18"/>
        <v>4.145658263305322E-2</v>
      </c>
      <c r="N8" s="35">
        <f t="shared" si="18"/>
        <v>3.495095173130644E-2</v>
      </c>
      <c r="O8" s="35">
        <f t="shared" si="18"/>
        <v>3.197296594749155E-2</v>
      </c>
      <c r="P8" s="36">
        <f t="shared" si="18"/>
        <v>3.8732030199606991E-2</v>
      </c>
      <c r="Q8" s="34">
        <f t="shared" si="18"/>
        <v>4.2410196987253769E-2</v>
      </c>
      <c r="R8" s="35">
        <f t="shared" si="18"/>
        <v>3.9420871559633031E-2</v>
      </c>
      <c r="S8" s="35">
        <f t="shared" si="18"/>
        <v>3.6742235804136165E-2</v>
      </c>
      <c r="T8" s="35">
        <f t="shared" si="18"/>
        <v>3.4601657491984752E-2</v>
      </c>
      <c r="U8" s="36">
        <f t="shared" si="18"/>
        <v>3.8052835701490463E-2</v>
      </c>
      <c r="V8" s="34">
        <f t="shared" si="18"/>
        <v>4.770766367788868E-2</v>
      </c>
      <c r="W8" s="35">
        <f t="shared" si="18"/>
        <v>0.10546378653113088</v>
      </c>
      <c r="X8" s="35">
        <f t="shared" si="18"/>
        <v>5.6612922778518607E-2</v>
      </c>
      <c r="Y8" s="35">
        <f t="shared" si="18"/>
        <v>5.7223264540337708E-2</v>
      </c>
      <c r="Z8" s="36">
        <f t="shared" si="18"/>
        <v>6.0641760967291895E-2</v>
      </c>
      <c r="AA8" s="34">
        <f t="shared" ref="AA8:AM8" si="19">AA6/AA3</f>
        <v>6.8493150684931503E-2</v>
      </c>
      <c r="AB8" s="34">
        <f t="shared" si="19"/>
        <v>0.22106552357624004</v>
      </c>
      <c r="AC8" s="34">
        <f t="shared" si="19"/>
        <v>8.9265850945494996E-2</v>
      </c>
      <c r="AD8" s="35">
        <f t="shared" si="19"/>
        <v>5.8798646362098139E-2</v>
      </c>
      <c r="AE8" s="36">
        <f t="shared" si="19"/>
        <v>8.5694839747555998E-2</v>
      </c>
      <c r="AF8" s="34">
        <f t="shared" si="19"/>
        <v>6.3012415085500123E-2</v>
      </c>
      <c r="AG8" s="34">
        <f t="shared" si="19"/>
        <v>4.2394014962593519E-2</v>
      </c>
      <c r="AH8" s="34">
        <f t="shared" si="19"/>
        <v>6.5709800403677951E-2</v>
      </c>
      <c r="AI8" s="35">
        <f t="shared" si="19"/>
        <v>6.8000000000000005E-2</v>
      </c>
      <c r="AJ8" s="36">
        <f t="shared" si="19"/>
        <v>5.8482532191042935E-2</v>
      </c>
      <c r="AK8" s="34">
        <f t="shared" si="19"/>
        <v>7.714491708723864E-2</v>
      </c>
      <c r="AL8" s="34">
        <f t="shared" si="19"/>
        <v>5.9816690786300052E-2</v>
      </c>
      <c r="AM8" s="34">
        <f t="shared" si="19"/>
        <v>6.5304167331949547E-2</v>
      </c>
      <c r="AN8" s="35">
        <f t="shared" ref="AN8:AR8" si="20">AN6/AN3</f>
        <v>4.4232437120555072E-2</v>
      </c>
      <c r="AO8" s="36">
        <f t="shared" si="20"/>
        <v>5.8375536397726836E-2</v>
      </c>
      <c r="AP8" s="34">
        <f t="shared" si="20"/>
        <v>6.62291169451074E-2</v>
      </c>
      <c r="AQ8" s="34">
        <f t="shared" si="20"/>
        <v>5.3280542986425337E-2</v>
      </c>
      <c r="AR8" s="34">
        <f t="shared" si="20"/>
        <v>7.9101066531234124E-2</v>
      </c>
      <c r="AS8" s="35">
        <f t="shared" ref="AS8:AW8" si="21">AS6/AS3</f>
        <v>4.7514550138345581E-2</v>
      </c>
      <c r="AT8" s="36">
        <f t="shared" si="21"/>
        <v>6.0057225450576679E-2</v>
      </c>
      <c r="AU8" s="34">
        <f t="shared" si="21"/>
        <v>0.11132602621964324</v>
      </c>
      <c r="AV8" s="34">
        <f t="shared" si="21"/>
        <v>9.2453773113443272E-2</v>
      </c>
      <c r="AW8" s="34">
        <f t="shared" si="21"/>
        <v>0.1046620986161494</v>
      </c>
      <c r="AX8" s="35">
        <f t="shared" ref="AX8:BB8" si="22">AX6/AX3</f>
        <v>0.1121377572448551</v>
      </c>
      <c r="AY8" s="36">
        <f t="shared" si="22"/>
        <v>0.10436988758147063</v>
      </c>
      <c r="AZ8" s="34">
        <f t="shared" si="22"/>
        <v>6.5545599607217384E-2</v>
      </c>
      <c r="BA8" s="34">
        <f t="shared" si="22"/>
        <v>5.1315063454110722E-2</v>
      </c>
      <c r="BB8" s="34">
        <f t="shared" si="22"/>
        <v>5.0928429781864071E-2</v>
      </c>
      <c r="BC8" s="35">
        <f t="shared" ref="BC8" si="23">BC6/BC3</f>
        <v>4.7895245627911066E-2</v>
      </c>
      <c r="BD8" s="36">
        <f t="shared" ref="BD8:BG8" si="24">BD6/BD3</f>
        <v>5.3067913433267458E-2</v>
      </c>
      <c r="BE8" s="34">
        <f t="shared" si="24"/>
        <v>4.6285564935400057E-2</v>
      </c>
      <c r="BF8" s="34">
        <f t="shared" si="24"/>
        <v>4.8365815044856236E-2</v>
      </c>
      <c r="BG8" s="34">
        <f t="shared" si="24"/>
        <v>4.8972554660114284E-2</v>
      </c>
      <c r="BH8" s="35">
        <f t="shared" ref="BH8:BI8" si="25">BH6/BH3</f>
        <v>4.7239012902234132E-2</v>
      </c>
      <c r="BI8" s="36">
        <f t="shared" si="25"/>
        <v>4.7715736885651179E-2</v>
      </c>
    </row>
    <row r="9" spans="1:64">
      <c r="F9" s="27"/>
      <c r="K9" s="27"/>
      <c r="P9" s="27"/>
      <c r="U9" s="27"/>
      <c r="Z9" s="27"/>
      <c r="AE9" s="27"/>
      <c r="AJ9" s="27"/>
      <c r="AO9" s="27"/>
      <c r="AT9" s="27"/>
      <c r="AY9" s="27"/>
      <c r="BD9" s="27"/>
      <c r="BI9" s="27"/>
    </row>
    <row r="10" spans="1:64">
      <c r="A10" s="10" t="s">
        <v>10</v>
      </c>
      <c r="B10" s="28"/>
      <c r="C10" s="28"/>
      <c r="D10" s="28"/>
      <c r="E10" s="28"/>
      <c r="F10" s="29"/>
      <c r="G10" s="28">
        <f t="shared" ref="G10:AF10" si="26">+-G3+G13</f>
        <v>-11995</v>
      </c>
      <c r="H10" s="28">
        <f t="shared" si="26"/>
        <v>-16924</v>
      </c>
      <c r="I10" s="28">
        <f t="shared" si="26"/>
        <v>-13907</v>
      </c>
      <c r="J10" s="28">
        <f t="shared" si="26"/>
        <v>-13191</v>
      </c>
      <c r="K10" s="29">
        <f t="shared" si="26"/>
        <v>-56017</v>
      </c>
      <c r="L10" s="28">
        <f t="shared" si="26"/>
        <v>-12083</v>
      </c>
      <c r="M10" s="28">
        <f t="shared" si="26"/>
        <v>-12998</v>
      </c>
      <c r="N10" s="28">
        <f t="shared" si="26"/>
        <v>-13880</v>
      </c>
      <c r="O10" s="28">
        <f t="shared" si="26"/>
        <v>-13601</v>
      </c>
      <c r="P10" s="29">
        <f t="shared" si="26"/>
        <v>-52562</v>
      </c>
      <c r="Q10" s="28">
        <f t="shared" si="26"/>
        <v>-11533</v>
      </c>
      <c r="R10" s="28">
        <f t="shared" si="26"/>
        <v>-12167</v>
      </c>
      <c r="S10" s="28">
        <f t="shared" si="26"/>
        <v>-12038</v>
      </c>
      <c r="T10" s="28">
        <f t="shared" si="26"/>
        <v>-13931</v>
      </c>
      <c r="U10" s="29">
        <f t="shared" si="26"/>
        <v>-49669</v>
      </c>
      <c r="V10" s="28">
        <f t="shared" si="26"/>
        <v>-10649</v>
      </c>
      <c r="W10" s="28">
        <f t="shared" si="26"/>
        <v>-9668</v>
      </c>
      <c r="X10" s="28">
        <f t="shared" si="26"/>
        <v>-8289</v>
      </c>
      <c r="Y10" s="28">
        <f t="shared" si="26"/>
        <v>-10306</v>
      </c>
      <c r="Z10" s="29">
        <f t="shared" si="26"/>
        <v>-38912</v>
      </c>
      <c r="AA10" s="28">
        <f t="shared" si="26"/>
        <v>-8273</v>
      </c>
      <c r="AB10" s="28">
        <f>+-AB3+AB13</f>
        <v>-4395</v>
      </c>
      <c r="AC10" s="28">
        <f>+-AC3+AC13</f>
        <v>-4965</v>
      </c>
      <c r="AD10" s="28">
        <f t="shared" si="26"/>
        <v>-12376</v>
      </c>
      <c r="AE10" s="29">
        <f t="shared" si="26"/>
        <v>-30009</v>
      </c>
      <c r="AF10" s="28">
        <f t="shared" si="26"/>
        <v>-5125</v>
      </c>
      <c r="AG10" s="28">
        <f t="shared" ref="AG10:AM10" si="27">+-AG3+AG13</f>
        <v>-6487</v>
      </c>
      <c r="AH10" s="28">
        <f t="shared" si="27"/>
        <v>-5152</v>
      </c>
      <c r="AI10" s="28">
        <f t="shared" si="27"/>
        <v>-9204</v>
      </c>
      <c r="AJ10" s="29">
        <f t="shared" si="27"/>
        <v>-25968</v>
      </c>
      <c r="AK10" s="28">
        <f t="shared" si="27"/>
        <v>-5020</v>
      </c>
      <c r="AL10" s="28">
        <f t="shared" si="27"/>
        <v>-6461</v>
      </c>
      <c r="AM10" s="28">
        <f t="shared" si="27"/>
        <v>-6906</v>
      </c>
      <c r="AN10" s="28">
        <f t="shared" ref="AN10:AR10" si="28">+-AN3+AN13</f>
        <v>-9850</v>
      </c>
      <c r="AO10" s="29">
        <f t="shared" si="28"/>
        <v>-28237</v>
      </c>
      <c r="AP10" s="28">
        <f t="shared" si="28"/>
        <v>-7319</v>
      </c>
      <c r="AQ10" s="28">
        <f t="shared" si="28"/>
        <v>-9223</v>
      </c>
      <c r="AR10" s="28">
        <f t="shared" si="28"/>
        <v>-8554</v>
      </c>
      <c r="AS10" s="28">
        <f t="shared" ref="AS10:AW10" si="29">+-AS3+AS13</f>
        <v>-10440</v>
      </c>
      <c r="AT10" s="29">
        <f t="shared" si="29"/>
        <v>-35536</v>
      </c>
      <c r="AU10" s="28">
        <f t="shared" si="29"/>
        <v>-5796</v>
      </c>
      <c r="AV10" s="28">
        <f t="shared" si="29"/>
        <v>-6718</v>
      </c>
      <c r="AW10" s="28">
        <f t="shared" si="29"/>
        <v>-11464</v>
      </c>
      <c r="AX10" s="28">
        <f t="shared" ref="AX10:BB10" si="30">+-AX3+AX13</f>
        <v>-6852</v>
      </c>
      <c r="AY10" s="29">
        <f t="shared" si="30"/>
        <v>-30830</v>
      </c>
      <c r="AZ10" s="28">
        <f t="shared" si="30"/>
        <v>-8684</v>
      </c>
      <c r="BA10" s="28">
        <f t="shared" si="30"/>
        <v>-11431</v>
      </c>
      <c r="BB10" s="28">
        <f t="shared" si="30"/>
        <v>-16447</v>
      </c>
      <c r="BC10" s="28">
        <f t="shared" ref="BC10:BG10" si="31">+-BC3+BC13</f>
        <v>-12011</v>
      </c>
      <c r="BD10" s="29">
        <f t="shared" si="31"/>
        <v>-48573</v>
      </c>
      <c r="BE10" s="28">
        <f t="shared" si="31"/>
        <v>-13198.412957746477</v>
      </c>
      <c r="BF10" s="28">
        <f t="shared" si="31"/>
        <v>-13008.051232394366</v>
      </c>
      <c r="BG10" s="28">
        <f t="shared" si="31"/>
        <v>-12817.689507042252</v>
      </c>
      <c r="BH10" s="28">
        <f t="shared" ref="BH10:BI10" si="32">+-BH3+BH13</f>
        <v>-12733.514143846833</v>
      </c>
      <c r="BI10" s="29">
        <f t="shared" si="32"/>
        <v>-51757.667841029928</v>
      </c>
    </row>
    <row r="11" spans="1:64">
      <c r="A11" s="1" t="s">
        <v>4</v>
      </c>
      <c r="E11" s="35"/>
      <c r="F11" s="36"/>
      <c r="G11" s="34"/>
      <c r="H11" s="35"/>
      <c r="I11" s="35"/>
      <c r="J11" s="35"/>
      <c r="K11" s="36"/>
      <c r="L11" s="34">
        <f t="shared" ref="L11:AH11" si="33">L10/G10-1</f>
        <v>7.3363901625678185E-3</v>
      </c>
      <c r="M11" s="35">
        <f t="shared" si="33"/>
        <v>-0.23197825573150554</v>
      </c>
      <c r="N11" s="35">
        <f t="shared" si="33"/>
        <v>-1.9414683253038412E-3</v>
      </c>
      <c r="O11" s="35">
        <f t="shared" si="33"/>
        <v>3.1081798195739418E-2</v>
      </c>
      <c r="P11" s="36">
        <f t="shared" si="33"/>
        <v>-6.1677704982416093E-2</v>
      </c>
      <c r="Q11" s="34">
        <f t="shared" si="33"/>
        <v>-4.5518497061987961E-2</v>
      </c>
      <c r="R11" s="35">
        <f t="shared" si="33"/>
        <v>-6.3932912755808591E-2</v>
      </c>
      <c r="S11" s="35">
        <f t="shared" si="33"/>
        <v>-0.1327089337175793</v>
      </c>
      <c r="T11" s="35">
        <f t="shared" si="33"/>
        <v>2.4262921843982044E-2</v>
      </c>
      <c r="U11" s="36">
        <f t="shared" si="33"/>
        <v>-5.5039762566112427E-2</v>
      </c>
      <c r="V11" s="34">
        <f t="shared" si="33"/>
        <v>-7.6649614150698042E-2</v>
      </c>
      <c r="W11" s="35">
        <f t="shared" si="33"/>
        <v>-0.20539163310594233</v>
      </c>
      <c r="X11" s="35">
        <f t="shared" si="33"/>
        <v>-0.31143047017777037</v>
      </c>
      <c r="Y11" s="35">
        <f t="shared" si="33"/>
        <v>-0.260211040126337</v>
      </c>
      <c r="Z11" s="36">
        <f t="shared" si="33"/>
        <v>-0.21657371801324765</v>
      </c>
      <c r="AA11" s="34">
        <f t="shared" si="33"/>
        <v>-0.22311954174100856</v>
      </c>
      <c r="AB11" s="34">
        <f t="shared" si="33"/>
        <v>-0.54540752999586262</v>
      </c>
      <c r="AC11" s="34">
        <f t="shared" si="33"/>
        <v>-0.40101339124140423</v>
      </c>
      <c r="AD11" s="35">
        <f t="shared" si="33"/>
        <v>0.20085387153114698</v>
      </c>
      <c r="AE11" s="36">
        <f t="shared" si="33"/>
        <v>-0.22879831414473684</v>
      </c>
      <c r="AF11" s="34">
        <f t="shared" si="33"/>
        <v>-0.3805149280792941</v>
      </c>
      <c r="AG11" s="34">
        <f t="shared" si="33"/>
        <v>0.47599544937428906</v>
      </c>
      <c r="AH11" s="34">
        <f t="shared" si="33"/>
        <v>3.7663645518630329E-2</v>
      </c>
      <c r="AI11" s="35">
        <f t="shared" ref="AI11:AR11" si="34">AI10/AD10-1</f>
        <v>-0.25630252100840334</v>
      </c>
      <c r="AJ11" s="36">
        <f t="shared" si="34"/>
        <v>-0.13465960211936423</v>
      </c>
      <c r="AK11" s="34">
        <f t="shared" si="34"/>
        <v>-2.0487804878048799E-2</v>
      </c>
      <c r="AL11" s="34">
        <f t="shared" si="34"/>
        <v>-4.0080160320641323E-3</v>
      </c>
      <c r="AM11" s="34">
        <f t="shared" si="34"/>
        <v>0.34045031055900621</v>
      </c>
      <c r="AN11" s="35">
        <f t="shared" ref="AN11" si="35">AN10/AI10-1</f>
        <v>7.0186875271621041E-2</v>
      </c>
      <c r="AO11" s="36">
        <f t="shared" ref="AO11" si="36">AO10/AJ10-1</f>
        <v>8.7376771410967446E-2</v>
      </c>
      <c r="AP11" s="34">
        <f t="shared" si="34"/>
        <v>0.45796812749003979</v>
      </c>
      <c r="AQ11" s="34">
        <f t="shared" si="34"/>
        <v>0.4274880049527936</v>
      </c>
      <c r="AR11" s="34">
        <f t="shared" si="34"/>
        <v>0.23863307269041423</v>
      </c>
      <c r="AS11" s="35">
        <f t="shared" ref="AS11" si="37">AS10/AN10-1</f>
        <v>5.9898477157360297E-2</v>
      </c>
      <c r="AT11" s="36">
        <f t="shared" ref="AT11:BD11" si="38">AT10/AO10-1</f>
        <v>0.25849063285759821</v>
      </c>
      <c r="AU11" s="34">
        <f t="shared" si="38"/>
        <v>-0.20808853668533955</v>
      </c>
      <c r="AV11" s="34">
        <f t="shared" si="38"/>
        <v>-0.27160359969641112</v>
      </c>
      <c r="AW11" s="34">
        <f t="shared" si="38"/>
        <v>0.34019172317044655</v>
      </c>
      <c r="AX11" s="35">
        <f t="shared" ref="AX11" si="39">AX10/AS10-1</f>
        <v>-0.34367816091954018</v>
      </c>
      <c r="AY11" s="36">
        <f t="shared" si="38"/>
        <v>-0.13242908599729852</v>
      </c>
      <c r="AZ11" s="34">
        <f t="shared" si="38"/>
        <v>0.49827467218771559</v>
      </c>
      <c r="BA11" s="34">
        <f t="shared" si="38"/>
        <v>0.70154807978565059</v>
      </c>
      <c r="BB11" s="34">
        <f t="shared" si="38"/>
        <v>0.43466503838101889</v>
      </c>
      <c r="BC11" s="35">
        <f t="shared" ref="BC11" si="40">BC10/AX10-1</f>
        <v>0.75291885580852314</v>
      </c>
      <c r="BD11" s="36">
        <f t="shared" si="38"/>
        <v>0.5755108660395718</v>
      </c>
      <c r="BE11" s="35">
        <f t="shared" ref="BE11:BG11" si="41">BE10/AZ10-1</f>
        <v>0.51985409462764598</v>
      </c>
      <c r="BF11" s="35">
        <f t="shared" si="41"/>
        <v>0.13796266576803129</v>
      </c>
      <c r="BG11" s="35">
        <f t="shared" si="41"/>
        <v>-0.22066702091309953</v>
      </c>
      <c r="BH11" s="35">
        <f t="shared" ref="BH11" si="42">BH10/BC10-1</f>
        <v>6.0154370480961949E-2</v>
      </c>
      <c r="BI11" s="36">
        <f t="shared" ref="BI11" si="43">BI10/BD10-1</f>
        <v>6.5564569638069115E-2</v>
      </c>
    </row>
    <row r="12" spans="1:64">
      <c r="F12" s="27"/>
      <c r="K12" s="27"/>
      <c r="P12" s="27"/>
      <c r="U12" s="27"/>
      <c r="Z12" s="27"/>
      <c r="AE12" s="27"/>
      <c r="AJ12" s="27"/>
      <c r="AO12" s="27"/>
      <c r="AT12" s="27"/>
      <c r="AY12" s="27"/>
      <c r="BD12" s="27"/>
      <c r="BI12" s="27"/>
    </row>
    <row r="13" spans="1:64">
      <c r="A13" s="9" t="s">
        <v>9</v>
      </c>
      <c r="B13" s="30"/>
      <c r="C13" s="30"/>
      <c r="D13" s="24"/>
      <c r="E13" s="24"/>
      <c r="F13" s="25"/>
      <c r="G13" s="30">
        <v>792</v>
      </c>
      <c r="H13" s="30">
        <v>-1281</v>
      </c>
      <c r="I13" s="30">
        <v>1293</v>
      </c>
      <c r="J13" s="24">
        <f>+K13-SUM(G13,H13,I13)</f>
        <v>1191</v>
      </c>
      <c r="K13" s="31">
        <v>1995</v>
      </c>
      <c r="L13" s="30">
        <v>870</v>
      </c>
      <c r="M13" s="30">
        <v>1282</v>
      </c>
      <c r="N13" s="30">
        <v>1513</v>
      </c>
      <c r="O13" s="24">
        <f>+P13-SUM(L13,M13,N13)</f>
        <v>1787</v>
      </c>
      <c r="P13" s="31">
        <v>5452</v>
      </c>
      <c r="Q13" s="30">
        <v>1412</v>
      </c>
      <c r="R13" s="30">
        <v>1785</v>
      </c>
      <c r="S13" s="30">
        <v>2033</v>
      </c>
      <c r="T13" s="24">
        <f>+U13-SUM(Q13,R13,S13)</f>
        <v>2600</v>
      </c>
      <c r="U13" s="31">
        <v>7830</v>
      </c>
      <c r="V13" s="30">
        <v>1173</v>
      </c>
      <c r="W13" s="30">
        <v>-4946</v>
      </c>
      <c r="X13" s="30">
        <v>-40</v>
      </c>
      <c r="Y13" s="24">
        <f>+Z13-SUM(V13,W13,X13)</f>
        <v>-2844</v>
      </c>
      <c r="Z13" s="31">
        <v>-6657</v>
      </c>
      <c r="AA13" s="30">
        <v>-2068</v>
      </c>
      <c r="AB13" s="30">
        <v>-2762</v>
      </c>
      <c r="AC13" s="30">
        <v>-1369</v>
      </c>
      <c r="AD13" s="24">
        <f>+AE13-SUM(AA13,AB13,AC13)</f>
        <v>-7648</v>
      </c>
      <c r="AE13" s="31">
        <v>-13847</v>
      </c>
      <c r="AF13" s="30">
        <v>-856</v>
      </c>
      <c r="AG13" s="30">
        <v>-472</v>
      </c>
      <c r="AH13" s="30">
        <v>-693</v>
      </c>
      <c r="AI13" s="24">
        <f>+AJ13-SUM(AF13,AG13,AH13)</f>
        <v>-4454</v>
      </c>
      <c r="AJ13" s="31">
        <v>-6475</v>
      </c>
      <c r="AK13" s="30">
        <v>-859</v>
      </c>
      <c r="AL13" s="30">
        <v>-242</v>
      </c>
      <c r="AM13" s="30">
        <v>-643</v>
      </c>
      <c r="AN13" s="24">
        <f>+AO13-SUM(AK13,AL13,AM13)</f>
        <v>-626</v>
      </c>
      <c r="AO13" s="31">
        <v>-2370</v>
      </c>
      <c r="AP13" s="30">
        <v>-615</v>
      </c>
      <c r="AQ13" s="30">
        <v>-383</v>
      </c>
      <c r="AR13" s="30">
        <v>-678</v>
      </c>
      <c r="AS13" s="24">
        <f>+AT13-SUM(AP13,AQ13,AR13)</f>
        <v>41</v>
      </c>
      <c r="AT13" s="31">
        <v>-1635</v>
      </c>
      <c r="AU13" s="30">
        <v>-1143</v>
      </c>
      <c r="AV13" s="30">
        <v>-715</v>
      </c>
      <c r="AW13" s="30">
        <v>-4021</v>
      </c>
      <c r="AX13" s="24">
        <f>AX19-AX17</f>
        <v>-2090</v>
      </c>
      <c r="AY13" s="31">
        <v>-7969</v>
      </c>
      <c r="AZ13" s="30">
        <v>-537</v>
      </c>
      <c r="BA13" s="30">
        <v>-557</v>
      </c>
      <c r="BB13" s="30">
        <v>-5353</v>
      </c>
      <c r="BC13" s="24">
        <f>BC19-BC17</f>
        <v>-632</v>
      </c>
      <c r="BD13" s="31">
        <v>-7079</v>
      </c>
      <c r="BE13" s="24">
        <f t="shared" ref="BE13:BG13" si="44">BE19-BE17</f>
        <v>-507.63126760563375</v>
      </c>
      <c r="BF13" s="24">
        <f t="shared" si="44"/>
        <v>-317.26954225352114</v>
      </c>
      <c r="BG13" s="24">
        <f t="shared" si="44"/>
        <v>-126.90781690140844</v>
      </c>
      <c r="BH13" s="24">
        <f>BH19-BH17</f>
        <v>-42.732453705988746</v>
      </c>
      <c r="BI13" s="25">
        <f>SUM(BE13:BH13)</f>
        <v>-994.54108046655199</v>
      </c>
    </row>
    <row r="14" spans="1:64">
      <c r="A14" s="1" t="s">
        <v>4</v>
      </c>
      <c r="F14" s="36"/>
      <c r="G14" s="34"/>
      <c r="H14" s="35"/>
      <c r="I14" s="35"/>
      <c r="J14" s="35"/>
      <c r="K14" s="36"/>
      <c r="L14" s="34">
        <f t="shared" ref="L14:AH14" si="45">L13/G13-1</f>
        <v>9.8484848484848397E-2</v>
      </c>
      <c r="M14" s="35">
        <f t="shared" si="45"/>
        <v>-2.0007806401249022</v>
      </c>
      <c r="N14" s="35">
        <f t="shared" si="45"/>
        <v>0.17014694508894035</v>
      </c>
      <c r="O14" s="35">
        <f t="shared" si="45"/>
        <v>0.50041981528127621</v>
      </c>
      <c r="P14" s="36">
        <f t="shared" si="45"/>
        <v>1.7328320802005011</v>
      </c>
      <c r="Q14" s="34">
        <f t="shared" si="45"/>
        <v>0.6229885057471265</v>
      </c>
      <c r="R14" s="35">
        <f t="shared" si="45"/>
        <v>0.39235569422776906</v>
      </c>
      <c r="S14" s="35">
        <f t="shared" si="45"/>
        <v>0.3436880370125579</v>
      </c>
      <c r="T14" s="35">
        <f t="shared" si="45"/>
        <v>0.45495243424734189</v>
      </c>
      <c r="U14" s="36">
        <f t="shared" si="45"/>
        <v>0.43617021276595747</v>
      </c>
      <c r="V14" s="34">
        <f t="shared" si="45"/>
        <v>-0.16926345609065152</v>
      </c>
      <c r="W14" s="35">
        <f t="shared" si="45"/>
        <v>-3.7708683473389355</v>
      </c>
      <c r="X14" s="35">
        <f t="shared" si="45"/>
        <v>-1.0196753566158387</v>
      </c>
      <c r="Y14" s="35">
        <f t="shared" si="45"/>
        <v>-2.0938461538461537</v>
      </c>
      <c r="Z14" s="36">
        <f t="shared" si="45"/>
        <v>-1.850191570881226</v>
      </c>
      <c r="AA14" s="34">
        <f t="shared" si="45"/>
        <v>-2.763000852514919</v>
      </c>
      <c r="AB14" s="34">
        <f t="shared" si="45"/>
        <v>-0.44156894460169838</v>
      </c>
      <c r="AC14" s="34">
        <f t="shared" si="45"/>
        <v>33.225000000000001</v>
      </c>
      <c r="AD14" s="35">
        <f t="shared" si="45"/>
        <v>1.6891701828410688</v>
      </c>
      <c r="AE14" s="36">
        <f t="shared" si="45"/>
        <v>1.0800660958389665</v>
      </c>
      <c r="AF14" s="34">
        <f t="shared" si="45"/>
        <v>-0.58607350096711797</v>
      </c>
      <c r="AG14" s="34">
        <f t="shared" si="45"/>
        <v>-0.82910934105720491</v>
      </c>
      <c r="AH14" s="34">
        <f t="shared" si="45"/>
        <v>-0.49379108838568297</v>
      </c>
      <c r="AI14" s="35">
        <f t="shared" ref="AI14:AR14" si="46">AI13/AD13-1</f>
        <v>-0.41762552301255229</v>
      </c>
      <c r="AJ14" s="36">
        <f t="shared" si="46"/>
        <v>-0.5323896872968874</v>
      </c>
      <c r="AK14" s="34">
        <f t="shared" si="46"/>
        <v>3.5046728971963592E-3</v>
      </c>
      <c r="AL14" s="34">
        <f t="shared" si="46"/>
        <v>-0.48728813559322037</v>
      </c>
      <c r="AM14" s="34">
        <f t="shared" si="46"/>
        <v>-7.2150072150072186E-2</v>
      </c>
      <c r="AN14" s="35">
        <f t="shared" ref="AN14" si="47">AN13/AI13-1</f>
        <v>-0.85945217781769201</v>
      </c>
      <c r="AO14" s="36">
        <f t="shared" ref="AO14" si="48">AO13/AJ13-1</f>
        <v>-0.63397683397683391</v>
      </c>
      <c r="AP14" s="34">
        <f t="shared" si="46"/>
        <v>-0.28405122235157154</v>
      </c>
      <c r="AQ14" s="34">
        <f t="shared" si="46"/>
        <v>0.5826446280991735</v>
      </c>
      <c r="AR14" s="34">
        <f t="shared" si="46"/>
        <v>5.4432348367029482E-2</v>
      </c>
      <c r="AS14" s="35">
        <f t="shared" ref="AS14" si="49">AS13/AN13-1</f>
        <v>-1.0654952076677315</v>
      </c>
      <c r="AT14" s="36">
        <f t="shared" ref="AT14:BD14" si="50">AT13/AO13-1</f>
        <v>-0.310126582278481</v>
      </c>
      <c r="AU14" s="34">
        <f t="shared" si="50"/>
        <v>0.85853658536585375</v>
      </c>
      <c r="AV14" s="34">
        <f t="shared" si="50"/>
        <v>0.86684073107049597</v>
      </c>
      <c r="AW14" s="34">
        <f t="shared" si="50"/>
        <v>4.9306784660766958</v>
      </c>
      <c r="AX14" s="35">
        <f t="shared" ref="AX14" si="51">AX13/AS13-1</f>
        <v>-51.975609756097562</v>
      </c>
      <c r="AY14" s="36">
        <f t="shared" si="50"/>
        <v>3.8740061162079513</v>
      </c>
      <c r="AZ14" s="34">
        <f t="shared" si="50"/>
        <v>-0.53018372703412076</v>
      </c>
      <c r="BA14" s="34">
        <f t="shared" si="50"/>
        <v>-0.220979020979021</v>
      </c>
      <c r="BB14" s="34">
        <f t="shared" si="50"/>
        <v>0.33126088037801549</v>
      </c>
      <c r="BC14" s="35">
        <f t="shared" ref="BC14" si="52">BC13/AX13-1</f>
        <v>-0.69760765550239234</v>
      </c>
      <c r="BD14" s="36">
        <f t="shared" si="50"/>
        <v>-0.11168277073660438</v>
      </c>
      <c r="BE14" s="34">
        <f t="shared" ref="BE14:BG14" si="53">BE13/AZ13-1</f>
        <v>-5.4690376898261173E-2</v>
      </c>
      <c r="BF14" s="34">
        <f t="shared" si="53"/>
        <v>-0.43039579487698176</v>
      </c>
      <c r="BG14" s="34">
        <f t="shared" si="53"/>
        <v>-0.97629220681834328</v>
      </c>
      <c r="BH14" s="35">
        <f t="shared" ref="BH14" si="54">BH13/BC13-1</f>
        <v>-0.93238535806014444</v>
      </c>
      <c r="BI14" s="36">
        <f t="shared" ref="BI14" si="55">BI13/BD13-1</f>
        <v>-0.85950825251214125</v>
      </c>
    </row>
    <row r="15" spans="1:64">
      <c r="A15" s="1" t="s">
        <v>212</v>
      </c>
      <c r="B15" s="34"/>
      <c r="C15" s="35"/>
      <c r="D15" s="35"/>
      <c r="E15" s="35"/>
      <c r="F15" s="36"/>
      <c r="G15" s="34">
        <f t="shared" ref="G15:AF15" si="56">G13/G3</f>
        <v>6.19379056854618E-2</v>
      </c>
      <c r="H15" s="35">
        <f t="shared" si="56"/>
        <v>-8.1889663108099475E-2</v>
      </c>
      <c r="I15" s="35">
        <f t="shared" si="56"/>
        <v>8.5065789473684206E-2</v>
      </c>
      <c r="J15" s="35">
        <f t="shared" si="56"/>
        <v>8.2811848143512723E-2</v>
      </c>
      <c r="K15" s="36">
        <f t="shared" si="56"/>
        <v>3.4389436668275528E-2</v>
      </c>
      <c r="L15" s="34">
        <f t="shared" si="56"/>
        <v>6.7165907511773329E-2</v>
      </c>
      <c r="M15" s="35">
        <f t="shared" si="56"/>
        <v>8.9775910364145659E-2</v>
      </c>
      <c r="N15" s="35">
        <f t="shared" si="56"/>
        <v>9.829143117001235E-2</v>
      </c>
      <c r="O15" s="35">
        <f t="shared" si="56"/>
        <v>0.11612945152066545</v>
      </c>
      <c r="P15" s="36">
        <f t="shared" si="56"/>
        <v>9.3977315820319235E-2</v>
      </c>
      <c r="Q15" s="34">
        <f t="shared" si="56"/>
        <v>0.10907686365392043</v>
      </c>
      <c r="R15" s="35">
        <f t="shared" si="56"/>
        <v>0.12793864678899083</v>
      </c>
      <c r="S15" s="35">
        <f t="shared" si="56"/>
        <v>0.14448155781394356</v>
      </c>
      <c r="T15" s="35">
        <f t="shared" si="56"/>
        <v>0.15728026132720344</v>
      </c>
      <c r="U15" s="36">
        <f t="shared" si="56"/>
        <v>0.13617628132663176</v>
      </c>
      <c r="V15" s="34">
        <f t="shared" si="56"/>
        <v>9.9221789883268477E-2</v>
      </c>
      <c r="W15" s="35">
        <f t="shared" si="56"/>
        <v>-1.0474375264718341</v>
      </c>
      <c r="X15" s="35">
        <f t="shared" si="56"/>
        <v>-4.8490726148624078E-3</v>
      </c>
      <c r="Y15" s="35">
        <f t="shared" si="56"/>
        <v>-0.38113106405789332</v>
      </c>
      <c r="Z15" s="36">
        <f t="shared" si="56"/>
        <v>-0.20638660672763912</v>
      </c>
      <c r="AA15" s="34">
        <f t="shared" si="56"/>
        <v>-0.3332796132151491</v>
      </c>
      <c r="AB15" s="34">
        <f>AB13/AB3</f>
        <v>-1.6913655848132272</v>
      </c>
      <c r="AC15" s="34">
        <f>AC13/AC3</f>
        <v>-0.38070077864293661</v>
      </c>
      <c r="AD15" s="35">
        <f t="shared" si="56"/>
        <v>-1.6175972927241962</v>
      </c>
      <c r="AE15" s="36">
        <f t="shared" si="56"/>
        <v>-0.856762776884049</v>
      </c>
      <c r="AF15" s="34">
        <f t="shared" si="56"/>
        <v>-0.20051534317170297</v>
      </c>
      <c r="AG15" s="34">
        <f t="shared" ref="AG15:AM15" si="57">AG13/AG3</f>
        <v>-7.8470490440565255E-2</v>
      </c>
      <c r="AH15" s="34">
        <f t="shared" si="57"/>
        <v>-0.15541601255886969</v>
      </c>
      <c r="AI15" s="35">
        <f t="shared" si="57"/>
        <v>-0.93768421052631579</v>
      </c>
      <c r="AJ15" s="36">
        <f t="shared" si="57"/>
        <v>-0.33217052275175701</v>
      </c>
      <c r="AK15" s="34">
        <f t="shared" si="57"/>
        <v>-0.20644075943282864</v>
      </c>
      <c r="AL15" s="34">
        <f t="shared" si="57"/>
        <v>-3.8913008522270462E-2</v>
      </c>
      <c r="AM15" s="34">
        <f t="shared" si="57"/>
        <v>-0.10266645377614561</v>
      </c>
      <c r="AN15" s="35">
        <f t="shared" ref="AN15:AR15" si="58">AN13/AN3</f>
        <v>-6.7866435385949692E-2</v>
      </c>
      <c r="AO15" s="36">
        <f t="shared" si="58"/>
        <v>-9.1622530637491789E-2</v>
      </c>
      <c r="AP15" s="34">
        <f t="shared" si="58"/>
        <v>-9.1736276849642001E-2</v>
      </c>
      <c r="AQ15" s="34">
        <f t="shared" si="58"/>
        <v>-4.3325791855203619E-2</v>
      </c>
      <c r="AR15" s="34">
        <f t="shared" si="58"/>
        <v>-8.6084306754697817E-2</v>
      </c>
      <c r="AS15" s="35">
        <f t="shared" ref="AS15:AW15" si="59">AS13/AS3</f>
        <v>3.9118404732372868E-3</v>
      </c>
      <c r="AT15" s="36">
        <f t="shared" si="59"/>
        <v>-4.8228665821067225E-2</v>
      </c>
      <c r="AU15" s="34">
        <f t="shared" si="59"/>
        <v>-0.24564796905222436</v>
      </c>
      <c r="AV15" s="34">
        <f t="shared" si="59"/>
        <v>-0.11910711311011161</v>
      </c>
      <c r="AW15" s="34">
        <f t="shared" si="59"/>
        <v>-0.5402391508800215</v>
      </c>
      <c r="AX15" s="35">
        <f t="shared" ref="AX15:BB15" si="60">AX13/AX3</f>
        <v>-0.43889122217555648</v>
      </c>
      <c r="AY15" s="36">
        <f t="shared" si="60"/>
        <v>-0.34858492629368792</v>
      </c>
      <c r="AZ15" s="34">
        <f t="shared" si="60"/>
        <v>-6.5913833312875911E-2</v>
      </c>
      <c r="BA15" s="34">
        <f t="shared" si="60"/>
        <v>-5.1223100974802281E-2</v>
      </c>
      <c r="BB15" s="34">
        <f t="shared" si="60"/>
        <v>-0.4825130701279971</v>
      </c>
      <c r="BC15" s="35">
        <f t="shared" ref="BC15:BG15" si="61">BC13/BC3</f>
        <v>-5.5540908691449162E-2</v>
      </c>
      <c r="BD15" s="36">
        <f t="shared" si="61"/>
        <v>-0.17060297874391478</v>
      </c>
      <c r="BE15" s="34">
        <f t="shared" si="61"/>
        <v>-0.04</v>
      </c>
      <c r="BF15" s="34">
        <f t="shared" si="61"/>
        <v>-2.5000000000000001E-2</v>
      </c>
      <c r="BG15" s="34">
        <f t="shared" si="61"/>
        <v>-0.01</v>
      </c>
      <c r="BH15" s="35">
        <f t="shared" ref="BH15:BI15" si="62">BH13/BH3</f>
        <v>-3.3672042234550877E-3</v>
      </c>
      <c r="BI15" s="36">
        <f t="shared" si="62"/>
        <v>-1.9591801055863771E-2</v>
      </c>
    </row>
    <row r="16" spans="1:64">
      <c r="F16" s="27"/>
      <c r="K16" s="27"/>
      <c r="P16" s="27"/>
      <c r="U16" s="27"/>
      <c r="Z16" s="27"/>
      <c r="AD16" s="74"/>
      <c r="AE16" s="27"/>
      <c r="AI16" s="74"/>
      <c r="AJ16" s="27"/>
      <c r="AN16" s="74"/>
      <c r="AO16" s="27"/>
      <c r="AS16" s="74"/>
      <c r="AT16" s="27"/>
      <c r="AY16" s="27"/>
      <c r="BD16" s="27"/>
      <c r="BI16" s="27"/>
    </row>
    <row r="17" spans="1:62">
      <c r="A17" t="s">
        <v>221</v>
      </c>
      <c r="B17" s="19"/>
      <c r="C17" s="19"/>
      <c r="D17" s="19"/>
      <c r="E17" s="20"/>
      <c r="F17" s="21"/>
      <c r="G17" s="41">
        <v>0</v>
      </c>
      <c r="H17" s="41">
        <v>0</v>
      </c>
      <c r="I17" s="41">
        <v>0</v>
      </c>
      <c r="J17" s="20">
        <f>+K17-SUM(G17,H17,I17)</f>
        <v>0</v>
      </c>
      <c r="K17" s="21">
        <v>0</v>
      </c>
      <c r="L17" s="41">
        <v>0</v>
      </c>
      <c r="M17" s="41">
        <v>0</v>
      </c>
      <c r="N17" s="41">
        <v>0</v>
      </c>
      <c r="O17" s="20">
        <f>+P17-SUM(L17,M17,N17)</f>
        <v>0</v>
      </c>
      <c r="P17" s="21">
        <v>0</v>
      </c>
      <c r="Q17" s="41">
        <v>0</v>
      </c>
      <c r="R17" s="41">
        <v>0</v>
      </c>
      <c r="S17" s="41">
        <v>0</v>
      </c>
      <c r="T17" s="20">
        <f>+U17-SUM(Q17,R17,S17)</f>
        <v>0</v>
      </c>
      <c r="U17" s="21">
        <v>0</v>
      </c>
      <c r="V17" s="41">
        <v>0</v>
      </c>
      <c r="W17" s="41">
        <v>0</v>
      </c>
      <c r="X17" s="41">
        <v>0</v>
      </c>
      <c r="Y17" s="20">
        <f>+Z17-SUM(V17,W17,X17)</f>
        <v>0</v>
      </c>
      <c r="Z17" s="21">
        <v>0</v>
      </c>
      <c r="AA17" s="41">
        <v>0</v>
      </c>
      <c r="AB17" s="41">
        <v>0</v>
      </c>
      <c r="AC17" s="41">
        <v>0</v>
      </c>
      <c r="AD17" s="41">
        <v>0</v>
      </c>
      <c r="AE17" s="23">
        <f>SUM(AA17:AD17)</f>
        <v>0</v>
      </c>
      <c r="AF17" s="41">
        <v>0</v>
      </c>
      <c r="AG17" s="41">
        <v>0</v>
      </c>
      <c r="AH17" s="41">
        <v>0</v>
      </c>
      <c r="AI17" s="41">
        <v>0</v>
      </c>
      <c r="AJ17" s="23">
        <f>SUM(AF17:AI17)</f>
        <v>0</v>
      </c>
      <c r="AK17" s="41">
        <v>0</v>
      </c>
      <c r="AL17" s="41">
        <v>0</v>
      </c>
      <c r="AM17" s="41">
        <v>0</v>
      </c>
      <c r="AN17" s="41">
        <v>0</v>
      </c>
      <c r="AO17" s="23">
        <f>SUM(AK17:AN17)</f>
        <v>0</v>
      </c>
      <c r="AP17" s="41">
        <v>0</v>
      </c>
      <c r="AQ17" s="41">
        <v>0</v>
      </c>
      <c r="AR17" s="41">
        <v>0</v>
      </c>
      <c r="AS17" s="41">
        <v>0</v>
      </c>
      <c r="AT17" s="23">
        <f>SUM(AP17:AS17)</f>
        <v>0</v>
      </c>
      <c r="AU17" s="41">
        <v>0</v>
      </c>
      <c r="AV17" s="41">
        <v>0</v>
      </c>
      <c r="AW17" s="41">
        <v>0</v>
      </c>
      <c r="AX17" s="41">
        <v>0</v>
      </c>
      <c r="AY17" s="23">
        <f>SUM(AU17:AX17)</f>
        <v>0</v>
      </c>
      <c r="AZ17" s="41">
        <v>0</v>
      </c>
      <c r="BA17" s="41">
        <v>0</v>
      </c>
      <c r="BB17" s="41">
        <v>0</v>
      </c>
      <c r="BC17" s="41">
        <v>0</v>
      </c>
      <c r="BD17" s="23">
        <f>SUM(AZ17:BC17)</f>
        <v>0</v>
      </c>
      <c r="BE17" s="41">
        <v>0</v>
      </c>
      <c r="BF17" s="41">
        <v>0</v>
      </c>
      <c r="BG17" s="41">
        <v>0</v>
      </c>
      <c r="BH17" s="41">
        <v>0</v>
      </c>
      <c r="BI17" s="23">
        <f>SUM(BE17:BH17)</f>
        <v>0</v>
      </c>
      <c r="BJ17" s="311"/>
    </row>
    <row r="18" spans="1:62">
      <c r="F18" s="27"/>
      <c r="K18" s="27"/>
      <c r="P18" s="27"/>
      <c r="U18" s="27"/>
      <c r="Z18" s="27"/>
      <c r="AE18" s="27"/>
      <c r="AJ18" s="27"/>
      <c r="AO18" s="27"/>
      <c r="AT18" s="27"/>
      <c r="AY18" s="27"/>
      <c r="BD18" s="27"/>
      <c r="BI18" s="27"/>
    </row>
    <row r="19" spans="1:62">
      <c r="A19" s="9" t="s">
        <v>210</v>
      </c>
      <c r="B19" s="24"/>
      <c r="C19" s="24"/>
      <c r="D19" s="71"/>
      <c r="E19" s="24"/>
      <c r="F19" s="178"/>
      <c r="G19" s="24">
        <f>G13+G17</f>
        <v>792</v>
      </c>
      <c r="H19" s="24">
        <f>H13+H17</f>
        <v>-1281</v>
      </c>
      <c r="I19" s="24">
        <f>I13+I17</f>
        <v>1293</v>
      </c>
      <c r="J19" s="24">
        <f>+K19-SUM(G19,H19,I19)</f>
        <v>1191</v>
      </c>
      <c r="K19" s="25">
        <f>K13+K17</f>
        <v>1995</v>
      </c>
      <c r="L19" s="24">
        <f>L13+L17</f>
        <v>870</v>
      </c>
      <c r="M19" s="24">
        <f>M13+M17</f>
        <v>1282</v>
      </c>
      <c r="N19" s="24">
        <f>N13+N17</f>
        <v>1513</v>
      </c>
      <c r="O19" s="24">
        <f>+P19-SUM(L19,M19,N19)</f>
        <v>1787</v>
      </c>
      <c r="P19" s="25">
        <f>P13+P17</f>
        <v>5452</v>
      </c>
      <c r="Q19" s="24">
        <f>Q13+Q17</f>
        <v>1412</v>
      </c>
      <c r="R19" s="24">
        <f>R13+R17</f>
        <v>1785</v>
      </c>
      <c r="S19" s="24">
        <f>S13+S17</f>
        <v>2033</v>
      </c>
      <c r="T19" s="24">
        <f>+U19-SUM(Q19,R19,S19)</f>
        <v>2600</v>
      </c>
      <c r="U19" s="25">
        <f>U13+U17</f>
        <v>7830</v>
      </c>
      <c r="V19" s="24">
        <f>V13+V17</f>
        <v>1173</v>
      </c>
      <c r="W19" s="24">
        <f>W13+W17</f>
        <v>-4946</v>
      </c>
      <c r="X19" s="24">
        <f>X13+X17</f>
        <v>-40</v>
      </c>
      <c r="Y19" s="24">
        <f>+Z19-SUM(V19,W19,X19)</f>
        <v>-2844</v>
      </c>
      <c r="Z19" s="25">
        <f>Z13+Z17</f>
        <v>-6657</v>
      </c>
      <c r="AA19" s="24">
        <f>AA13+AA17</f>
        <v>-2068</v>
      </c>
      <c r="AB19" s="24">
        <f>AB13+AB17</f>
        <v>-2762</v>
      </c>
      <c r="AC19" s="24">
        <f>AC13+AC17</f>
        <v>-1369</v>
      </c>
      <c r="AD19" s="24">
        <f>+AE19-SUM(AA19,AB19,AC19)</f>
        <v>-7648</v>
      </c>
      <c r="AE19" s="25">
        <f>AE13+AE17</f>
        <v>-13847</v>
      </c>
      <c r="AF19" s="24">
        <f>AF13+AF17</f>
        <v>-856</v>
      </c>
      <c r="AG19" s="24">
        <f>AG13+AG17</f>
        <v>-472</v>
      </c>
      <c r="AH19" s="24">
        <f>AH13+AH17</f>
        <v>-693</v>
      </c>
      <c r="AI19" s="24">
        <f>+AJ19-SUM(AF19,AG19,AH19)</f>
        <v>-4454</v>
      </c>
      <c r="AJ19" s="25">
        <f>AJ13+AJ17</f>
        <v>-6475</v>
      </c>
      <c r="AK19" s="24">
        <f>AK13+AK17</f>
        <v>-859</v>
      </c>
      <c r="AL19" s="24">
        <f>AL13+AL17</f>
        <v>-242</v>
      </c>
      <c r="AM19" s="24">
        <f>AM13+AM17</f>
        <v>-643</v>
      </c>
      <c r="AN19" s="24">
        <f>+AO19-SUM(AK19,AL19,AM19)</f>
        <v>-626</v>
      </c>
      <c r="AO19" s="25">
        <f>AO13+AO17</f>
        <v>-2370</v>
      </c>
      <c r="AP19" s="24">
        <f>AP13+AP17</f>
        <v>-615</v>
      </c>
      <c r="AQ19" s="24">
        <f>AQ13+AQ17</f>
        <v>-383</v>
      </c>
      <c r="AR19" s="24">
        <f>AR13+AR17</f>
        <v>-678</v>
      </c>
      <c r="AS19" s="24">
        <f>+AT19-SUM(AP19,AQ19,AR19)</f>
        <v>41</v>
      </c>
      <c r="AT19" s="25">
        <f>AT13+AT17</f>
        <v>-1635</v>
      </c>
      <c r="AU19" s="24">
        <f>AU13+AU17</f>
        <v>-1143</v>
      </c>
      <c r="AV19" s="24">
        <f>AV13+AV17</f>
        <v>-715</v>
      </c>
      <c r="AW19" s="24">
        <f>AW13+AW17</f>
        <v>-4021</v>
      </c>
      <c r="AX19" s="24">
        <f>AY19-SUM(AU19:AW19)</f>
        <v>-2090</v>
      </c>
      <c r="AY19" s="25">
        <f>AY13+AY17</f>
        <v>-7969</v>
      </c>
      <c r="AZ19" s="24">
        <f>AZ13+AZ17</f>
        <v>-537</v>
      </c>
      <c r="BA19" s="24">
        <f>BA13+BA17</f>
        <v>-557</v>
      </c>
      <c r="BB19" s="24">
        <f>BB13+BB17</f>
        <v>-5353</v>
      </c>
      <c r="BC19" s="24">
        <f>BD19-SUM(AZ19:BB19)</f>
        <v>-632</v>
      </c>
      <c r="BD19" s="25">
        <f>BD13+BD17</f>
        <v>-7079</v>
      </c>
      <c r="BE19" s="24">
        <f>BE3*BE22</f>
        <v>-507.63126760563375</v>
      </c>
      <c r="BF19" s="24">
        <f>BF3*BF22</f>
        <v>-317.26954225352114</v>
      </c>
      <c r="BG19" s="24">
        <f>BG3*BG22</f>
        <v>-126.90781690140844</v>
      </c>
      <c r="BH19" s="24">
        <f>BI19-SUM(BE19:BG19)</f>
        <v>-42.732453705988746</v>
      </c>
      <c r="BI19" s="178">
        <f>BCA_Model_Annual!AB62</f>
        <v>-994.54108046655199</v>
      </c>
    </row>
    <row r="20" spans="1:62">
      <c r="A20" s="1" t="s">
        <v>4</v>
      </c>
      <c r="B20" s="34"/>
      <c r="C20" s="35"/>
      <c r="D20" s="35"/>
      <c r="E20" s="35"/>
      <c r="F20" s="36"/>
      <c r="G20" s="34"/>
      <c r="H20" s="35"/>
      <c r="I20" s="35"/>
      <c r="J20" s="35"/>
      <c r="K20" s="36"/>
      <c r="L20" s="34">
        <f t="shared" ref="L20:Z20" si="63">L19/G19-1</f>
        <v>9.8484848484848397E-2</v>
      </c>
      <c r="M20" s="35">
        <f t="shared" si="63"/>
        <v>-2.0007806401249022</v>
      </c>
      <c r="N20" s="35">
        <f t="shared" si="63"/>
        <v>0.17014694508894035</v>
      </c>
      <c r="O20" s="35">
        <f t="shared" si="63"/>
        <v>0.50041981528127621</v>
      </c>
      <c r="P20" s="36">
        <f t="shared" si="63"/>
        <v>1.7328320802005011</v>
      </c>
      <c r="Q20" s="34">
        <f t="shared" si="63"/>
        <v>0.6229885057471265</v>
      </c>
      <c r="R20" s="35">
        <f t="shared" si="63"/>
        <v>0.39235569422776906</v>
      </c>
      <c r="S20" s="35">
        <f t="shared" si="63"/>
        <v>0.3436880370125579</v>
      </c>
      <c r="T20" s="35">
        <f t="shared" si="63"/>
        <v>0.45495243424734189</v>
      </c>
      <c r="U20" s="36">
        <f t="shared" si="63"/>
        <v>0.43617021276595747</v>
      </c>
      <c r="V20" s="34">
        <f t="shared" si="63"/>
        <v>-0.16926345609065152</v>
      </c>
      <c r="W20" s="35">
        <f t="shared" si="63"/>
        <v>-3.7708683473389355</v>
      </c>
      <c r="X20" s="35">
        <f t="shared" si="63"/>
        <v>-1.0196753566158387</v>
      </c>
      <c r="Y20" s="35">
        <f t="shared" si="63"/>
        <v>-2.0938461538461537</v>
      </c>
      <c r="Z20" s="36">
        <f t="shared" si="63"/>
        <v>-1.850191570881226</v>
      </c>
      <c r="AA20" s="34">
        <f t="shared" ref="AA20:AH20" si="64">AA19/V19-1</f>
        <v>-2.763000852514919</v>
      </c>
      <c r="AB20" s="34">
        <f t="shared" si="64"/>
        <v>-0.44156894460169838</v>
      </c>
      <c r="AC20" s="34">
        <f t="shared" si="64"/>
        <v>33.225000000000001</v>
      </c>
      <c r="AD20" s="35">
        <f>AD19/Y19-1</f>
        <v>1.6891701828410688</v>
      </c>
      <c r="AE20" s="36">
        <f>AE19/Z19-1</f>
        <v>1.0800660958389665</v>
      </c>
      <c r="AF20" s="34">
        <f>AF19/AA19-1</f>
        <v>-0.58607350096711797</v>
      </c>
      <c r="AG20" s="34">
        <f t="shared" si="64"/>
        <v>-0.82910934105720491</v>
      </c>
      <c r="AH20" s="34">
        <f t="shared" si="64"/>
        <v>-0.49379108838568297</v>
      </c>
      <c r="AI20" s="35">
        <f t="shared" ref="AI20:AR20" si="65">AI19/AD19-1</f>
        <v>-0.41762552301255229</v>
      </c>
      <c r="AJ20" s="36">
        <f t="shared" si="65"/>
        <v>-0.5323896872968874</v>
      </c>
      <c r="AK20" s="34">
        <f t="shared" si="65"/>
        <v>3.5046728971963592E-3</v>
      </c>
      <c r="AL20" s="34">
        <f t="shared" si="65"/>
        <v>-0.48728813559322037</v>
      </c>
      <c r="AM20" s="34">
        <f t="shared" si="65"/>
        <v>-7.2150072150072186E-2</v>
      </c>
      <c r="AN20" s="35">
        <f t="shared" ref="AN20" si="66">AN19/AI19-1</f>
        <v>-0.85945217781769201</v>
      </c>
      <c r="AO20" s="36">
        <f t="shared" ref="AO20" si="67">AO19/AJ19-1</f>
        <v>-0.63397683397683391</v>
      </c>
      <c r="AP20" s="34">
        <f t="shared" si="65"/>
        <v>-0.28405122235157154</v>
      </c>
      <c r="AQ20" s="34">
        <f t="shared" si="65"/>
        <v>0.5826446280991735</v>
      </c>
      <c r="AR20" s="34">
        <f t="shared" si="65"/>
        <v>5.4432348367029482E-2</v>
      </c>
      <c r="AS20" s="35">
        <f t="shared" ref="AS20" si="68">AS19/AN19-1</f>
        <v>-1.0654952076677315</v>
      </c>
      <c r="AT20" s="36">
        <f t="shared" ref="AT20:BD20" si="69">AT19/AO19-1</f>
        <v>-0.310126582278481</v>
      </c>
      <c r="AU20" s="34">
        <f t="shared" si="69"/>
        <v>0.85853658536585375</v>
      </c>
      <c r="AV20" s="34">
        <f t="shared" si="69"/>
        <v>0.86684073107049597</v>
      </c>
      <c r="AW20" s="34">
        <f t="shared" si="69"/>
        <v>4.9306784660766958</v>
      </c>
      <c r="AX20" s="35">
        <f t="shared" ref="AX20" si="70">AX19/AS19-1</f>
        <v>-51.975609756097562</v>
      </c>
      <c r="AY20" s="36">
        <f t="shared" si="69"/>
        <v>3.8740061162079513</v>
      </c>
      <c r="AZ20" s="34">
        <f t="shared" si="69"/>
        <v>-0.53018372703412076</v>
      </c>
      <c r="BA20" s="34">
        <f t="shared" si="69"/>
        <v>-0.220979020979021</v>
      </c>
      <c r="BB20" s="34">
        <f t="shared" si="69"/>
        <v>0.33126088037801549</v>
      </c>
      <c r="BC20" s="35">
        <f t="shared" ref="BC20" si="71">BC19/AX19-1</f>
        <v>-0.69760765550239234</v>
      </c>
      <c r="BD20" s="36">
        <f t="shared" si="69"/>
        <v>-0.11168277073660438</v>
      </c>
      <c r="BE20" s="34">
        <f t="shared" ref="BE20:BG20" si="72">BE19/AZ19-1</f>
        <v>-5.4690376898261173E-2</v>
      </c>
      <c r="BF20" s="34">
        <f t="shared" si="72"/>
        <v>-0.43039579487698176</v>
      </c>
      <c r="BG20" s="34">
        <f t="shared" si="72"/>
        <v>-0.97629220681834328</v>
      </c>
      <c r="BH20" s="35">
        <f t="shared" ref="BH20" si="73">BH19/BC19-1</f>
        <v>-0.93238535806014444</v>
      </c>
      <c r="BI20" s="36">
        <f t="shared" ref="BI20" si="74">BI19/BD19-1</f>
        <v>-0.85950825251214125</v>
      </c>
    </row>
    <row r="21" spans="1:62">
      <c r="F21" s="27"/>
      <c r="K21" s="27"/>
      <c r="P21" s="27"/>
      <c r="U21" s="27"/>
      <c r="Z21" s="27"/>
      <c r="AE21" s="27"/>
      <c r="AJ21" s="27"/>
      <c r="AO21" s="27"/>
      <c r="AT21" s="27"/>
      <c r="AY21" s="27"/>
      <c r="BD21" s="27"/>
      <c r="BI21" s="27"/>
    </row>
    <row r="22" spans="1:62" s="5" customFormat="1">
      <c r="A22" s="9" t="s">
        <v>211</v>
      </c>
      <c r="B22" s="118"/>
      <c r="C22" s="118"/>
      <c r="D22" s="118"/>
      <c r="E22" s="118"/>
      <c r="F22" s="119"/>
      <c r="G22" s="118">
        <f t="shared" ref="G22:AA22" si="75">+G19/G3</f>
        <v>6.19379056854618E-2</v>
      </c>
      <c r="H22" s="118">
        <f t="shared" si="75"/>
        <v>-8.1889663108099475E-2</v>
      </c>
      <c r="I22" s="118">
        <f t="shared" si="75"/>
        <v>8.5065789473684206E-2</v>
      </c>
      <c r="J22" s="118">
        <f t="shared" si="75"/>
        <v>8.2811848143512723E-2</v>
      </c>
      <c r="K22" s="119">
        <f t="shared" si="75"/>
        <v>3.4389436668275528E-2</v>
      </c>
      <c r="L22" s="118">
        <f t="shared" si="75"/>
        <v>6.7165907511773329E-2</v>
      </c>
      <c r="M22" s="118">
        <f t="shared" si="75"/>
        <v>8.9775910364145659E-2</v>
      </c>
      <c r="N22" s="118">
        <f t="shared" si="75"/>
        <v>9.829143117001235E-2</v>
      </c>
      <c r="O22" s="118">
        <f t="shared" si="75"/>
        <v>0.11612945152066545</v>
      </c>
      <c r="P22" s="119">
        <f t="shared" si="75"/>
        <v>9.3977315820319235E-2</v>
      </c>
      <c r="Q22" s="118">
        <f t="shared" si="75"/>
        <v>0.10907686365392043</v>
      </c>
      <c r="R22" s="118">
        <f t="shared" si="75"/>
        <v>0.12793864678899083</v>
      </c>
      <c r="S22" s="118">
        <f t="shared" si="75"/>
        <v>0.14448155781394356</v>
      </c>
      <c r="T22" s="118">
        <f t="shared" si="75"/>
        <v>0.15728026132720344</v>
      </c>
      <c r="U22" s="119">
        <f t="shared" si="75"/>
        <v>0.13617628132663176</v>
      </c>
      <c r="V22" s="118">
        <f t="shared" si="75"/>
        <v>9.9221789883268477E-2</v>
      </c>
      <c r="W22" s="118">
        <f t="shared" si="75"/>
        <v>-1.0474375264718341</v>
      </c>
      <c r="X22" s="118">
        <f t="shared" si="75"/>
        <v>-4.8490726148624078E-3</v>
      </c>
      <c r="Y22" s="118">
        <f t="shared" si="75"/>
        <v>-0.38113106405789332</v>
      </c>
      <c r="Z22" s="119">
        <f t="shared" si="75"/>
        <v>-0.20638660672763912</v>
      </c>
      <c r="AA22" s="118">
        <f t="shared" si="75"/>
        <v>-0.3332796132151491</v>
      </c>
      <c r="AB22" s="118">
        <f t="shared" ref="AB22:AM22" si="76">+AB19/AB3</f>
        <v>-1.6913655848132272</v>
      </c>
      <c r="AC22" s="118">
        <f t="shared" si="76"/>
        <v>-0.38070077864293661</v>
      </c>
      <c r="AD22" s="118">
        <f t="shared" si="76"/>
        <v>-1.6175972927241962</v>
      </c>
      <c r="AE22" s="119">
        <f t="shared" si="76"/>
        <v>-0.856762776884049</v>
      </c>
      <c r="AF22" s="118">
        <f t="shared" si="76"/>
        <v>-0.20051534317170297</v>
      </c>
      <c r="AG22" s="118">
        <f t="shared" si="76"/>
        <v>-7.8470490440565255E-2</v>
      </c>
      <c r="AH22" s="118">
        <f t="shared" si="76"/>
        <v>-0.15541601255886969</v>
      </c>
      <c r="AI22" s="118">
        <f t="shared" si="76"/>
        <v>-0.93768421052631579</v>
      </c>
      <c r="AJ22" s="119">
        <f t="shared" si="76"/>
        <v>-0.33217052275175701</v>
      </c>
      <c r="AK22" s="118">
        <f t="shared" si="76"/>
        <v>-0.20644075943282864</v>
      </c>
      <c r="AL22" s="118">
        <f t="shared" si="76"/>
        <v>-3.8913008522270462E-2</v>
      </c>
      <c r="AM22" s="118">
        <f t="shared" si="76"/>
        <v>-0.10266645377614561</v>
      </c>
      <c r="AN22" s="118">
        <f t="shared" ref="AN22:AR22" si="77">+AN19/AN3</f>
        <v>-6.7866435385949692E-2</v>
      </c>
      <c r="AO22" s="119">
        <f t="shared" si="77"/>
        <v>-9.1622530637491789E-2</v>
      </c>
      <c r="AP22" s="118">
        <f t="shared" si="77"/>
        <v>-9.1736276849642001E-2</v>
      </c>
      <c r="AQ22" s="118">
        <f t="shared" si="77"/>
        <v>-4.3325791855203619E-2</v>
      </c>
      <c r="AR22" s="118">
        <f t="shared" si="77"/>
        <v>-8.6084306754697817E-2</v>
      </c>
      <c r="AS22" s="118">
        <f t="shared" ref="AS22:AW22" si="78">+AS19/AS3</f>
        <v>3.9118404732372868E-3</v>
      </c>
      <c r="AT22" s="119">
        <f t="shared" si="78"/>
        <v>-4.8228665821067225E-2</v>
      </c>
      <c r="AU22" s="118">
        <f t="shared" si="78"/>
        <v>-0.24564796905222436</v>
      </c>
      <c r="AV22" s="118">
        <f t="shared" si="78"/>
        <v>-0.11910711311011161</v>
      </c>
      <c r="AW22" s="118">
        <f t="shared" si="78"/>
        <v>-0.5402391508800215</v>
      </c>
      <c r="AX22" s="118">
        <f t="shared" ref="AX22:BB22" si="79">+AX19/AX3</f>
        <v>-0.43889122217555648</v>
      </c>
      <c r="AY22" s="119">
        <f t="shared" si="79"/>
        <v>-0.34858492629368792</v>
      </c>
      <c r="AZ22" s="118">
        <f t="shared" si="79"/>
        <v>-6.5913833312875911E-2</v>
      </c>
      <c r="BA22" s="118">
        <f t="shared" si="79"/>
        <v>-5.1223100974802281E-2</v>
      </c>
      <c r="BB22" s="118">
        <f t="shared" si="79"/>
        <v>-0.4825130701279971</v>
      </c>
      <c r="BC22" s="118">
        <f t="shared" ref="BC22:BD22" si="80">+BC19/BC3</f>
        <v>-5.5540908691449162E-2</v>
      </c>
      <c r="BD22" s="119">
        <f t="shared" si="80"/>
        <v>-0.17060297874391478</v>
      </c>
      <c r="BE22" s="192">
        <v>-0.04</v>
      </c>
      <c r="BF22" s="192">
        <v>-2.5000000000000001E-2</v>
      </c>
      <c r="BG22" s="192">
        <v>-0.01</v>
      </c>
      <c r="BH22" s="118">
        <f t="shared" ref="BH22:BI22" si="81">+BH19/BH3</f>
        <v>-3.3672042234550877E-3</v>
      </c>
      <c r="BI22" s="119">
        <f t="shared" si="81"/>
        <v>-1.9591801055863771E-2</v>
      </c>
    </row>
    <row r="23" spans="1:62">
      <c r="A23" s="1" t="s">
        <v>4</v>
      </c>
      <c r="E23" s="35"/>
      <c r="F23" s="36"/>
      <c r="G23" s="34"/>
      <c r="H23" s="35"/>
      <c r="I23" s="35"/>
      <c r="J23" s="35"/>
      <c r="K23" s="36"/>
      <c r="L23" s="34">
        <f t="shared" ref="L23:AH23" si="82">L22/G22-1</f>
        <v>8.4407145647784843E-2</v>
      </c>
      <c r="M23" s="35">
        <f t="shared" si="82"/>
        <v>-2.0963033300751994</v>
      </c>
      <c r="N23" s="35">
        <f t="shared" si="82"/>
        <v>0.15547544762891552</v>
      </c>
      <c r="O23" s="35">
        <f t="shared" si="82"/>
        <v>0.40232894355181403</v>
      </c>
      <c r="P23" s="36">
        <f t="shared" si="82"/>
        <v>1.7327378673525611</v>
      </c>
      <c r="Q23" s="34">
        <f t="shared" si="82"/>
        <v>0.62399151138992126</v>
      </c>
      <c r="R23" s="35">
        <f t="shared" si="82"/>
        <v>0.42508882694757344</v>
      </c>
      <c r="S23" s="35">
        <f t="shared" si="82"/>
        <v>0.46993034992070926</v>
      </c>
      <c r="T23" s="35">
        <f t="shared" si="82"/>
        <v>0.35435291622999809</v>
      </c>
      <c r="U23" s="36">
        <f t="shared" si="82"/>
        <v>0.44903352620748627</v>
      </c>
      <c r="V23" s="34">
        <f t="shared" si="82"/>
        <v>-9.0349808754312644E-2</v>
      </c>
      <c r="W23" s="35">
        <f t="shared" si="82"/>
        <v>-9.1870298987871308</v>
      </c>
      <c r="X23" s="35">
        <f t="shared" si="82"/>
        <v>-1.0335618793722228</v>
      </c>
      <c r="Y23" s="35">
        <f t="shared" si="82"/>
        <v>-3.4232606230542442</v>
      </c>
      <c r="Z23" s="36">
        <f t="shared" si="82"/>
        <v>-2.5155840996465546</v>
      </c>
      <c r="AA23" s="34">
        <f t="shared" si="82"/>
        <v>-4.3589357096585619</v>
      </c>
      <c r="AB23" s="34">
        <f t="shared" si="82"/>
        <v>0.6147651216110106</v>
      </c>
      <c r="AC23" s="34">
        <f t="shared" si="82"/>
        <v>77.510018075639593</v>
      </c>
      <c r="AD23" s="35">
        <f>AD22/Y22-1</f>
        <v>3.2442021794331755</v>
      </c>
      <c r="AE23" s="36">
        <f>AE22/Z22-1</f>
        <v>3.1512518203988282</v>
      </c>
      <c r="AF23" s="34">
        <f>AF22/AA22-1</f>
        <v>-0.39835700948722585</v>
      </c>
      <c r="AG23" s="34">
        <f t="shared" si="82"/>
        <v>-0.95360524587637829</v>
      </c>
      <c r="AH23" s="34">
        <f t="shared" si="82"/>
        <v>-0.59176334465909752</v>
      </c>
      <c r="AI23" s="35">
        <f t="shared" ref="AI23:AR23" si="83">AI22/AD22-1</f>
        <v>-0.42032283637965207</v>
      </c>
      <c r="AJ23" s="36">
        <f t="shared" si="83"/>
        <v>-0.61229580496035985</v>
      </c>
      <c r="AK23" s="34">
        <f t="shared" si="83"/>
        <v>2.9550936937786654E-2</v>
      </c>
      <c r="AL23" s="34">
        <f t="shared" si="83"/>
        <v>-0.50410646978504903</v>
      </c>
      <c r="AM23" s="34">
        <f t="shared" si="83"/>
        <v>-0.33940877721813378</v>
      </c>
      <c r="AN23" s="35">
        <f t="shared" ref="AN23" si="84">AN22/AI22-1</f>
        <v>-0.92762335696379417</v>
      </c>
      <c r="AO23" s="36">
        <f t="shared" ref="AO23" si="85">AO22/AJ22-1</f>
        <v>-0.72417019463835874</v>
      </c>
      <c r="AP23" s="34">
        <f t="shared" si="83"/>
        <v>-0.55562904776325917</v>
      </c>
      <c r="AQ23" s="34">
        <f t="shared" si="83"/>
        <v>0.1134012377996334</v>
      </c>
      <c r="AR23" s="34">
        <f t="shared" si="83"/>
        <v>-0.16151475395851866</v>
      </c>
      <c r="AS23" s="35">
        <f t="shared" ref="AS23" si="86">AS22/AN22-1</f>
        <v>-1.0576402819890427</v>
      </c>
      <c r="AT23" s="36">
        <f t="shared" ref="AT23:BD23" si="87">AT22/AO22-1</f>
        <v>-0.47361565451749121</v>
      </c>
      <c r="AU23" s="34">
        <f t="shared" si="87"/>
        <v>1.6777625764652231</v>
      </c>
      <c r="AV23" s="34">
        <f t="shared" si="87"/>
        <v>1.7491041250480071</v>
      </c>
      <c r="AW23" s="34">
        <f t="shared" si="87"/>
        <v>5.2756984547655597</v>
      </c>
      <c r="AX23" s="35">
        <f t="shared" ref="AX23" si="88">AX22/AS22-1</f>
        <v>-113.19558291760993</v>
      </c>
      <c r="AY23" s="36">
        <f t="shared" si="87"/>
        <v>6.2277538754020272</v>
      </c>
      <c r="AZ23" s="34">
        <f t="shared" si="87"/>
        <v>-0.73167360769482803</v>
      </c>
      <c r="BA23" s="34">
        <f t="shared" si="87"/>
        <v>-0.56994087391365311</v>
      </c>
      <c r="BB23" s="34">
        <f t="shared" si="87"/>
        <v>-0.10685282741539859</v>
      </c>
      <c r="BC23" s="35">
        <f t="shared" ref="BC23" si="89">BC22/AX22-1</f>
        <v>-0.87345176689536796</v>
      </c>
      <c r="BD23" s="36">
        <f t="shared" si="87"/>
        <v>-0.51058417655105592</v>
      </c>
      <c r="BE23" s="34">
        <f t="shared" ref="BE23:BG23" si="90">BE22/AZ22-1</f>
        <v>-0.39314711359404098</v>
      </c>
      <c r="BF23" s="34">
        <f t="shared" si="90"/>
        <v>-0.51193895870736084</v>
      </c>
      <c r="BG23" s="34">
        <f t="shared" si="90"/>
        <v>-0.97927517280029885</v>
      </c>
      <c r="BH23" s="35">
        <f t="shared" ref="BH23" si="91">BH22/BC22-1</f>
        <v>-0.93937434041345658</v>
      </c>
      <c r="BI23" s="36">
        <f t="shared" ref="BI23" si="92">BI22/BD22-1</f>
        <v>-0.88516143621810828</v>
      </c>
    </row>
    <row r="24" spans="1:62">
      <c r="A24" s="1"/>
      <c r="F24" s="27"/>
      <c r="K24" s="27"/>
      <c r="P24" s="27"/>
      <c r="U24" s="27"/>
      <c r="Z24" s="27"/>
      <c r="AE24" s="27"/>
      <c r="AJ24" s="27"/>
      <c r="AO24" s="27"/>
      <c r="AT24" s="27"/>
      <c r="AY24" s="27"/>
      <c r="BD24" s="27"/>
      <c r="BI24" s="27"/>
    </row>
    <row r="25" spans="1:62">
      <c r="A25" s="14" t="s">
        <v>64</v>
      </c>
      <c r="F25" s="27"/>
      <c r="K25" s="27"/>
      <c r="P25" s="27"/>
      <c r="U25" s="27"/>
      <c r="Z25" s="27"/>
      <c r="AE25" s="27"/>
      <c r="AJ25" s="27"/>
      <c r="AO25" s="27"/>
      <c r="AT25" s="27"/>
      <c r="AY25" s="27"/>
      <c r="BD25" s="27"/>
      <c r="BI25" s="27"/>
    </row>
    <row r="26" spans="1:62">
      <c r="A26" s="1" t="s">
        <v>0</v>
      </c>
      <c r="B26" s="116"/>
      <c r="C26" s="117"/>
      <c r="D26" s="117"/>
      <c r="E26" s="117"/>
      <c r="F26" s="115"/>
      <c r="G26" s="116">
        <f>G3/$K$3</f>
        <v>0.22041991312142314</v>
      </c>
      <c r="H26" s="117">
        <f>H3/$K$3</f>
        <v>0.26965110666758602</v>
      </c>
      <c r="I26" s="117">
        <f>I3/$K$3</f>
        <v>0.26201475556781356</v>
      </c>
      <c r="J26" s="117">
        <f>J3/$K$3</f>
        <v>0.24791422464317728</v>
      </c>
      <c r="K26" s="115" t="b">
        <f>1=SUM(G26:J26)</f>
        <v>1</v>
      </c>
      <c r="L26" s="116">
        <f>L3/$P$3</f>
        <v>0.22327369255696899</v>
      </c>
      <c r="M26" s="117">
        <f>M3/$P$3</f>
        <v>0.24614748164236219</v>
      </c>
      <c r="N26" s="117">
        <f>N3/$P$3</f>
        <v>0.26533250594684044</v>
      </c>
      <c r="O26" s="117">
        <f>O3/$P$3</f>
        <v>0.26524631985382841</v>
      </c>
      <c r="P26" s="115" t="b">
        <f>1=SUM(L26:O26)</f>
        <v>1</v>
      </c>
      <c r="Q26" s="116">
        <f>Q3/$U$3</f>
        <v>0.22513435016261152</v>
      </c>
      <c r="R26" s="117">
        <f>R3/$U$3</f>
        <v>0.24264769822083862</v>
      </c>
      <c r="S26" s="117">
        <f>S3/$U$3</f>
        <v>0.24471729943129444</v>
      </c>
      <c r="T26" s="117">
        <f>T3/$U$3</f>
        <v>0.28750065218525539</v>
      </c>
      <c r="U26" s="115" t="b">
        <f>1=SUM(Q26:T26)</f>
        <v>1</v>
      </c>
      <c r="V26" s="116">
        <f>V3/$Z$3</f>
        <v>0.36651681909781431</v>
      </c>
      <c r="W26" s="117">
        <f>W3/$Z$3</f>
        <v>0.14639590761122306</v>
      </c>
      <c r="X26" s="117">
        <f>X3/$Z$3</f>
        <v>0.25574329561308323</v>
      </c>
      <c r="Y26" s="117">
        <f>Y3/$Z$3</f>
        <v>0.2313439776778794</v>
      </c>
      <c r="Z26" s="115" t="b">
        <f>1=SUM(V26:Y26)</f>
        <v>1</v>
      </c>
      <c r="AA26" s="116">
        <f>AA3/$AE$3</f>
        <v>0.3839252567751516</v>
      </c>
      <c r="AB26" s="116">
        <f>AB3/$AE$3</f>
        <v>0.10103947531246132</v>
      </c>
      <c r="AC26" s="116">
        <f>AC3/$AE$3</f>
        <v>0.22249721569112735</v>
      </c>
      <c r="AD26" s="117">
        <f>AD3/$AE$3</f>
        <v>0.29253805222125973</v>
      </c>
      <c r="AE26" s="115" t="b">
        <f>1=SUM(AA26:AD26)</f>
        <v>1</v>
      </c>
      <c r="AF26" s="116">
        <f>AF3/$AJ$3</f>
        <v>0.21900169291540553</v>
      </c>
      <c r="AG26" s="116">
        <f>AG3/$AJ$3</f>
        <v>0.30857230800800289</v>
      </c>
      <c r="AH26" s="116">
        <f>AH3/$AJ$3</f>
        <v>0.22874878161391268</v>
      </c>
      <c r="AI26" s="116">
        <f>AI3/$AJ$3</f>
        <v>0.2436772174626789</v>
      </c>
      <c r="AJ26" s="115" t="b">
        <f>1=SUM(AF26:AI26)</f>
        <v>1</v>
      </c>
      <c r="AK26" s="116">
        <f>AK3/$AO$3</f>
        <v>0.16086132910658368</v>
      </c>
      <c r="AL26" s="116">
        <f>AL3/$AO$3</f>
        <v>0.24042215950825377</v>
      </c>
      <c r="AM26" s="116">
        <f>AM3/$AO$3</f>
        <v>0.24212316851586965</v>
      </c>
      <c r="AN26" s="116">
        <f>AN3/$AO$3</f>
        <v>0.3565933428692929</v>
      </c>
      <c r="AO26" s="115" t="b">
        <f>1=SUM(AK26:AN26)</f>
        <v>1</v>
      </c>
      <c r="AP26" s="116">
        <f>AP3/$AT$3</f>
        <v>0.19775227869384385</v>
      </c>
      <c r="AQ26" s="116">
        <f>AQ3/$AT$3</f>
        <v>0.26075926963806378</v>
      </c>
      <c r="AR26" s="116">
        <f>AR3/$AT$3</f>
        <v>0.2323235302793428</v>
      </c>
      <c r="AS26" s="116">
        <f>AS3/$AT$3</f>
        <v>0.30916492138874957</v>
      </c>
      <c r="AT26" s="115" t="b">
        <f>1=SUM(AP26:AS26)</f>
        <v>1</v>
      </c>
      <c r="AU26" s="116">
        <f>AU3/$AY$3</f>
        <v>0.20353440356939767</v>
      </c>
      <c r="AV26" s="116">
        <f t="shared" ref="AV26:AX26" si="93">AV3/$AY$3</f>
        <v>0.26258693845413589</v>
      </c>
      <c r="AW26" s="116">
        <f t="shared" si="93"/>
        <v>0.32557630899785661</v>
      </c>
      <c r="AX26" s="116">
        <f t="shared" si="93"/>
        <v>0.20830234897860986</v>
      </c>
      <c r="AY26" s="115" t="b">
        <f>1=SUM(AU26:AX26)</f>
        <v>1</v>
      </c>
      <c r="AZ26" s="116">
        <f>AZ3/$BD$3</f>
        <v>0.19634163975514532</v>
      </c>
      <c r="BA26" s="116">
        <f t="shared" ref="BA26:BC26" si="94">BA3/$BD$3</f>
        <v>0.26206198486528171</v>
      </c>
      <c r="BB26" s="116">
        <f t="shared" si="94"/>
        <v>0.26736395623463632</v>
      </c>
      <c r="BC26" s="116">
        <f t="shared" si="94"/>
        <v>0.27423241914493662</v>
      </c>
      <c r="BD26" s="115" t="b">
        <f>1=SUM(AZ26:BC26)</f>
        <v>1</v>
      </c>
      <c r="BE26" s="116">
        <f>BE3/$BI$3</f>
        <v>0.25</v>
      </c>
      <c r="BF26" s="116">
        <f>BF3/$BI$3</f>
        <v>0.25</v>
      </c>
      <c r="BG26" s="116">
        <f>BG3/$BI$3</f>
        <v>0.25</v>
      </c>
      <c r="BH26" s="116">
        <f>BH3/$BI$3</f>
        <v>0.25</v>
      </c>
      <c r="BI26" s="115" t="b">
        <f>1=SUM(BE26:BH26)</f>
        <v>1</v>
      </c>
    </row>
    <row r="27" spans="1:62">
      <c r="A27" s="1" t="s">
        <v>9</v>
      </c>
      <c r="B27" s="116"/>
      <c r="C27" s="117"/>
      <c r="D27" s="117"/>
      <c r="E27" s="117"/>
      <c r="F27" s="115"/>
      <c r="G27" s="116">
        <f>G19/$K$19</f>
        <v>0.39699248120300751</v>
      </c>
      <c r="H27" s="117">
        <f>H19/$K$19</f>
        <v>-0.64210526315789473</v>
      </c>
      <c r="I27" s="117">
        <f>I19/$K$19</f>
        <v>0.64812030075187965</v>
      </c>
      <c r="J27" s="117">
        <f>J19/$K$19</f>
        <v>0.59699248120300752</v>
      </c>
      <c r="K27" s="115" t="b">
        <f>1=SUM(G27:J27)</f>
        <v>1</v>
      </c>
      <c r="L27" s="116">
        <f>L19/$P$19</f>
        <v>0.15957446808510639</v>
      </c>
      <c r="M27" s="117">
        <f>M19/$P$19</f>
        <v>0.23514306676449009</v>
      </c>
      <c r="N27" s="117">
        <f>N19/$P$19</f>
        <v>0.27751283932501836</v>
      </c>
      <c r="O27" s="117">
        <f>O19/$P$19</f>
        <v>0.32776962582538516</v>
      </c>
      <c r="P27" s="115" t="b">
        <f>1=SUM(L27:O27)</f>
        <v>1</v>
      </c>
      <c r="Q27" s="116">
        <f>Q19/$U$19</f>
        <v>0.18033205619412515</v>
      </c>
      <c r="R27" s="117">
        <f>R19/$U$19</f>
        <v>0.22796934865900384</v>
      </c>
      <c r="S27" s="117">
        <f>S19/$U$19</f>
        <v>0.25964240102171138</v>
      </c>
      <c r="T27" s="117">
        <f>T19/$U$19</f>
        <v>0.33205619412515963</v>
      </c>
      <c r="U27" s="115" t="b">
        <f>1=SUM(Q27:T27)</f>
        <v>1</v>
      </c>
      <c r="V27" s="116">
        <f>V19/$Z$19</f>
        <v>-0.17620549797205948</v>
      </c>
      <c r="W27" s="117">
        <f>W19/$Z$19</f>
        <v>0.74297731710980919</v>
      </c>
      <c r="X27" s="117">
        <f>X19/$Z$19</f>
        <v>6.0087126333183112E-3</v>
      </c>
      <c r="Y27" s="117">
        <f>Y19/$Z$19</f>
        <v>0.42721946822893198</v>
      </c>
      <c r="Z27" s="115" t="b">
        <f>1=SUM(V27:Y27)</f>
        <v>1</v>
      </c>
      <c r="AA27" s="116">
        <f>AA19/$AE$19</f>
        <v>0.14934642882934931</v>
      </c>
      <c r="AB27" s="116">
        <f>AB19/$AE$19</f>
        <v>0.19946558821405358</v>
      </c>
      <c r="AC27" s="116">
        <f>AC19/$AE$19</f>
        <v>9.8866180400086656E-2</v>
      </c>
      <c r="AD27" s="117">
        <f>AD19/$AE$19</f>
        <v>0.55232180255651042</v>
      </c>
      <c r="AE27" s="115" t="b">
        <f>1=SUM(AA27:AD27)</f>
        <v>1</v>
      </c>
      <c r="AF27" s="116">
        <f>AF19/$AJ$19</f>
        <v>0.1322007722007722</v>
      </c>
      <c r="AG27" s="116">
        <f>AG19/$AJ$19</f>
        <v>7.2895752895752897E-2</v>
      </c>
      <c r="AH27" s="116">
        <f>AH19/$AJ$19</f>
        <v>0.10702702702702703</v>
      </c>
      <c r="AI27" s="116">
        <f>AI19/$AJ$19</f>
        <v>0.68787644787644786</v>
      </c>
      <c r="AJ27" s="115" t="b">
        <f>1=SUM(AF27:AI27)</f>
        <v>1</v>
      </c>
      <c r="AK27" s="116">
        <f>AK19/$AO$19</f>
        <v>0.36244725738396627</v>
      </c>
      <c r="AL27" s="116">
        <f>AL19/$AO$19</f>
        <v>0.1021097046413502</v>
      </c>
      <c r="AM27" s="116">
        <f>AM19/$AO$19</f>
        <v>0.27130801687763711</v>
      </c>
      <c r="AN27" s="116">
        <f>AN19/$AO$19</f>
        <v>0.2641350210970464</v>
      </c>
      <c r="AO27" s="115" t="b">
        <f>1=SUM(AK27:AN27)</f>
        <v>1</v>
      </c>
      <c r="AP27" s="116">
        <f>AP19/$AT$19</f>
        <v>0.37614678899082571</v>
      </c>
      <c r="AQ27" s="116">
        <f>AQ19/$AT$19</f>
        <v>0.23425076452599389</v>
      </c>
      <c r="AR27" s="116">
        <f>AR19/$AT$19</f>
        <v>0.41467889908256883</v>
      </c>
      <c r="AS27" s="32">
        <f t="shared" ref="AS27" si="95">AS19/$AT$19</f>
        <v>-2.5076452599388378E-2</v>
      </c>
      <c r="AT27" s="115" t="b">
        <f>1=SUM(AP27:AS27)</f>
        <v>1</v>
      </c>
      <c r="AU27" s="116">
        <f>AU19/$AY$19</f>
        <v>0.14343079432802108</v>
      </c>
      <c r="AV27" s="116">
        <f t="shared" ref="AV27:AX27" si="96">AV19/$AY$19</f>
        <v>8.9722675367047311E-2</v>
      </c>
      <c r="AW27" s="116">
        <f t="shared" si="96"/>
        <v>0.50458024846279337</v>
      </c>
      <c r="AX27" s="116">
        <f t="shared" si="96"/>
        <v>0.26226628184213829</v>
      </c>
      <c r="AY27" s="115" t="b">
        <f>1=SUM(AU27:AX27)</f>
        <v>1</v>
      </c>
      <c r="AZ27" s="116">
        <f>AZ19/$BD$19</f>
        <v>7.5858172058200307E-2</v>
      </c>
      <c r="BA27" s="116">
        <f t="shared" ref="BA27:BC27" si="97">BA19/$BD$19</f>
        <v>7.8683429862974996E-2</v>
      </c>
      <c r="BB27" s="116">
        <f t="shared" si="97"/>
        <v>0.75618025144794465</v>
      </c>
      <c r="BC27" s="116">
        <f t="shared" si="97"/>
        <v>8.9278146630880073E-2</v>
      </c>
      <c r="BD27" s="115" t="b">
        <f>1=SUM(AZ27:BC27)</f>
        <v>1</v>
      </c>
      <c r="BE27" s="116">
        <f>BE19/$BI$19</f>
        <v>0.51041759619170024</v>
      </c>
      <c r="BF27" s="116">
        <f>BF19/$BI$19</f>
        <v>0.31901099761981266</v>
      </c>
      <c r="BG27" s="116">
        <f>BG19/$BI$19</f>
        <v>0.12760439904792506</v>
      </c>
      <c r="BH27" s="116">
        <f>BH19/$BI$19</f>
        <v>4.2967007140562161E-2</v>
      </c>
      <c r="BI27" s="115" t="b">
        <f>1=SUM(BE27:BH27)</f>
        <v>1</v>
      </c>
    </row>
    <row r="28" spans="1:62">
      <c r="A28" s="1"/>
      <c r="B28" s="116"/>
      <c r="C28" s="117"/>
      <c r="D28" s="117"/>
      <c r="E28" s="117"/>
      <c r="F28" s="115"/>
      <c r="G28" s="116"/>
      <c r="H28" s="117"/>
      <c r="I28" s="117"/>
      <c r="J28" s="117"/>
      <c r="K28" s="115"/>
      <c r="L28" s="116"/>
      <c r="M28" s="117"/>
      <c r="N28" s="117"/>
      <c r="O28" s="117"/>
      <c r="P28" s="115"/>
      <c r="Q28" s="116"/>
      <c r="R28" s="117"/>
      <c r="S28" s="117"/>
      <c r="T28" s="117"/>
      <c r="U28" s="115"/>
      <c r="V28" s="116"/>
      <c r="W28" s="117"/>
      <c r="X28" s="117"/>
      <c r="Y28" s="117"/>
      <c r="Z28" s="115"/>
      <c r="AA28" s="116"/>
      <c r="AB28" s="116"/>
      <c r="AC28" s="116"/>
      <c r="AD28" s="116"/>
      <c r="AE28" s="115"/>
      <c r="AF28" s="116"/>
      <c r="AG28" s="116"/>
      <c r="AH28" s="116"/>
      <c r="AI28" s="116"/>
      <c r="AJ28" s="115"/>
      <c r="AK28" s="116"/>
      <c r="AL28" s="116"/>
      <c r="AM28" s="116"/>
      <c r="AN28" s="116"/>
      <c r="AO28" s="115"/>
      <c r="AP28" s="116"/>
      <c r="AQ28" s="116"/>
      <c r="AR28" s="116"/>
      <c r="AS28" s="116"/>
      <c r="AT28" s="115"/>
      <c r="AU28" s="116"/>
      <c r="AV28" s="116"/>
      <c r="AW28" s="116"/>
      <c r="AX28" s="116"/>
      <c r="AY28" s="115"/>
      <c r="AZ28" s="116"/>
      <c r="BA28" s="116"/>
      <c r="BB28" s="116"/>
      <c r="BC28" s="116"/>
      <c r="BD28" s="115"/>
      <c r="BE28" s="116"/>
      <c r="BF28" s="116"/>
      <c r="BG28" s="116"/>
      <c r="BH28" s="116"/>
      <c r="BI28" s="115"/>
    </row>
    <row r="29" spans="1:62" s="5" customFormat="1">
      <c r="A29" s="9" t="s">
        <v>418</v>
      </c>
      <c r="B29" s="118"/>
      <c r="C29" s="118"/>
      <c r="D29" s="118"/>
      <c r="E29" s="118"/>
      <c r="F29" s="119"/>
      <c r="G29" s="118"/>
      <c r="H29" s="118"/>
      <c r="I29" s="118"/>
      <c r="J29" s="118"/>
      <c r="K29" s="119"/>
      <c r="L29" s="118"/>
      <c r="M29" s="118"/>
      <c r="N29" s="118"/>
      <c r="O29" s="118"/>
      <c r="P29" s="119"/>
      <c r="Q29" s="118"/>
      <c r="R29" s="118"/>
      <c r="S29" s="118"/>
      <c r="T29" s="118"/>
      <c r="U29" s="119"/>
      <c r="V29" s="118"/>
      <c r="W29" s="118"/>
      <c r="X29" s="118"/>
      <c r="Y29" s="118"/>
      <c r="Z29" s="119"/>
      <c r="AA29" s="118"/>
      <c r="AB29" s="192"/>
      <c r="AC29" s="192"/>
      <c r="AD29" s="192"/>
      <c r="AE29" s="119"/>
      <c r="AF29" s="118"/>
      <c r="AG29" s="192"/>
      <c r="AH29" s="192"/>
      <c r="AI29" s="192"/>
      <c r="AJ29" s="119"/>
      <c r="AK29" s="118"/>
      <c r="AL29" s="192"/>
      <c r="AM29" s="192"/>
      <c r="AN29" s="192"/>
      <c r="AO29" s="119"/>
      <c r="AP29" s="118"/>
      <c r="AQ29" s="192"/>
      <c r="AR29" s="192"/>
      <c r="AS29" s="192"/>
      <c r="AT29" s="119"/>
      <c r="AU29" s="118"/>
      <c r="AV29" s="192"/>
      <c r="AW29" s="192"/>
      <c r="AX29" s="192"/>
      <c r="AY29" s="119"/>
      <c r="AZ29" s="192"/>
      <c r="BA29" s="192"/>
      <c r="BB29" s="192"/>
      <c r="BC29" s="192"/>
      <c r="BD29" s="119"/>
      <c r="BE29" s="192"/>
      <c r="BF29" s="192"/>
      <c r="BG29" s="192"/>
      <c r="BH29" s="192"/>
      <c r="BI29" s="119"/>
      <c r="BJ29" s="311"/>
    </row>
    <row r="30" spans="1:62">
      <c r="A30" s="5" t="s">
        <v>342</v>
      </c>
      <c r="B30" s="19"/>
      <c r="C30" s="19"/>
      <c r="D30" s="19"/>
      <c r="E30" s="20"/>
      <c r="F30" s="21"/>
      <c r="G30" s="19"/>
      <c r="H30" s="19"/>
      <c r="I30" s="19"/>
      <c r="J30" s="20"/>
      <c r="K30" s="21"/>
      <c r="L30" s="19"/>
      <c r="M30" s="19"/>
      <c r="N30" s="19"/>
      <c r="O30" s="20"/>
      <c r="P30" s="21"/>
      <c r="Q30" s="19"/>
      <c r="R30" s="19"/>
      <c r="S30" s="19"/>
      <c r="T30" s="20"/>
      <c r="U30" s="21"/>
      <c r="V30" s="19"/>
      <c r="W30" s="19"/>
      <c r="X30" s="19"/>
      <c r="Y30" s="20"/>
      <c r="Z30" s="21"/>
      <c r="AA30" s="41"/>
      <c r="AB30" s="41"/>
      <c r="AC30" s="41"/>
      <c r="AD30" s="41"/>
      <c r="AE30" s="23"/>
      <c r="AF30" s="41"/>
      <c r="AG30" s="41"/>
      <c r="AH30" s="41"/>
      <c r="AI30" s="41"/>
      <c r="AJ30" s="23"/>
      <c r="AK30" s="41"/>
      <c r="AL30" s="41"/>
      <c r="AM30" s="41"/>
      <c r="AN30" s="41"/>
      <c r="AO30" s="23"/>
      <c r="AP30" s="41"/>
      <c r="AQ30" s="41"/>
      <c r="AR30" s="41"/>
      <c r="AS30" s="41"/>
      <c r="AT30" s="23"/>
      <c r="AU30" s="41"/>
      <c r="AV30" s="41"/>
      <c r="AW30" s="41"/>
      <c r="AX30" s="41"/>
      <c r="AY30" s="23"/>
      <c r="AZ30" s="41"/>
      <c r="BA30" s="41"/>
      <c r="BB30" s="41"/>
      <c r="BC30" s="41"/>
      <c r="BD30" s="23"/>
      <c r="BE30" s="41"/>
      <c r="BF30" s="41"/>
      <c r="BG30" s="41"/>
      <c r="BH30" s="41"/>
      <c r="BI30" s="23"/>
    </row>
    <row r="31" spans="1:62">
      <c r="A31" s="1" t="s">
        <v>410</v>
      </c>
      <c r="B31" s="19">
        <v>0</v>
      </c>
      <c r="C31" s="19">
        <v>0</v>
      </c>
      <c r="D31" s="19">
        <v>0</v>
      </c>
      <c r="E31" s="19">
        <v>0</v>
      </c>
      <c r="F31" s="289">
        <f>SUM(B31:E31)</f>
        <v>0</v>
      </c>
      <c r="G31" s="19">
        <v>0</v>
      </c>
      <c r="H31" s="19">
        <v>0</v>
      </c>
      <c r="I31" s="19">
        <v>0</v>
      </c>
      <c r="J31" s="19">
        <v>0</v>
      </c>
      <c r="K31" s="289">
        <f>SUM(G31:J31)</f>
        <v>0</v>
      </c>
      <c r="L31" s="19">
        <v>0</v>
      </c>
      <c r="M31" s="19">
        <v>0</v>
      </c>
      <c r="N31" s="19">
        <v>0</v>
      </c>
      <c r="O31" s="19">
        <v>0</v>
      </c>
      <c r="P31" s="289">
        <f>SUM(L31:O31)</f>
        <v>0</v>
      </c>
      <c r="Q31" s="19">
        <v>0</v>
      </c>
      <c r="R31" s="19">
        <v>0</v>
      </c>
      <c r="S31" s="19">
        <v>0</v>
      </c>
      <c r="T31" s="19">
        <v>0</v>
      </c>
      <c r="U31" s="289">
        <f>SUM(Q31:T31)</f>
        <v>0</v>
      </c>
      <c r="V31" s="19">
        <v>0</v>
      </c>
      <c r="W31" s="19">
        <v>0</v>
      </c>
      <c r="X31" s="19">
        <v>0</v>
      </c>
      <c r="Y31" s="19">
        <v>0</v>
      </c>
      <c r="Z31" s="289">
        <f>SUM(V31:Y31)</f>
        <v>0</v>
      </c>
      <c r="AA31" s="41">
        <v>-336</v>
      </c>
      <c r="AB31" s="41">
        <v>0</v>
      </c>
      <c r="AC31" s="41">
        <v>0</v>
      </c>
      <c r="AD31" s="19">
        <v>0</v>
      </c>
      <c r="AE31" s="289">
        <f>SUM(AA31:AD31)</f>
        <v>-336</v>
      </c>
      <c r="AF31" s="41">
        <v>0</v>
      </c>
      <c r="AG31" s="41">
        <v>0</v>
      </c>
      <c r="AH31" s="41">
        <v>0</v>
      </c>
      <c r="AI31" s="41">
        <v>0</v>
      </c>
      <c r="AJ31" s="289">
        <f>SUM(AF31:AI31)</f>
        <v>0</v>
      </c>
      <c r="AK31" s="41">
        <v>0</v>
      </c>
      <c r="AL31" s="41">
        <v>0</v>
      </c>
      <c r="AM31" s="41">
        <v>0</v>
      </c>
      <c r="AN31" s="19">
        <v>0</v>
      </c>
      <c r="AO31" s="289">
        <f>SUM(AK31:AN31)</f>
        <v>0</v>
      </c>
      <c r="AP31" s="41">
        <v>0</v>
      </c>
      <c r="AQ31" s="41">
        <v>0</v>
      </c>
      <c r="AR31" s="41">
        <v>0</v>
      </c>
      <c r="AS31" s="446">
        <v>0</v>
      </c>
      <c r="AT31" s="289">
        <f>SUM(AP31:AS31)</f>
        <v>0</v>
      </c>
      <c r="AU31" s="41">
        <v>0</v>
      </c>
      <c r="AV31" s="41">
        <v>0</v>
      </c>
      <c r="AW31" s="41">
        <v>0</v>
      </c>
      <c r="AX31" s="41">
        <v>0</v>
      </c>
      <c r="AY31" s="289">
        <f>SUM(AU31:AX31)</f>
        <v>0</v>
      </c>
      <c r="AZ31" s="41">
        <v>0</v>
      </c>
      <c r="BA31" s="41">
        <v>0</v>
      </c>
      <c r="BB31" s="41">
        <v>0</v>
      </c>
      <c r="BC31" s="41">
        <v>0</v>
      </c>
      <c r="BD31" s="289">
        <f>SUM(AZ31:BC31)</f>
        <v>0</v>
      </c>
      <c r="BE31" s="41">
        <v>0</v>
      </c>
      <c r="BF31" s="41">
        <v>0</v>
      </c>
      <c r="BG31" s="41">
        <v>0</v>
      </c>
      <c r="BH31" s="41">
        <v>0</v>
      </c>
      <c r="BI31" s="289">
        <f>SUM(BE31:BH31)</f>
        <v>0</v>
      </c>
    </row>
    <row r="32" spans="1:62">
      <c r="A32" s="1" t="s">
        <v>341</v>
      </c>
      <c r="B32" s="19">
        <v>0</v>
      </c>
      <c r="C32" s="19">
        <v>0</v>
      </c>
      <c r="D32" s="19">
        <v>0</v>
      </c>
      <c r="E32" s="19">
        <v>0</v>
      </c>
      <c r="F32" s="289">
        <f>SUM(B32:E32)</f>
        <v>0</v>
      </c>
      <c r="G32" s="19">
        <v>0</v>
      </c>
      <c r="H32" s="19">
        <v>0</v>
      </c>
      <c r="I32" s="19">
        <v>0</v>
      </c>
      <c r="J32" s="19">
        <v>0</v>
      </c>
      <c r="K32" s="289">
        <f>SUM(G32:J32)</f>
        <v>0</v>
      </c>
      <c r="L32" s="19">
        <v>0</v>
      </c>
      <c r="M32" s="19">
        <v>0</v>
      </c>
      <c r="N32" s="19">
        <v>0</v>
      </c>
      <c r="O32" s="19">
        <v>0</v>
      </c>
      <c r="P32" s="289">
        <f>SUM(L32:O32)</f>
        <v>0</v>
      </c>
      <c r="Q32" s="19">
        <v>0</v>
      </c>
      <c r="R32" s="19">
        <v>0</v>
      </c>
      <c r="S32" s="19">
        <v>0</v>
      </c>
      <c r="T32" s="19">
        <v>0</v>
      </c>
      <c r="U32" s="289">
        <f>SUM(Q32:T32)</f>
        <v>0</v>
      </c>
      <c r="V32" s="19">
        <v>0</v>
      </c>
      <c r="W32" s="41">
        <v>0</v>
      </c>
      <c r="X32" s="41">
        <v>-5600</v>
      </c>
      <c r="Y32" s="41">
        <v>-2600</v>
      </c>
      <c r="Z32" s="289">
        <f>SUM(V32:Y32)</f>
        <v>-8200</v>
      </c>
      <c r="AA32" s="41">
        <v>-797</v>
      </c>
      <c r="AB32" s="41">
        <v>-712</v>
      </c>
      <c r="AC32" s="41">
        <v>-590</v>
      </c>
      <c r="AD32" s="19">
        <v>0</v>
      </c>
      <c r="AE32" s="289">
        <f>SUM(AA32:AD32)</f>
        <v>-2099</v>
      </c>
      <c r="AF32" s="41">
        <v>-568</v>
      </c>
      <c r="AG32" s="41">
        <v>-515</v>
      </c>
      <c r="AH32" s="41">
        <f>-1501-AG32-AF32</f>
        <v>-418</v>
      </c>
      <c r="AI32" s="41">
        <v>0</v>
      </c>
      <c r="AJ32" s="289">
        <f>SUM(AF32:AI32)</f>
        <v>-1501</v>
      </c>
      <c r="AK32" s="41">
        <v>-188</v>
      </c>
      <c r="AL32" s="41">
        <f>-1500/7</f>
        <v>-214.28571428571428</v>
      </c>
      <c r="AM32" s="41">
        <f>-188-AL32-AK32</f>
        <v>214.28571428571428</v>
      </c>
      <c r="AN32" s="19">
        <v>0</v>
      </c>
      <c r="AO32" s="289">
        <f>SUM(AK32:AN32)</f>
        <v>-188</v>
      </c>
      <c r="AP32" s="41">
        <v>0</v>
      </c>
      <c r="AQ32" s="41">
        <v>0</v>
      </c>
      <c r="AR32" s="41">
        <v>0</v>
      </c>
      <c r="AS32" s="446">
        <v>0</v>
      </c>
      <c r="AT32" s="289">
        <f>SUM(AP32:AS32)</f>
        <v>0</v>
      </c>
      <c r="AU32" s="41">
        <v>0</v>
      </c>
      <c r="AV32" s="41">
        <v>0</v>
      </c>
      <c r="AW32" s="41">
        <v>0</v>
      </c>
      <c r="AX32" s="41">
        <v>0</v>
      </c>
      <c r="AY32" s="289">
        <f>SUM(AU32:AX32)</f>
        <v>0</v>
      </c>
      <c r="AZ32" s="41">
        <v>0</v>
      </c>
      <c r="BA32" s="41">
        <v>0</v>
      </c>
      <c r="BB32" s="41">
        <v>0</v>
      </c>
      <c r="BC32" s="41">
        <v>0</v>
      </c>
      <c r="BD32" s="289">
        <f>SUM(AZ32:BC32)</f>
        <v>0</v>
      </c>
      <c r="BE32" s="41">
        <v>0</v>
      </c>
      <c r="BF32" s="41">
        <v>0</v>
      </c>
      <c r="BG32" s="41">
        <v>0</v>
      </c>
      <c r="BH32" s="41">
        <v>0</v>
      </c>
      <c r="BI32" s="289">
        <f>SUM(BE32:BH32)</f>
        <v>0</v>
      </c>
    </row>
    <row r="33" spans="1:63">
      <c r="A33" s="1" t="s">
        <v>428</v>
      </c>
      <c r="B33" s="19">
        <v>0</v>
      </c>
      <c r="C33" s="19">
        <v>0</v>
      </c>
      <c r="D33" s="19">
        <v>0</v>
      </c>
      <c r="E33" s="19">
        <v>0</v>
      </c>
      <c r="F33" s="289">
        <f>SUM(B33:E33)</f>
        <v>0</v>
      </c>
      <c r="G33" s="41">
        <v>-128</v>
      </c>
      <c r="H33" s="19">
        <v>0</v>
      </c>
      <c r="I33" s="19">
        <v>0</v>
      </c>
      <c r="J33" s="19">
        <v>0</v>
      </c>
      <c r="K33" s="289">
        <f>SUM(G33:J33)</f>
        <v>-128</v>
      </c>
      <c r="L33" s="19">
        <v>0</v>
      </c>
      <c r="M33" s="19">
        <v>0</v>
      </c>
      <c r="N33" s="19">
        <v>0</v>
      </c>
      <c r="O33" s="19">
        <v>0</v>
      </c>
      <c r="P33" s="289">
        <f>SUM(L33:O33)</f>
        <v>0</v>
      </c>
      <c r="Q33" s="19">
        <v>0</v>
      </c>
      <c r="R33" s="19">
        <v>0</v>
      </c>
      <c r="S33" s="19">
        <v>0</v>
      </c>
      <c r="T33" s="19">
        <v>0</v>
      </c>
      <c r="U33" s="289">
        <f>SUM(Q33:T33)</f>
        <v>0</v>
      </c>
      <c r="V33" s="19">
        <v>0</v>
      </c>
      <c r="W33" s="19">
        <v>0</v>
      </c>
      <c r="X33" s="19">
        <v>0</v>
      </c>
      <c r="Y33" s="19">
        <v>0</v>
      </c>
      <c r="Z33" s="289">
        <f>SUM(V33:Y33)</f>
        <v>0</v>
      </c>
      <c r="AA33" s="41">
        <v>0</v>
      </c>
      <c r="AB33" s="41">
        <v>0</v>
      </c>
      <c r="AC33" s="41">
        <v>0</v>
      </c>
      <c r="AD33" s="19">
        <v>-6500</v>
      </c>
      <c r="AE33" s="289">
        <f>SUM(AA33:AD33)</f>
        <v>-6500</v>
      </c>
      <c r="AF33" s="41">
        <v>0</v>
      </c>
      <c r="AG33" s="41">
        <v>0</v>
      </c>
      <c r="AH33" s="41">
        <v>0</v>
      </c>
      <c r="AI33" s="41">
        <v>0</v>
      </c>
      <c r="AJ33" s="289">
        <f>SUM(AF33:AI33)</f>
        <v>0</v>
      </c>
      <c r="AK33" s="41">
        <v>0</v>
      </c>
      <c r="AL33" s="41">
        <v>-102</v>
      </c>
      <c r="AM33" s="41">
        <f>-213-AL33</f>
        <v>-111</v>
      </c>
      <c r="AN33" s="19">
        <v>0</v>
      </c>
      <c r="AO33" s="289">
        <f>SUM(AK33:AN33)</f>
        <v>-213</v>
      </c>
      <c r="AP33" s="41">
        <v>-126</v>
      </c>
      <c r="AQ33" s="41">
        <v>-136</v>
      </c>
      <c r="AR33" s="41">
        <v>-180</v>
      </c>
      <c r="AS33" s="446">
        <f>-513-SUM(AP33:AR33)</f>
        <v>-71</v>
      </c>
      <c r="AT33" s="289">
        <f>SUM(AP33:AS33)</f>
        <v>-513</v>
      </c>
      <c r="AU33" s="41">
        <v>0</v>
      </c>
      <c r="AV33" s="41">
        <v>0</v>
      </c>
      <c r="AW33" s="41">
        <v>0</v>
      </c>
      <c r="AX33" s="41">
        <v>0</v>
      </c>
      <c r="AY33" s="289">
        <f>SUM(AU33:AX33)</f>
        <v>0</v>
      </c>
      <c r="AZ33" s="41">
        <v>0</v>
      </c>
      <c r="BA33" s="41">
        <v>0</v>
      </c>
      <c r="BB33" s="41">
        <v>0</v>
      </c>
      <c r="BC33" s="41">
        <v>0</v>
      </c>
      <c r="BD33" s="289">
        <f>SUM(AZ33:BC33)</f>
        <v>0</v>
      </c>
      <c r="BE33" s="41">
        <v>0</v>
      </c>
      <c r="BF33" s="41">
        <v>0</v>
      </c>
      <c r="BG33" s="41">
        <v>0</v>
      </c>
      <c r="BH33" s="41">
        <v>0</v>
      </c>
      <c r="BI33" s="289">
        <f>SUM(BE33:BH33)</f>
        <v>0</v>
      </c>
      <c r="BK33" s="109"/>
    </row>
    <row r="34" spans="1:63">
      <c r="A34" s="1" t="s">
        <v>343</v>
      </c>
      <c r="B34" s="19">
        <v>0</v>
      </c>
      <c r="C34" s="19">
        <v>0</v>
      </c>
      <c r="D34" s="19">
        <v>0</v>
      </c>
      <c r="E34" s="19">
        <v>0</v>
      </c>
      <c r="F34" s="289">
        <f>SUM(B34:E34)</f>
        <v>0</v>
      </c>
      <c r="G34" s="19">
        <v>0</v>
      </c>
      <c r="H34" s="19">
        <v>0</v>
      </c>
      <c r="I34" s="19">
        <v>0</v>
      </c>
      <c r="J34" s="19">
        <v>0</v>
      </c>
      <c r="K34" s="289">
        <f>SUM(G34:J34)</f>
        <v>0</v>
      </c>
      <c r="L34" s="19">
        <v>0</v>
      </c>
      <c r="M34" s="19">
        <v>0</v>
      </c>
      <c r="N34" s="19">
        <v>0</v>
      </c>
      <c r="O34" s="19">
        <v>0</v>
      </c>
      <c r="P34" s="289">
        <f>SUM(L34:O34)</f>
        <v>0</v>
      </c>
      <c r="Q34" s="19">
        <v>0</v>
      </c>
      <c r="R34" s="19">
        <v>0</v>
      </c>
      <c r="S34" s="19">
        <v>0</v>
      </c>
      <c r="T34" s="19">
        <v>0</v>
      </c>
      <c r="U34" s="289">
        <f>SUM(Q34:T34)</f>
        <v>0</v>
      </c>
      <c r="V34" s="19">
        <v>0</v>
      </c>
      <c r="W34" s="19">
        <v>0</v>
      </c>
      <c r="X34" s="19">
        <v>0</v>
      </c>
      <c r="Y34" s="19">
        <v>0</v>
      </c>
      <c r="Z34" s="289">
        <f>SUM(V34:Y34)</f>
        <v>0</v>
      </c>
      <c r="AA34" s="41">
        <v>-137</v>
      </c>
      <c r="AB34" s="41">
        <v>-133</v>
      </c>
      <c r="AC34" s="41">
        <v>0</v>
      </c>
      <c r="AD34" s="19">
        <v>0</v>
      </c>
      <c r="AE34" s="289">
        <f>SUM(AA34:AD34)</f>
        <v>-270</v>
      </c>
      <c r="AF34" s="41">
        <v>0</v>
      </c>
      <c r="AG34" s="41">
        <v>0</v>
      </c>
      <c r="AH34" s="41">
        <v>0</v>
      </c>
      <c r="AI34" s="41">
        <v>0</v>
      </c>
      <c r="AJ34" s="289">
        <f>SUM(AF34:AI34)</f>
        <v>0</v>
      </c>
      <c r="AK34" s="41">
        <v>0</v>
      </c>
      <c r="AL34" s="41">
        <v>0</v>
      </c>
      <c r="AM34" s="41">
        <v>0</v>
      </c>
      <c r="AN34" s="19">
        <v>0</v>
      </c>
      <c r="AO34" s="289">
        <f>SUM(AK34:AN34)</f>
        <v>0</v>
      </c>
      <c r="AP34" s="41">
        <v>0</v>
      </c>
      <c r="AQ34" s="41">
        <v>0</v>
      </c>
      <c r="AR34" s="41">
        <v>0</v>
      </c>
      <c r="AS34" s="446">
        <v>0</v>
      </c>
      <c r="AT34" s="289">
        <f>SUM(AP34:AS34)</f>
        <v>0</v>
      </c>
      <c r="AU34" s="41">
        <v>0</v>
      </c>
      <c r="AV34" s="41">
        <v>0</v>
      </c>
      <c r="AW34" s="41">
        <v>0</v>
      </c>
      <c r="AX34" s="41">
        <v>0</v>
      </c>
      <c r="AY34" s="289">
        <f>SUM(AU34:AX34)</f>
        <v>0</v>
      </c>
      <c r="AZ34" s="41">
        <v>0</v>
      </c>
      <c r="BA34" s="41">
        <v>0</v>
      </c>
      <c r="BB34" s="41">
        <v>0</v>
      </c>
      <c r="BC34" s="41">
        <v>0</v>
      </c>
      <c r="BD34" s="289">
        <f>SUM(AZ34:BC34)</f>
        <v>0</v>
      </c>
      <c r="BE34" s="41">
        <v>0</v>
      </c>
      <c r="BF34" s="41">
        <v>0</v>
      </c>
      <c r="BG34" s="41">
        <v>0</v>
      </c>
      <c r="BH34" s="41">
        <v>0</v>
      </c>
      <c r="BI34" s="289">
        <f>SUM(BE34:BH34)</f>
        <v>0</v>
      </c>
    </row>
    <row r="35" spans="1:63">
      <c r="A35" s="1" t="s">
        <v>1</v>
      </c>
      <c r="B35" s="19">
        <v>0</v>
      </c>
      <c r="C35" s="19">
        <v>0</v>
      </c>
      <c r="D35" s="19">
        <v>0</v>
      </c>
      <c r="E35" s="19">
        <v>0</v>
      </c>
      <c r="F35" s="289">
        <f>SUM(B35:E35)</f>
        <v>0</v>
      </c>
      <c r="G35" s="19">
        <v>0</v>
      </c>
      <c r="H35" s="338">
        <v>-1235</v>
      </c>
      <c r="I35" s="19">
        <v>0</v>
      </c>
      <c r="J35" s="19">
        <v>0</v>
      </c>
      <c r="K35" s="289">
        <f>SUM(G35:J35)</f>
        <v>-1235</v>
      </c>
      <c r="L35" s="19">
        <v>0</v>
      </c>
      <c r="M35" s="19">
        <v>0</v>
      </c>
      <c r="N35" s="19">
        <v>0</v>
      </c>
      <c r="O35" s="19">
        <v>0</v>
      </c>
      <c r="P35" s="289">
        <f>SUM(L35:O35)</f>
        <v>0</v>
      </c>
      <c r="Q35" s="19">
        <v>0</v>
      </c>
      <c r="R35" s="19">
        <v>0</v>
      </c>
      <c r="S35" s="19">
        <v>0</v>
      </c>
      <c r="T35" s="19">
        <v>0</v>
      </c>
      <c r="U35" s="289">
        <f>SUM(Q35:T35)</f>
        <v>0</v>
      </c>
      <c r="V35" s="19">
        <v>0</v>
      </c>
      <c r="W35" s="19">
        <v>0</v>
      </c>
      <c r="X35" s="19">
        <v>0</v>
      </c>
      <c r="Y35" s="19">
        <v>0</v>
      </c>
      <c r="Z35" s="289">
        <f>SUM(V35:Y35)</f>
        <v>0</v>
      </c>
      <c r="AA35" s="41">
        <v>0</v>
      </c>
      <c r="AB35" s="41">
        <v>-468</v>
      </c>
      <c r="AC35" s="41">
        <v>0</v>
      </c>
      <c r="AD35" s="19">
        <v>0</v>
      </c>
      <c r="AE35" s="289">
        <f>SUM(AA35:AD35)</f>
        <v>-468</v>
      </c>
      <c r="AF35" s="41">
        <v>0</v>
      </c>
      <c r="AG35" s="41">
        <v>0</v>
      </c>
      <c r="AH35" s="41">
        <v>0</v>
      </c>
      <c r="AI35" s="41">
        <f>-3500-285</f>
        <v>-3785</v>
      </c>
      <c r="AJ35" s="289">
        <f>SUM(AF35:AI35)</f>
        <v>-3785</v>
      </c>
      <c r="AK35" s="41">
        <v>-312</v>
      </c>
      <c r="AL35" s="41">
        <v>0</v>
      </c>
      <c r="AM35" s="41">
        <v>0</v>
      </c>
      <c r="AN35" s="19">
        <f>-3500-285</f>
        <v>-3785</v>
      </c>
      <c r="AO35" s="289">
        <f>SUM(AK35:AN35)</f>
        <v>-4097</v>
      </c>
      <c r="AP35" s="41">
        <v>-379</v>
      </c>
      <c r="AQ35" s="41">
        <v>-314</v>
      </c>
      <c r="AR35" s="41">
        <f>-244</f>
        <v>-244</v>
      </c>
      <c r="AS35" s="453">
        <f>AT35-SUM(AP35:AR35)</f>
        <v>-77</v>
      </c>
      <c r="AT35" s="522">
        <v>-1014</v>
      </c>
      <c r="AU35" s="543">
        <v>0</v>
      </c>
      <c r="AV35" s="543">
        <v>-250</v>
      </c>
      <c r="AW35" s="543">
        <v>-3000</v>
      </c>
      <c r="AX35" s="19">
        <v>-1100</v>
      </c>
      <c r="AY35" s="289">
        <f>SUM(AU35:AX35)</f>
        <v>-4350</v>
      </c>
      <c r="AZ35" s="41">
        <v>0</v>
      </c>
      <c r="BA35" s="543">
        <v>0</v>
      </c>
      <c r="BB35" s="543">
        <v>-4950</v>
      </c>
      <c r="BC35" s="521">
        <v>0</v>
      </c>
      <c r="BD35" s="289">
        <f>SUM(AZ35:BC35)</f>
        <v>-4950</v>
      </c>
      <c r="BE35" s="41">
        <f>$BI35/4</f>
        <v>0</v>
      </c>
      <c r="BF35" s="41">
        <f t="shared" ref="BF35:BG35" si="98">$BI35/4</f>
        <v>0</v>
      </c>
      <c r="BG35" s="41">
        <f t="shared" si="98"/>
        <v>0</v>
      </c>
      <c r="BH35" s="453">
        <f>BI35-SUM(BE35:BG35)</f>
        <v>0</v>
      </c>
      <c r="BI35" s="21">
        <v>0</v>
      </c>
    </row>
    <row r="36" spans="1:63">
      <c r="A36" s="12" t="s">
        <v>11</v>
      </c>
      <c r="B36" s="331">
        <f t="shared" ref="B36:U36" si="99">SUM(B33:B35)</f>
        <v>0</v>
      </c>
      <c r="C36" s="331">
        <f t="shared" si="99"/>
        <v>0</v>
      </c>
      <c r="D36" s="331">
        <f t="shared" si="99"/>
        <v>0</v>
      </c>
      <c r="E36" s="331">
        <f t="shared" si="99"/>
        <v>0</v>
      </c>
      <c r="F36" s="330">
        <f t="shared" si="99"/>
        <v>0</v>
      </c>
      <c r="G36" s="331">
        <f t="shared" si="99"/>
        <v>-128</v>
      </c>
      <c r="H36" s="331">
        <f t="shared" si="99"/>
        <v>-1235</v>
      </c>
      <c r="I36" s="331">
        <f t="shared" si="99"/>
        <v>0</v>
      </c>
      <c r="J36" s="331">
        <f t="shared" si="99"/>
        <v>0</v>
      </c>
      <c r="K36" s="330">
        <f t="shared" si="99"/>
        <v>-1363</v>
      </c>
      <c r="L36" s="331">
        <f t="shared" si="99"/>
        <v>0</v>
      </c>
      <c r="M36" s="331">
        <f t="shared" si="99"/>
        <v>0</v>
      </c>
      <c r="N36" s="331">
        <f t="shared" si="99"/>
        <v>0</v>
      </c>
      <c r="O36" s="331">
        <f t="shared" si="99"/>
        <v>0</v>
      </c>
      <c r="P36" s="330">
        <f t="shared" si="99"/>
        <v>0</v>
      </c>
      <c r="Q36" s="331">
        <f t="shared" si="99"/>
        <v>0</v>
      </c>
      <c r="R36" s="331">
        <f t="shared" si="99"/>
        <v>0</v>
      </c>
      <c r="S36" s="331">
        <f t="shared" si="99"/>
        <v>0</v>
      </c>
      <c r="T36" s="331">
        <f t="shared" si="99"/>
        <v>0</v>
      </c>
      <c r="U36" s="330">
        <f t="shared" si="99"/>
        <v>0</v>
      </c>
      <c r="V36" s="331">
        <f>SUM(V31:V34)</f>
        <v>0</v>
      </c>
      <c r="W36" s="331">
        <f>SUM(W31:W34)</f>
        <v>0</v>
      </c>
      <c r="X36" s="331">
        <f>SUM(X31:X34)</f>
        <v>-5600</v>
      </c>
      <c r="Y36" s="331">
        <f>SUM(Y31:Y34)</f>
        <v>-2600</v>
      </c>
      <c r="Z36" s="330">
        <f>SUM(Z31:Z34)</f>
        <v>-8200</v>
      </c>
      <c r="AA36" s="104">
        <f t="shared" ref="AA36:AM36" si="100">SUM(AA31:AA35)</f>
        <v>-1270</v>
      </c>
      <c r="AB36" s="104">
        <f t="shared" si="100"/>
        <v>-1313</v>
      </c>
      <c r="AC36" s="104">
        <f t="shared" si="100"/>
        <v>-590</v>
      </c>
      <c r="AD36" s="331">
        <f t="shared" si="100"/>
        <v>-6500</v>
      </c>
      <c r="AE36" s="330">
        <f t="shared" si="100"/>
        <v>-9673</v>
      </c>
      <c r="AF36" s="104">
        <f t="shared" si="100"/>
        <v>-568</v>
      </c>
      <c r="AG36" s="104">
        <f t="shared" si="100"/>
        <v>-515</v>
      </c>
      <c r="AH36" s="104">
        <f t="shared" si="100"/>
        <v>-418</v>
      </c>
      <c r="AI36" s="104">
        <f t="shared" si="100"/>
        <v>-3785</v>
      </c>
      <c r="AJ36" s="330">
        <f t="shared" si="100"/>
        <v>-5286</v>
      </c>
      <c r="AK36" s="104">
        <f t="shared" si="100"/>
        <v>-500</v>
      </c>
      <c r="AL36" s="104">
        <f t="shared" si="100"/>
        <v>-316.28571428571428</v>
      </c>
      <c r="AM36" s="104">
        <f t="shared" si="100"/>
        <v>103.28571428571428</v>
      </c>
      <c r="AN36" s="331">
        <f t="shared" ref="AN36:AP36" si="101">SUM(AN31:AN35)</f>
        <v>-3785</v>
      </c>
      <c r="AO36" s="330">
        <f t="shared" si="101"/>
        <v>-4498</v>
      </c>
      <c r="AP36" s="104">
        <f t="shared" si="101"/>
        <v>-505</v>
      </c>
      <c r="AQ36" s="331">
        <f t="shared" ref="AQ36:AR36" si="102">SUM(AQ31:AQ35)</f>
        <v>-450</v>
      </c>
      <c r="AR36" s="104">
        <f t="shared" si="102"/>
        <v>-424</v>
      </c>
      <c r="AS36" s="331">
        <f t="shared" ref="AS36:AW36" si="103">SUM(AS31:AS35)</f>
        <v>-148</v>
      </c>
      <c r="AT36" s="330">
        <f t="shared" si="103"/>
        <v>-1527</v>
      </c>
      <c r="AU36" s="331">
        <f t="shared" si="103"/>
        <v>0</v>
      </c>
      <c r="AV36" s="331">
        <f t="shared" si="103"/>
        <v>-250</v>
      </c>
      <c r="AW36" s="331">
        <f t="shared" si="103"/>
        <v>-3000</v>
      </c>
      <c r="AX36" s="331">
        <f t="shared" ref="AX36:BB36" si="104">SUM(AX31:AX35)</f>
        <v>-1100</v>
      </c>
      <c r="AY36" s="330">
        <f t="shared" si="104"/>
        <v>-4350</v>
      </c>
      <c r="AZ36" s="331">
        <f t="shared" si="104"/>
        <v>0</v>
      </c>
      <c r="BA36" s="331">
        <f t="shared" si="104"/>
        <v>0</v>
      </c>
      <c r="BB36" s="331">
        <f t="shared" si="104"/>
        <v>-4950</v>
      </c>
      <c r="BC36" s="331">
        <f t="shared" ref="BC36:BD36" si="105">SUM(BC31:BC35)</f>
        <v>0</v>
      </c>
      <c r="BD36" s="330">
        <f t="shared" si="105"/>
        <v>-4950</v>
      </c>
      <c r="BE36" s="331">
        <f t="shared" ref="BE36:BG36" si="106">SUM(BE31:BE35)</f>
        <v>0</v>
      </c>
      <c r="BF36" s="331">
        <f t="shared" si="106"/>
        <v>0</v>
      </c>
      <c r="BG36" s="331">
        <f t="shared" si="106"/>
        <v>0</v>
      </c>
      <c r="BH36" s="331">
        <f t="shared" ref="BH36:BI36" si="107">SUM(BH31:BH35)</f>
        <v>0</v>
      </c>
      <c r="BI36" s="330">
        <f t="shared" si="107"/>
        <v>0</v>
      </c>
    </row>
    <row r="37" spans="1:63">
      <c r="A37" s="1"/>
      <c r="B37" s="19"/>
      <c r="C37" s="19"/>
      <c r="D37" s="19"/>
      <c r="E37" s="20"/>
      <c r="F37" s="21"/>
      <c r="G37" s="19"/>
      <c r="H37" s="19"/>
      <c r="I37" s="19"/>
      <c r="J37" s="20"/>
      <c r="K37" s="21"/>
      <c r="L37" s="19"/>
      <c r="M37" s="19"/>
      <c r="N37" s="41"/>
      <c r="O37" s="19"/>
      <c r="P37" s="21"/>
      <c r="Q37" s="19"/>
      <c r="R37" s="41"/>
      <c r="S37" s="41"/>
      <c r="T37" s="19"/>
      <c r="U37" s="289"/>
      <c r="V37" s="19"/>
      <c r="W37" s="19"/>
      <c r="X37" s="19"/>
      <c r="Y37" s="19"/>
      <c r="Z37" s="21"/>
      <c r="AA37" s="41"/>
      <c r="AB37" s="41"/>
      <c r="AC37" s="41"/>
      <c r="AD37" s="41"/>
      <c r="AE37" s="23"/>
      <c r="AF37" s="41"/>
      <c r="AG37" s="41"/>
      <c r="AH37" s="41"/>
      <c r="AI37" s="41"/>
      <c r="AJ37" s="23"/>
      <c r="AK37" s="41"/>
      <c r="AL37" s="41"/>
      <c r="AM37" s="41"/>
      <c r="AN37" s="19"/>
      <c r="AO37" s="23"/>
      <c r="AP37" s="41"/>
      <c r="AQ37" s="41"/>
      <c r="AR37" s="41"/>
      <c r="AS37" s="41"/>
      <c r="AT37" s="23"/>
      <c r="AU37" s="41"/>
      <c r="AV37" s="41"/>
      <c r="AW37" s="41"/>
      <c r="AX37" s="41"/>
      <c r="AY37" s="23"/>
      <c r="AZ37" s="41"/>
      <c r="BA37" s="41"/>
      <c r="BB37" s="41"/>
      <c r="BC37" s="41"/>
      <c r="BD37" s="23"/>
      <c r="BE37" s="41"/>
      <c r="BF37" s="41"/>
      <c r="BG37" s="41"/>
      <c r="BH37" s="41"/>
      <c r="BI37" s="23"/>
    </row>
    <row r="38" spans="1:63">
      <c r="A38" s="5" t="s">
        <v>429</v>
      </c>
      <c r="B38" s="19"/>
      <c r="C38" s="19"/>
      <c r="D38" s="19"/>
      <c r="E38" s="20"/>
      <c r="F38" s="21"/>
      <c r="G38" s="19"/>
      <c r="H38" s="19"/>
      <c r="I38" s="19"/>
      <c r="J38" s="20"/>
      <c r="K38" s="21"/>
      <c r="L38" s="19"/>
      <c r="M38" s="19"/>
      <c r="N38" s="19"/>
      <c r="O38" s="20"/>
      <c r="P38" s="21"/>
      <c r="Q38" s="19"/>
      <c r="R38" s="19"/>
      <c r="S38" s="19"/>
      <c r="T38" s="20"/>
      <c r="U38" s="21"/>
      <c r="V38" s="19"/>
      <c r="W38" s="19"/>
      <c r="X38" s="19"/>
      <c r="Y38" s="20"/>
      <c r="Z38" s="21"/>
      <c r="AA38" s="41"/>
      <c r="AB38" s="41"/>
      <c r="AC38" s="41"/>
      <c r="AD38" s="41"/>
      <c r="AE38" s="23"/>
      <c r="AF38" s="41"/>
      <c r="AG38" s="41"/>
      <c r="AH38" s="41"/>
      <c r="AI38" s="41"/>
      <c r="AJ38" s="23"/>
      <c r="AK38" s="41"/>
      <c r="AL38" s="41"/>
      <c r="AM38" s="41"/>
      <c r="AN38" s="19"/>
      <c r="AO38" s="23"/>
      <c r="AP38" s="41"/>
      <c r="AQ38" s="41"/>
      <c r="AR38" s="41"/>
      <c r="AS38" s="41"/>
      <c r="AT38" s="23"/>
      <c r="AU38" s="41"/>
      <c r="AV38" s="41"/>
      <c r="AW38" s="41"/>
      <c r="AX38" s="41"/>
      <c r="AY38" s="23"/>
      <c r="AZ38" s="41"/>
      <c r="BA38" s="41"/>
      <c r="BB38" s="41"/>
      <c r="BC38" s="41"/>
      <c r="BD38" s="23"/>
      <c r="BE38" s="41"/>
      <c r="BF38" s="41"/>
      <c r="BG38" s="41"/>
      <c r="BH38" s="41"/>
      <c r="BI38" s="23"/>
    </row>
    <row r="39" spans="1:63">
      <c r="A39" s="1" t="s">
        <v>344</v>
      </c>
      <c r="B39" s="41">
        <v>0</v>
      </c>
      <c r="C39" s="19">
        <v>0</v>
      </c>
      <c r="D39" s="19">
        <v>0</v>
      </c>
      <c r="E39" s="19">
        <v>0</v>
      </c>
      <c r="F39" s="289">
        <f>SUM(B39:E39)</f>
        <v>0</v>
      </c>
      <c r="G39" s="19">
        <v>-162</v>
      </c>
      <c r="H39" s="19">
        <v>-354</v>
      </c>
      <c r="I39" s="41">
        <v>0</v>
      </c>
      <c r="J39" s="19">
        <f>-772-SUM(G39:I39)</f>
        <v>-256</v>
      </c>
      <c r="K39" s="289">
        <f>SUM(G39:J39)</f>
        <v>-772</v>
      </c>
      <c r="L39" s="19">
        <v>-120</v>
      </c>
      <c r="M39" s="19">
        <v>0</v>
      </c>
      <c r="N39" s="41">
        <v>-256</v>
      </c>
      <c r="O39" s="19">
        <v>0</v>
      </c>
      <c r="P39" s="289">
        <f>SUM(L39:O39)</f>
        <v>-376</v>
      </c>
      <c r="Q39" s="19">
        <v>0</v>
      </c>
      <c r="R39" s="41">
        <v>-307</v>
      </c>
      <c r="S39" s="41">
        <v>-112</v>
      </c>
      <c r="T39" s="19">
        <v>0</v>
      </c>
      <c r="U39" s="289">
        <f>SUM(Q39:T39)</f>
        <v>-419</v>
      </c>
      <c r="V39" s="19">
        <v>0</v>
      </c>
      <c r="W39" s="19">
        <v>0</v>
      </c>
      <c r="X39" s="19">
        <v>0</v>
      </c>
      <c r="Y39" s="19">
        <v>0</v>
      </c>
      <c r="Z39" s="289">
        <f>SUM(V39:Y39)</f>
        <v>0</v>
      </c>
      <c r="AA39" s="41">
        <v>0</v>
      </c>
      <c r="AB39" s="19">
        <v>0</v>
      </c>
      <c r="AC39" s="41">
        <v>0</v>
      </c>
      <c r="AD39" s="19">
        <v>0</v>
      </c>
      <c r="AE39" s="289">
        <f>SUM(AA39:AD39)</f>
        <v>0</v>
      </c>
      <c r="AF39" s="41">
        <v>0</v>
      </c>
      <c r="AG39" s="41">
        <v>0</v>
      </c>
      <c r="AH39" s="41">
        <v>0</v>
      </c>
      <c r="AI39" s="41">
        <v>0</v>
      </c>
      <c r="AJ39" s="289">
        <f>SUM(AF39:AI39)</f>
        <v>0</v>
      </c>
      <c r="AK39" s="41">
        <v>0</v>
      </c>
      <c r="AL39" s="41">
        <v>0</v>
      </c>
      <c r="AM39" s="41">
        <v>0</v>
      </c>
      <c r="AN39" s="19">
        <v>0</v>
      </c>
      <c r="AO39" s="289">
        <f>SUM(AK39:AN39)</f>
        <v>0</v>
      </c>
      <c r="AP39" s="41">
        <v>0</v>
      </c>
      <c r="AQ39" s="19">
        <v>0</v>
      </c>
      <c r="AR39" s="41">
        <v>0</v>
      </c>
      <c r="AS39" s="521">
        <v>0</v>
      </c>
      <c r="AT39" s="289">
        <f>SUM(AP39:AS39)</f>
        <v>0</v>
      </c>
      <c r="AU39" s="19">
        <v>0</v>
      </c>
      <c r="AV39" s="19">
        <v>0</v>
      </c>
      <c r="AW39" s="19">
        <v>0</v>
      </c>
      <c r="AX39" s="19">
        <v>0</v>
      </c>
      <c r="AY39" s="289">
        <f>SUM(AU39:AX39)</f>
        <v>0</v>
      </c>
      <c r="AZ39" s="19">
        <v>0</v>
      </c>
      <c r="BA39" s="19">
        <v>0</v>
      </c>
      <c r="BB39" s="19">
        <v>0</v>
      </c>
      <c r="BC39" s="19">
        <v>0</v>
      </c>
      <c r="BD39" s="289">
        <f>SUM(AZ39:BC39)</f>
        <v>0</v>
      </c>
      <c r="BE39" s="19">
        <v>0</v>
      </c>
      <c r="BF39" s="19">
        <v>0</v>
      </c>
      <c r="BG39" s="19">
        <v>0</v>
      </c>
      <c r="BH39" s="19">
        <v>0</v>
      </c>
      <c r="BI39" s="289">
        <f>SUM(BE39:BH39)</f>
        <v>0</v>
      </c>
    </row>
    <row r="40" spans="1:63">
      <c r="A40" s="1" t="s">
        <v>430</v>
      </c>
      <c r="B40" s="41">
        <v>0</v>
      </c>
      <c r="C40" s="19">
        <v>0</v>
      </c>
      <c r="D40" s="19">
        <v>0</v>
      </c>
      <c r="E40" s="19">
        <v>0</v>
      </c>
      <c r="F40" s="289">
        <f>SUM(B40:E40)</f>
        <v>0</v>
      </c>
      <c r="G40" s="41">
        <v>-70</v>
      </c>
      <c r="H40" s="41">
        <v>-1188</v>
      </c>
      <c r="I40" s="41">
        <v>0</v>
      </c>
      <c r="J40" s="19">
        <v>0</v>
      </c>
      <c r="K40" s="289">
        <f>SUM(G40:J40)</f>
        <v>-1258</v>
      </c>
      <c r="L40" s="19">
        <v>0</v>
      </c>
      <c r="M40" s="19">
        <v>0</v>
      </c>
      <c r="N40" s="41">
        <v>0</v>
      </c>
      <c r="O40" s="19">
        <v>0</v>
      </c>
      <c r="P40" s="289">
        <f>SUM(L40:O40)</f>
        <v>0</v>
      </c>
      <c r="Q40" s="19">
        <v>0</v>
      </c>
      <c r="R40" s="41">
        <v>0</v>
      </c>
      <c r="S40" s="41">
        <v>0</v>
      </c>
      <c r="T40" s="19">
        <v>0</v>
      </c>
      <c r="U40" s="289">
        <f>SUM(Q40:T40)</f>
        <v>0</v>
      </c>
      <c r="V40" s="19">
        <v>0</v>
      </c>
      <c r="W40" s="19">
        <v>0</v>
      </c>
      <c r="X40" s="19">
        <v>0</v>
      </c>
      <c r="Y40" s="19">
        <v>0</v>
      </c>
      <c r="Z40" s="289">
        <f>SUM(V40:Y40)</f>
        <v>0</v>
      </c>
      <c r="AA40" s="41">
        <v>0</v>
      </c>
      <c r="AB40" s="19">
        <v>0</v>
      </c>
      <c r="AC40" s="41">
        <v>0</v>
      </c>
      <c r="AD40" s="19">
        <v>0</v>
      </c>
      <c r="AE40" s="289">
        <f>SUM(AA40:AD40)</f>
        <v>0</v>
      </c>
      <c r="AF40" s="41">
        <v>0</v>
      </c>
      <c r="AG40" s="41">
        <v>0</v>
      </c>
      <c r="AH40" s="41">
        <v>0</v>
      </c>
      <c r="AI40" s="41">
        <v>0</v>
      </c>
      <c r="AJ40" s="289">
        <f>SUM(AF40:AI40)</f>
        <v>0</v>
      </c>
      <c r="AK40" s="41">
        <v>0</v>
      </c>
      <c r="AL40" s="41">
        <v>0</v>
      </c>
      <c r="AM40" s="41">
        <v>0</v>
      </c>
      <c r="AN40" s="19">
        <v>0</v>
      </c>
      <c r="AO40" s="289">
        <f>SUM(AK40:AN40)</f>
        <v>0</v>
      </c>
      <c r="AP40" s="41">
        <v>0</v>
      </c>
      <c r="AQ40" s="19">
        <v>0</v>
      </c>
      <c r="AR40" s="41">
        <v>0</v>
      </c>
      <c r="AS40" s="521">
        <v>0</v>
      </c>
      <c r="AT40" s="289">
        <f>SUM(AP40:AS40)</f>
        <v>0</v>
      </c>
      <c r="AU40" s="19">
        <v>0</v>
      </c>
      <c r="AV40" s="19">
        <v>0</v>
      </c>
      <c r="AW40" s="19">
        <v>0</v>
      </c>
      <c r="AX40" s="19">
        <v>0</v>
      </c>
      <c r="AY40" s="289">
        <f>SUM(AU40:AX40)</f>
        <v>0</v>
      </c>
      <c r="AZ40" s="19">
        <v>0</v>
      </c>
      <c r="BA40" s="19">
        <v>0</v>
      </c>
      <c r="BB40" s="19">
        <v>0</v>
      </c>
      <c r="BC40" s="19">
        <v>0</v>
      </c>
      <c r="BD40" s="289">
        <f>SUM(AZ40:BC40)</f>
        <v>0</v>
      </c>
      <c r="BE40" s="19">
        <v>0</v>
      </c>
      <c r="BF40" s="19">
        <v>0</v>
      </c>
      <c r="BG40" s="19">
        <v>0</v>
      </c>
      <c r="BH40" s="19">
        <v>0</v>
      </c>
      <c r="BI40" s="289">
        <f>SUM(BE40:BH40)</f>
        <v>0</v>
      </c>
    </row>
    <row r="41" spans="1:63">
      <c r="A41" s="1" t="s">
        <v>428</v>
      </c>
      <c r="B41" s="41">
        <v>0</v>
      </c>
      <c r="C41" s="19">
        <v>0</v>
      </c>
      <c r="D41" s="19">
        <v>0</v>
      </c>
      <c r="E41" s="19">
        <v>0</v>
      </c>
      <c r="F41" s="289">
        <f>SUM(B41:E41)</f>
        <v>0</v>
      </c>
      <c r="G41" s="19">
        <v>0</v>
      </c>
      <c r="H41" s="19">
        <v>0</v>
      </c>
      <c r="I41" s="41">
        <v>0</v>
      </c>
      <c r="J41" s="19">
        <v>0</v>
      </c>
      <c r="K41" s="289">
        <f>SUM(G41:J41)</f>
        <v>0</v>
      </c>
      <c r="L41" s="19">
        <v>0</v>
      </c>
      <c r="M41" s="19">
        <v>0</v>
      </c>
      <c r="N41" s="41">
        <v>0</v>
      </c>
      <c r="O41" s="19">
        <v>0</v>
      </c>
      <c r="P41" s="289">
        <f>SUM(L41:O41)</f>
        <v>0</v>
      </c>
      <c r="Q41" s="19">
        <v>0</v>
      </c>
      <c r="R41" s="41">
        <v>0</v>
      </c>
      <c r="S41" s="41">
        <v>0</v>
      </c>
      <c r="T41" s="19">
        <v>0</v>
      </c>
      <c r="U41" s="289">
        <f>SUM(Q41:T41)</f>
        <v>0</v>
      </c>
      <c r="V41" s="19">
        <v>0</v>
      </c>
      <c r="W41" s="19">
        <v>0</v>
      </c>
      <c r="X41" s="19">
        <v>0</v>
      </c>
      <c r="Y41" s="19">
        <v>0</v>
      </c>
      <c r="Z41" s="289">
        <f>SUM(V41:Y41)</f>
        <v>0</v>
      </c>
      <c r="AA41" s="41">
        <v>0</v>
      </c>
      <c r="AB41" s="19">
        <v>0</v>
      </c>
      <c r="AC41" s="41">
        <v>0</v>
      </c>
      <c r="AD41" s="19">
        <v>0</v>
      </c>
      <c r="AE41" s="289">
        <f>SUM(AA41:AD41)</f>
        <v>0</v>
      </c>
      <c r="AF41" s="41">
        <v>0</v>
      </c>
      <c r="AG41" s="41">
        <v>0</v>
      </c>
      <c r="AH41" s="41">
        <v>0</v>
      </c>
      <c r="AI41" s="41">
        <v>0</v>
      </c>
      <c r="AJ41" s="289">
        <f>SUM(AF41:AI41)</f>
        <v>0</v>
      </c>
      <c r="AK41" s="41">
        <v>0</v>
      </c>
      <c r="AL41" s="41">
        <v>0</v>
      </c>
      <c r="AM41" s="41">
        <v>0</v>
      </c>
      <c r="AN41" s="19">
        <v>0</v>
      </c>
      <c r="AO41" s="289">
        <f>SUM(AK41:AN41)</f>
        <v>0</v>
      </c>
      <c r="AP41" s="41">
        <v>0</v>
      </c>
      <c r="AQ41" s="19">
        <v>0</v>
      </c>
      <c r="AR41" s="41">
        <v>0</v>
      </c>
      <c r="AS41" s="521">
        <v>0</v>
      </c>
      <c r="AT41" s="289">
        <f>SUM(AP41:AS41)</f>
        <v>0</v>
      </c>
      <c r="AU41" s="19">
        <v>0</v>
      </c>
      <c r="AV41" s="19">
        <v>0</v>
      </c>
      <c r="AW41" s="19">
        <v>0</v>
      </c>
      <c r="AX41" s="19">
        <v>0</v>
      </c>
      <c r="AY41" s="289">
        <f>SUM(AU41:AX41)</f>
        <v>0</v>
      </c>
      <c r="AZ41" s="19">
        <v>0</v>
      </c>
      <c r="BA41" s="19">
        <v>0</v>
      </c>
      <c r="BB41" s="19">
        <v>0</v>
      </c>
      <c r="BC41" s="19">
        <v>0</v>
      </c>
      <c r="BD41" s="289">
        <f>SUM(AZ41:BC41)</f>
        <v>0</v>
      </c>
      <c r="BE41" s="19">
        <v>0</v>
      </c>
      <c r="BF41" s="19">
        <v>0</v>
      </c>
      <c r="BG41" s="19">
        <v>0</v>
      </c>
      <c r="BH41" s="19">
        <v>0</v>
      </c>
      <c r="BI41" s="289">
        <f>SUM(BE41:BH41)</f>
        <v>0</v>
      </c>
    </row>
    <row r="42" spans="1:63" s="5" customFormat="1">
      <c r="A42" s="12" t="s">
        <v>11</v>
      </c>
      <c r="B42" s="104">
        <f t="shared" ref="B42:K42" si="108">SUM(B39:B41)</f>
        <v>0</v>
      </c>
      <c r="C42" s="331">
        <f t="shared" si="108"/>
        <v>0</v>
      </c>
      <c r="D42" s="331">
        <f t="shared" si="108"/>
        <v>0</v>
      </c>
      <c r="E42" s="331">
        <f t="shared" si="108"/>
        <v>0</v>
      </c>
      <c r="F42" s="330">
        <f t="shared" si="108"/>
        <v>0</v>
      </c>
      <c r="G42" s="331">
        <f t="shared" si="108"/>
        <v>-232</v>
      </c>
      <c r="H42" s="331">
        <f t="shared" si="108"/>
        <v>-1542</v>
      </c>
      <c r="I42" s="104">
        <f t="shared" si="108"/>
        <v>0</v>
      </c>
      <c r="J42" s="331">
        <f t="shared" si="108"/>
        <v>-256</v>
      </c>
      <c r="K42" s="330">
        <f t="shared" si="108"/>
        <v>-2030</v>
      </c>
      <c r="L42" s="331">
        <f t="shared" ref="L42:AB42" si="109">SUM(L39:L41)</f>
        <v>-120</v>
      </c>
      <c r="M42" s="331">
        <f t="shared" si="109"/>
        <v>0</v>
      </c>
      <c r="N42" s="104">
        <f t="shared" si="109"/>
        <v>-256</v>
      </c>
      <c r="O42" s="331">
        <f t="shared" si="109"/>
        <v>0</v>
      </c>
      <c r="P42" s="330">
        <f t="shared" si="109"/>
        <v>-376</v>
      </c>
      <c r="Q42" s="331">
        <f t="shared" si="109"/>
        <v>0</v>
      </c>
      <c r="R42" s="104">
        <f t="shared" si="109"/>
        <v>-307</v>
      </c>
      <c r="S42" s="104">
        <f t="shared" si="109"/>
        <v>-112</v>
      </c>
      <c r="T42" s="331">
        <f t="shared" si="109"/>
        <v>0</v>
      </c>
      <c r="U42" s="330">
        <f t="shared" si="109"/>
        <v>-419</v>
      </c>
      <c r="V42" s="331">
        <f t="shared" si="109"/>
        <v>0</v>
      </c>
      <c r="W42" s="331">
        <f t="shared" si="109"/>
        <v>0</v>
      </c>
      <c r="X42" s="331">
        <f t="shared" si="109"/>
        <v>0</v>
      </c>
      <c r="Y42" s="331">
        <f t="shared" si="109"/>
        <v>0</v>
      </c>
      <c r="Z42" s="330">
        <f t="shared" si="109"/>
        <v>0</v>
      </c>
      <c r="AA42" s="104">
        <f>SUM(AA39:AA41)</f>
        <v>0</v>
      </c>
      <c r="AB42" s="331">
        <f t="shared" si="109"/>
        <v>0</v>
      </c>
      <c r="AC42" s="104">
        <f t="shared" ref="AC42:AJ42" si="110">SUM(AC39:AC41)</f>
        <v>0</v>
      </c>
      <c r="AD42" s="331">
        <f t="shared" si="110"/>
        <v>0</v>
      </c>
      <c r="AE42" s="330">
        <f t="shared" si="110"/>
        <v>0</v>
      </c>
      <c r="AF42" s="104">
        <f>SUM(AF39:AF41)</f>
        <v>0</v>
      </c>
      <c r="AG42" s="331">
        <f>SUM(AG39:AG41)</f>
        <v>0</v>
      </c>
      <c r="AH42" s="104">
        <f>SUM(AH39:AH41)</f>
        <v>0</v>
      </c>
      <c r="AI42" s="104">
        <f t="shared" si="110"/>
        <v>0</v>
      </c>
      <c r="AJ42" s="330">
        <f t="shared" si="110"/>
        <v>0</v>
      </c>
      <c r="AK42" s="104">
        <f>SUM(AK39:AK41)</f>
        <v>0</v>
      </c>
      <c r="AL42" s="104">
        <f>SUM(AL39:AL41)</f>
        <v>0</v>
      </c>
      <c r="AM42" s="104">
        <f>SUM(AM39:AM41)</f>
        <v>0</v>
      </c>
      <c r="AN42" s="331">
        <f t="shared" ref="AN42:AO42" si="111">SUM(AN39:AN41)</f>
        <v>0</v>
      </c>
      <c r="AO42" s="330">
        <f t="shared" si="111"/>
        <v>0</v>
      </c>
      <c r="AP42" s="104">
        <f>SUM(AP39:AP41)</f>
        <v>0</v>
      </c>
      <c r="AQ42" s="331">
        <f t="shared" ref="AQ42" si="112">SUM(AQ39:AQ41)</f>
        <v>0</v>
      </c>
      <c r="AR42" s="104">
        <f>SUM(AR39:AR41)</f>
        <v>0</v>
      </c>
      <c r="AS42" s="331">
        <f t="shared" ref="AS42:AT42" si="113">SUM(AS39:AS41)</f>
        <v>0</v>
      </c>
      <c r="AT42" s="330">
        <f t="shared" si="113"/>
        <v>0</v>
      </c>
      <c r="AU42" s="331">
        <f t="shared" ref="AU42:AW42" si="114">SUM(AU39:AU41)</f>
        <v>0</v>
      </c>
      <c r="AV42" s="331">
        <f t="shared" si="114"/>
        <v>0</v>
      </c>
      <c r="AW42" s="331">
        <f t="shared" si="114"/>
        <v>0</v>
      </c>
      <c r="AX42" s="331">
        <f>SUM(AX39:AX41)</f>
        <v>0</v>
      </c>
      <c r="AY42" s="330">
        <f>SUM(AY39:AY41)</f>
        <v>0</v>
      </c>
      <c r="AZ42" s="331">
        <f t="shared" ref="AZ42:BB42" si="115">SUM(AZ39:AZ41)</f>
        <v>0</v>
      </c>
      <c r="BA42" s="331">
        <f t="shared" si="115"/>
        <v>0</v>
      </c>
      <c r="BB42" s="331">
        <f t="shared" si="115"/>
        <v>0</v>
      </c>
      <c r="BC42" s="331">
        <f>SUM(BC39:BC41)</f>
        <v>0</v>
      </c>
      <c r="BD42" s="330">
        <f>SUM(BD39:BD41)</f>
        <v>0</v>
      </c>
      <c r="BE42" s="331">
        <f t="shared" ref="BE42:BG42" si="116">SUM(BE39:BE41)</f>
        <v>0</v>
      </c>
      <c r="BF42" s="331">
        <f t="shared" si="116"/>
        <v>0</v>
      </c>
      <c r="BG42" s="331">
        <f t="shared" si="116"/>
        <v>0</v>
      </c>
      <c r="BH42" s="331">
        <f>SUM(BH39:BH41)</f>
        <v>0</v>
      </c>
      <c r="BI42" s="330">
        <f>SUM(BI39:BI41)</f>
        <v>0</v>
      </c>
    </row>
    <row r="43" spans="1:63">
      <c r="F43" s="27"/>
      <c r="K43" s="27"/>
      <c r="P43" s="27"/>
      <c r="U43" s="27"/>
      <c r="Z43" s="27"/>
      <c r="AE43" s="27"/>
      <c r="AJ43" s="27"/>
      <c r="AN43" s="486"/>
      <c r="AO43" s="27"/>
      <c r="AS43" s="486"/>
      <c r="AT43" s="27"/>
      <c r="AY43" s="27"/>
      <c r="BD43" s="27"/>
      <c r="BI43" s="27"/>
    </row>
    <row r="44" spans="1:63">
      <c r="A44" s="1" t="s">
        <v>342</v>
      </c>
      <c r="B44" s="22">
        <f t="shared" ref="B44:AJ44" si="117">B36+B42</f>
        <v>0</v>
      </c>
      <c r="C44" s="22">
        <f t="shared" si="117"/>
        <v>0</v>
      </c>
      <c r="D44" s="22">
        <f t="shared" si="117"/>
        <v>0</v>
      </c>
      <c r="E44" s="22">
        <f t="shared" si="117"/>
        <v>0</v>
      </c>
      <c r="F44" s="23">
        <f t="shared" si="117"/>
        <v>0</v>
      </c>
      <c r="G44" s="22">
        <f t="shared" si="117"/>
        <v>-360</v>
      </c>
      <c r="H44" s="22">
        <f t="shared" si="117"/>
        <v>-2777</v>
      </c>
      <c r="I44" s="22">
        <f t="shared" si="117"/>
        <v>0</v>
      </c>
      <c r="J44" s="22">
        <f t="shared" si="117"/>
        <v>-256</v>
      </c>
      <c r="K44" s="23">
        <f t="shared" si="117"/>
        <v>-3393</v>
      </c>
      <c r="L44" s="22">
        <f t="shared" si="117"/>
        <v>-120</v>
      </c>
      <c r="M44" s="22">
        <f t="shared" si="117"/>
        <v>0</v>
      </c>
      <c r="N44" s="22">
        <f t="shared" si="117"/>
        <v>-256</v>
      </c>
      <c r="O44" s="22">
        <f t="shared" si="117"/>
        <v>0</v>
      </c>
      <c r="P44" s="23">
        <f t="shared" si="117"/>
        <v>-376</v>
      </c>
      <c r="Q44" s="22">
        <f t="shared" si="117"/>
        <v>0</v>
      </c>
      <c r="R44" s="22">
        <f t="shared" si="117"/>
        <v>-307</v>
      </c>
      <c r="S44" s="22">
        <f t="shared" si="117"/>
        <v>-112</v>
      </c>
      <c r="T44" s="22">
        <f t="shared" si="117"/>
        <v>0</v>
      </c>
      <c r="U44" s="23">
        <f t="shared" si="117"/>
        <v>-419</v>
      </c>
      <c r="V44" s="22">
        <f t="shared" si="117"/>
        <v>0</v>
      </c>
      <c r="W44" s="22">
        <f t="shared" si="117"/>
        <v>0</v>
      </c>
      <c r="X44" s="22">
        <f t="shared" si="117"/>
        <v>-5600</v>
      </c>
      <c r="Y44" s="22">
        <f t="shared" si="117"/>
        <v>-2600</v>
      </c>
      <c r="Z44" s="23">
        <f t="shared" si="117"/>
        <v>-8200</v>
      </c>
      <c r="AA44" s="22">
        <f t="shared" si="117"/>
        <v>-1270</v>
      </c>
      <c r="AB44" s="22">
        <f t="shared" si="117"/>
        <v>-1313</v>
      </c>
      <c r="AC44" s="22">
        <f t="shared" si="117"/>
        <v>-590</v>
      </c>
      <c r="AD44" s="22">
        <f t="shared" si="117"/>
        <v>-6500</v>
      </c>
      <c r="AE44" s="23">
        <f t="shared" si="117"/>
        <v>-9673</v>
      </c>
      <c r="AF44" s="22">
        <f t="shared" si="117"/>
        <v>-568</v>
      </c>
      <c r="AG44" s="22">
        <f>AG36+AG42</f>
        <v>-515</v>
      </c>
      <c r="AH44" s="22">
        <f>AH36+AH42</f>
        <v>-418</v>
      </c>
      <c r="AI44" s="22">
        <f t="shared" si="117"/>
        <v>-3785</v>
      </c>
      <c r="AJ44" s="23">
        <f t="shared" si="117"/>
        <v>-5286</v>
      </c>
      <c r="AK44" s="22">
        <f>AK36+AK42</f>
        <v>-500</v>
      </c>
      <c r="AL44" s="22">
        <f>AL36+AL42</f>
        <v>-316.28571428571428</v>
      </c>
      <c r="AM44" s="22">
        <f>AM36+AM42</f>
        <v>103.28571428571428</v>
      </c>
      <c r="AN44" s="20">
        <f t="shared" ref="AN44:AO44" si="118">AN36+AN42</f>
        <v>-3785</v>
      </c>
      <c r="AO44" s="23">
        <f t="shared" si="118"/>
        <v>-4498</v>
      </c>
      <c r="AP44" s="22">
        <f>AP36+AP42</f>
        <v>-505</v>
      </c>
      <c r="AQ44" s="22">
        <f t="shared" ref="AQ44" si="119">AQ36+AQ42</f>
        <v>-450</v>
      </c>
      <c r="AR44" s="22">
        <f>AR36+AR42</f>
        <v>-424</v>
      </c>
      <c r="AS44" s="20">
        <f t="shared" ref="AS44:AT44" si="120">AS36+AS42</f>
        <v>-148</v>
      </c>
      <c r="AT44" s="23">
        <f t="shared" si="120"/>
        <v>-1527</v>
      </c>
      <c r="AU44" s="22">
        <f t="shared" ref="AU44:AW44" si="121">AU36+AU42</f>
        <v>0</v>
      </c>
      <c r="AV44" s="22">
        <f t="shared" si="121"/>
        <v>-250</v>
      </c>
      <c r="AW44" s="22">
        <f t="shared" si="121"/>
        <v>-3000</v>
      </c>
      <c r="AX44" s="22">
        <f>AX36+AX42</f>
        <v>-1100</v>
      </c>
      <c r="AY44" s="23">
        <f>AY36+AY42</f>
        <v>-4350</v>
      </c>
      <c r="AZ44" s="22">
        <f t="shared" ref="AZ44:BB44" si="122">AZ36+AZ42</f>
        <v>0</v>
      </c>
      <c r="BA44" s="22">
        <f t="shared" si="122"/>
        <v>0</v>
      </c>
      <c r="BB44" s="22">
        <f t="shared" si="122"/>
        <v>-4950</v>
      </c>
      <c r="BC44" s="22">
        <f>BC36+BC42</f>
        <v>0</v>
      </c>
      <c r="BD44" s="23">
        <f>BD36+BD42</f>
        <v>-4950</v>
      </c>
      <c r="BE44" s="22">
        <f t="shared" ref="BE44:BG44" si="123">BE36+BE42</f>
        <v>0</v>
      </c>
      <c r="BF44" s="22">
        <f t="shared" si="123"/>
        <v>0</v>
      </c>
      <c r="BG44" s="22">
        <f t="shared" si="123"/>
        <v>0</v>
      </c>
      <c r="BH44" s="22">
        <f>BH36+BH42</f>
        <v>0</v>
      </c>
      <c r="BI44" s="23">
        <f>BI36+BI42</f>
        <v>0</v>
      </c>
    </row>
    <row r="45" spans="1:63">
      <c r="A45" s="1" t="s">
        <v>210</v>
      </c>
      <c r="B45" s="22">
        <f t="shared" ref="B45:AJ45" si="124">B13-B44</f>
        <v>0</v>
      </c>
      <c r="C45" s="22">
        <f t="shared" si="124"/>
        <v>0</v>
      </c>
      <c r="D45" s="22">
        <f t="shared" si="124"/>
        <v>0</v>
      </c>
      <c r="E45" s="22">
        <f t="shared" si="124"/>
        <v>0</v>
      </c>
      <c r="F45" s="23">
        <f t="shared" si="124"/>
        <v>0</v>
      </c>
      <c r="G45" s="22">
        <f t="shared" si="124"/>
        <v>1152</v>
      </c>
      <c r="H45" s="22">
        <f t="shared" si="124"/>
        <v>1496</v>
      </c>
      <c r="I45" s="22">
        <f t="shared" si="124"/>
        <v>1293</v>
      </c>
      <c r="J45" s="22">
        <f t="shared" si="124"/>
        <v>1447</v>
      </c>
      <c r="K45" s="23">
        <f t="shared" si="124"/>
        <v>5388</v>
      </c>
      <c r="L45" s="22">
        <f t="shared" si="124"/>
        <v>990</v>
      </c>
      <c r="M45" s="22">
        <f t="shared" si="124"/>
        <v>1282</v>
      </c>
      <c r="N45" s="22">
        <f t="shared" si="124"/>
        <v>1769</v>
      </c>
      <c r="O45" s="22">
        <f t="shared" si="124"/>
        <v>1787</v>
      </c>
      <c r="P45" s="23">
        <f t="shared" si="124"/>
        <v>5828</v>
      </c>
      <c r="Q45" s="22">
        <f t="shared" si="124"/>
        <v>1412</v>
      </c>
      <c r="R45" s="22">
        <f t="shared" si="124"/>
        <v>2092</v>
      </c>
      <c r="S45" s="22">
        <f t="shared" si="124"/>
        <v>2145</v>
      </c>
      <c r="T45" s="22">
        <f t="shared" si="124"/>
        <v>2600</v>
      </c>
      <c r="U45" s="23">
        <f t="shared" si="124"/>
        <v>8249</v>
      </c>
      <c r="V45" s="22">
        <f t="shared" si="124"/>
        <v>1173</v>
      </c>
      <c r="W45" s="22">
        <f t="shared" si="124"/>
        <v>-4946</v>
      </c>
      <c r="X45" s="22">
        <f t="shared" si="124"/>
        <v>5560</v>
      </c>
      <c r="Y45" s="22">
        <f t="shared" si="124"/>
        <v>-244</v>
      </c>
      <c r="Z45" s="23">
        <f t="shared" si="124"/>
        <v>1543</v>
      </c>
      <c r="AA45" s="22">
        <f t="shared" si="124"/>
        <v>-798</v>
      </c>
      <c r="AB45" s="22">
        <f t="shared" si="124"/>
        <v>-1449</v>
      </c>
      <c r="AC45" s="22">
        <f t="shared" si="124"/>
        <v>-779</v>
      </c>
      <c r="AD45" s="22">
        <f t="shared" si="124"/>
        <v>-1148</v>
      </c>
      <c r="AE45" s="23">
        <f t="shared" si="124"/>
        <v>-4174</v>
      </c>
      <c r="AF45" s="22">
        <f t="shared" si="124"/>
        <v>-288</v>
      </c>
      <c r="AG45" s="22">
        <f>AG13-AG44</f>
        <v>43</v>
      </c>
      <c r="AH45" s="22">
        <f>AH13-AH44</f>
        <v>-275</v>
      </c>
      <c r="AI45" s="22">
        <f t="shared" si="124"/>
        <v>-669</v>
      </c>
      <c r="AJ45" s="23">
        <f t="shared" si="124"/>
        <v>-1189</v>
      </c>
      <c r="AK45" s="22">
        <f>AK13-AK44</f>
        <v>-359</v>
      </c>
      <c r="AL45" s="22">
        <f>AL13-AL44</f>
        <v>74.285714285714278</v>
      </c>
      <c r="AM45" s="22">
        <f>AM13-AM44</f>
        <v>-746.28571428571422</v>
      </c>
      <c r="AN45" s="20">
        <f t="shared" ref="AN45:AO45" si="125">AN13-AN44</f>
        <v>3159</v>
      </c>
      <c r="AO45" s="23">
        <f t="shared" si="125"/>
        <v>2128</v>
      </c>
      <c r="AP45" s="22">
        <f>AP13-AP44</f>
        <v>-110</v>
      </c>
      <c r="AQ45" s="22">
        <f t="shared" ref="AQ45" si="126">AQ13-AQ44</f>
        <v>67</v>
      </c>
      <c r="AR45" s="22">
        <f>AR13-AR44</f>
        <v>-254</v>
      </c>
      <c r="AS45" s="20">
        <f t="shared" ref="AS45:AT45" si="127">AS13-AS44</f>
        <v>189</v>
      </c>
      <c r="AT45" s="23">
        <f t="shared" si="127"/>
        <v>-108</v>
      </c>
      <c r="AU45" s="22">
        <f t="shared" ref="AU45:AW45" si="128">AU13-AU44</f>
        <v>-1143</v>
      </c>
      <c r="AV45" s="22">
        <f t="shared" si="128"/>
        <v>-465</v>
      </c>
      <c r="AW45" s="22">
        <f t="shared" si="128"/>
        <v>-1021</v>
      </c>
      <c r="AX45" s="22">
        <f>AX13-AX44</f>
        <v>-990</v>
      </c>
      <c r="AY45" s="23">
        <f>AY13-AY44</f>
        <v>-3619</v>
      </c>
      <c r="AZ45" s="22">
        <f t="shared" ref="AZ45:BB45" si="129">AZ13-AZ44</f>
        <v>-537</v>
      </c>
      <c r="BA45" s="22">
        <f t="shared" si="129"/>
        <v>-557</v>
      </c>
      <c r="BB45" s="22">
        <f t="shared" si="129"/>
        <v>-403</v>
      </c>
      <c r="BC45" s="22">
        <f>BC13-BC44</f>
        <v>-632</v>
      </c>
      <c r="BD45" s="23">
        <f>BD13-BD44</f>
        <v>-2129</v>
      </c>
      <c r="BE45" s="22">
        <f t="shared" ref="BE45:BG45" si="130">BE13-BE44</f>
        <v>-507.63126760563375</v>
      </c>
      <c r="BF45" s="22">
        <f t="shared" si="130"/>
        <v>-317.26954225352114</v>
      </c>
      <c r="BG45" s="22">
        <f t="shared" si="130"/>
        <v>-126.90781690140844</v>
      </c>
      <c r="BH45" s="22">
        <f>BH13-BH44</f>
        <v>-42.732453705988746</v>
      </c>
      <c r="BI45" s="23">
        <f>BI13-BI44</f>
        <v>-994.54108046655199</v>
      </c>
    </row>
    <row r="46" spans="1:63" s="5" customFormat="1">
      <c r="A46" s="5" t="s">
        <v>537</v>
      </c>
      <c r="B46" s="332">
        <f t="shared" ref="B46:AJ46" si="131">IFERROR(B45/B3,0)</f>
        <v>0</v>
      </c>
      <c r="C46" s="332">
        <f t="shared" si="131"/>
        <v>0</v>
      </c>
      <c r="D46" s="332">
        <f t="shared" si="131"/>
        <v>0</v>
      </c>
      <c r="E46" s="332">
        <f t="shared" si="131"/>
        <v>0</v>
      </c>
      <c r="F46" s="333">
        <f t="shared" si="131"/>
        <v>0</v>
      </c>
      <c r="G46" s="332">
        <f t="shared" si="131"/>
        <v>9.0091499178853521E-2</v>
      </c>
      <c r="H46" s="332">
        <f t="shared" si="131"/>
        <v>9.56338298280381E-2</v>
      </c>
      <c r="I46" s="332">
        <f t="shared" si="131"/>
        <v>8.5065789473684206E-2</v>
      </c>
      <c r="J46" s="332">
        <f t="shared" si="131"/>
        <v>0.10061187595605618</v>
      </c>
      <c r="K46" s="333">
        <f t="shared" si="131"/>
        <v>9.2877335723643387E-2</v>
      </c>
      <c r="L46" s="332">
        <f t="shared" si="131"/>
        <v>7.6430170616845525E-2</v>
      </c>
      <c r="M46" s="332">
        <f t="shared" si="131"/>
        <v>8.9775910364145659E-2</v>
      </c>
      <c r="N46" s="332">
        <f t="shared" si="131"/>
        <v>0.11492236730981616</v>
      </c>
      <c r="O46" s="332">
        <f t="shared" si="131"/>
        <v>0.11612945152066545</v>
      </c>
      <c r="P46" s="333">
        <f t="shared" si="131"/>
        <v>0.100458510014824</v>
      </c>
      <c r="Q46" s="332">
        <f t="shared" si="131"/>
        <v>0.10907686365392043</v>
      </c>
      <c r="R46" s="332">
        <f t="shared" si="131"/>
        <v>0.14994266055045871</v>
      </c>
      <c r="S46" s="332">
        <f t="shared" si="131"/>
        <v>0.15244119110226709</v>
      </c>
      <c r="T46" s="332">
        <f t="shared" si="131"/>
        <v>0.15728026132720344</v>
      </c>
      <c r="U46" s="333">
        <f t="shared" si="131"/>
        <v>0.14346336458025358</v>
      </c>
      <c r="V46" s="332">
        <f t="shared" si="131"/>
        <v>9.9221789883268477E-2</v>
      </c>
      <c r="W46" s="332">
        <f t="shared" si="131"/>
        <v>-1.0474375264718341</v>
      </c>
      <c r="X46" s="332">
        <f t="shared" si="131"/>
        <v>0.67402109346587469</v>
      </c>
      <c r="Y46" s="332">
        <f t="shared" si="131"/>
        <v>-3.2699008308764405E-2</v>
      </c>
      <c r="Z46" s="333">
        <f t="shared" si="131"/>
        <v>4.7837544566733843E-2</v>
      </c>
      <c r="AA46" s="332">
        <f t="shared" si="131"/>
        <v>-0.12860596293311846</v>
      </c>
      <c r="AB46" s="332">
        <f t="shared" si="131"/>
        <v>-0.88732394366197187</v>
      </c>
      <c r="AC46" s="332">
        <f t="shared" si="131"/>
        <v>-0.21662958843159066</v>
      </c>
      <c r="AD46" s="332">
        <f t="shared" si="131"/>
        <v>-0.2428087986463621</v>
      </c>
      <c r="AE46" s="333">
        <f t="shared" si="131"/>
        <v>-0.25826011632223733</v>
      </c>
      <c r="AF46" s="332">
        <f t="shared" si="131"/>
        <v>-6.7463106113843985E-2</v>
      </c>
      <c r="AG46" s="332">
        <f>IFERROR(AG45/AG3,0)</f>
        <v>7.1487946799667496E-3</v>
      </c>
      <c r="AH46" s="332">
        <f>IFERROR(AH45/AH3,0)</f>
        <v>-6.1673020856694329E-2</v>
      </c>
      <c r="AI46" s="490">
        <f t="shared" si="131"/>
        <v>-0.14084210526315791</v>
      </c>
      <c r="AJ46" s="333">
        <f t="shared" si="131"/>
        <v>-6.0996255065921101E-2</v>
      </c>
      <c r="AK46" s="332">
        <f>IFERROR(AK45/AK3,0)</f>
        <v>-8.6277337178562841E-2</v>
      </c>
      <c r="AL46" s="490">
        <f>IFERROR(AL45/AL3,0)</f>
        <v>1.1944961293731191E-2</v>
      </c>
      <c r="AM46" s="332">
        <f>IFERROR(AM45/AM3,0)</f>
        <v>-0.11915786592459113</v>
      </c>
      <c r="AN46" s="502">
        <f t="shared" ref="AN46:AO46" si="132">IFERROR(AN45/AN3,0)</f>
        <v>0.34247614917606245</v>
      </c>
      <c r="AO46" s="333">
        <f t="shared" si="132"/>
        <v>8.2266981095604444E-2</v>
      </c>
      <c r="AP46" s="332">
        <f>IFERROR(AP45/AP3,0)</f>
        <v>-1.6408114558472554E-2</v>
      </c>
      <c r="AQ46" s="332">
        <f t="shared" ref="AQ46" si="133">IFERROR(AQ45/AQ3,0)</f>
        <v>7.5791855203619909E-3</v>
      </c>
      <c r="AR46" s="332">
        <f>IFERROR(AR45/AR3,0)</f>
        <v>-3.2249873031995939E-2</v>
      </c>
      <c r="AS46" s="502">
        <f t="shared" ref="AS46:AT46" si="134">IFERROR(AS45/AS3,0)</f>
        <v>1.8032630474191395E-2</v>
      </c>
      <c r="AT46" s="333">
        <f t="shared" si="134"/>
        <v>-3.1857467331347158E-3</v>
      </c>
      <c r="AU46" s="332">
        <f t="shared" ref="AU46:AW46" si="135">IFERROR(AU45/AU3,0)</f>
        <v>-0.24564796905222436</v>
      </c>
      <c r="AV46" s="332">
        <f t="shared" si="135"/>
        <v>-7.7461269365317345E-2</v>
      </c>
      <c r="AW46" s="332">
        <f t="shared" si="135"/>
        <v>-0.13717586994491468</v>
      </c>
      <c r="AX46" s="332">
        <f>IFERROR(AX45/AX3,0)</f>
        <v>-0.20789584208315834</v>
      </c>
      <c r="AY46" s="333">
        <f>IFERROR(AY45/AY3,0)</f>
        <v>-0.15830453610953152</v>
      </c>
      <c r="AZ46" s="332">
        <f t="shared" ref="AZ46:BB46" si="136">IFERROR(AZ45/AZ3,0)</f>
        <v>-6.5913833312875911E-2</v>
      </c>
      <c r="BA46" s="332">
        <f t="shared" si="136"/>
        <v>-5.1223100974802281E-2</v>
      </c>
      <c r="BB46" s="332">
        <f t="shared" si="136"/>
        <v>-3.6325941950603929E-2</v>
      </c>
      <c r="BC46" s="332">
        <f>IFERROR(BC45/BC3,0)</f>
        <v>-5.5540908691449162E-2</v>
      </c>
      <c r="BD46" s="333">
        <f>IFERROR(BD45/BD3,0)</f>
        <v>-5.130862293343616E-2</v>
      </c>
      <c r="BE46" s="332">
        <f t="shared" ref="BE46:BG46" si="137">IFERROR(BE45/BE3,0)</f>
        <v>-0.04</v>
      </c>
      <c r="BF46" s="332">
        <f t="shared" si="137"/>
        <v>-2.5000000000000001E-2</v>
      </c>
      <c r="BG46" s="332">
        <f t="shared" si="137"/>
        <v>-0.01</v>
      </c>
      <c r="BH46" s="332">
        <f>IFERROR(BH45/BH3,0)</f>
        <v>-3.3672042234550877E-3</v>
      </c>
      <c r="BI46" s="333">
        <f>IFERROR(BI45/BI3,0)</f>
        <v>-1.9591801055863771E-2</v>
      </c>
    </row>
    <row r="47" spans="1:63">
      <c r="F47" s="27"/>
      <c r="K47" s="27"/>
      <c r="P47" s="27"/>
      <c r="U47" s="27"/>
      <c r="Z47" s="27"/>
      <c r="AE47" s="27"/>
      <c r="AJ47" s="27"/>
      <c r="AN47" s="486"/>
      <c r="AO47" s="27"/>
      <c r="AS47" s="486"/>
      <c r="AT47" s="27"/>
      <c r="AY47" s="27"/>
      <c r="BD47" s="27"/>
      <c r="BI47" s="27"/>
    </row>
    <row r="48" spans="1:63" s="5" customFormat="1">
      <c r="A48" s="14" t="s">
        <v>538</v>
      </c>
      <c r="B48" s="39">
        <f>B49*B3</f>
        <v>0</v>
      </c>
      <c r="C48" s="39">
        <f>C49*C3</f>
        <v>0</v>
      </c>
      <c r="D48" s="39">
        <f>D49*D3</f>
        <v>0</v>
      </c>
      <c r="E48" s="39">
        <f>E49*E3</f>
        <v>0</v>
      </c>
      <c r="F48" s="40">
        <f>SUM(B48:E48)</f>
        <v>0</v>
      </c>
      <c r="G48" s="39">
        <f>G49*G3</f>
        <v>1365.8216244855496</v>
      </c>
      <c r="H48" s="39">
        <f>H49*H3</f>
        <v>1670.8803997675336</v>
      </c>
      <c r="I48" s="39">
        <f>I49*I3</f>
        <v>1623.5621093438924</v>
      </c>
      <c r="J48" s="39">
        <f>J49*J3</f>
        <v>1536.1888326699909</v>
      </c>
      <c r="K48" s="40">
        <f>SUM(G48:J48)</f>
        <v>6196.4529662669665</v>
      </c>
      <c r="L48" s="39">
        <f>L49*L3</f>
        <v>1425.7393844495425</v>
      </c>
      <c r="M48" s="39">
        <f>M49*M3</f>
        <v>1571.8025484397026</v>
      </c>
      <c r="N48" s="39">
        <f>N49*N3</f>
        <v>1694.3106882445618</v>
      </c>
      <c r="O48" s="39">
        <f>O49*O3</f>
        <v>1693.7603372121948</v>
      </c>
      <c r="P48" s="40">
        <f>SUM(L48:O48)</f>
        <v>6385.6129583460015</v>
      </c>
      <c r="Q48" s="39">
        <f>Q49*Q3</f>
        <v>1613.0327506036838</v>
      </c>
      <c r="R48" s="39">
        <f>R49*R3</f>
        <v>1738.5116211991192</v>
      </c>
      <c r="S48" s="39">
        <f>S49*S3</f>
        <v>1753.3398094819956</v>
      </c>
      <c r="T48" s="39">
        <f>T49*T3</f>
        <v>2059.8721050775971</v>
      </c>
      <c r="U48" s="40">
        <f>SUM(Q48:T48)</f>
        <v>7164.7562863623953</v>
      </c>
      <c r="V48" s="39">
        <f>V49*V3</f>
        <v>702.05922556241296</v>
      </c>
      <c r="W48" s="39">
        <f>W49*W3</f>
        <v>280.41986661357754</v>
      </c>
      <c r="X48" s="39">
        <f>X49*X3</f>
        <v>489.87367210830183</v>
      </c>
      <c r="Y48" s="39">
        <f>Y49*Y3</f>
        <v>443.13702767270559</v>
      </c>
      <c r="Z48" s="40">
        <f>SUM(V48:Y48)</f>
        <v>1915.489791956998</v>
      </c>
      <c r="AA48" s="39">
        <f>AA49*AA3</f>
        <v>222.79760072335816</v>
      </c>
      <c r="AB48" s="39">
        <f>AB49*AB3</f>
        <v>58.634727152497</v>
      </c>
      <c r="AC48" s="39">
        <f>AC49*AC3</f>
        <v>129.1184806126021</v>
      </c>
      <c r="AD48" s="39">
        <f>AD49*AD3</f>
        <v>169.76423146173045</v>
      </c>
      <c r="AE48" s="40">
        <f>SUM(AA48:AD48)</f>
        <v>580.31503995018772</v>
      </c>
      <c r="AF48" s="39">
        <f>AF49*AF3</f>
        <v>143.35555332798717</v>
      </c>
      <c r="AG48" s="39">
        <f>AG49*AG3</f>
        <v>201.98726944667203</v>
      </c>
      <c r="AH48" s="39">
        <f>AH49*AH3</f>
        <v>149.73586607858863</v>
      </c>
      <c r="AI48" s="39">
        <f>AI49*AI3</f>
        <v>159.50781876503609</v>
      </c>
      <c r="AJ48" s="40">
        <f>SUM(AF48:AI48)</f>
        <v>654.58650761828392</v>
      </c>
      <c r="AK48" s="39">
        <f>AK49*AK3</f>
        <v>139.72884923817162</v>
      </c>
      <c r="AL48" s="39">
        <f>AL49*AL3</f>
        <v>208.83771050521253</v>
      </c>
      <c r="AM48" s="39">
        <f>AM49*AM3</f>
        <v>210.31525661587813</v>
      </c>
      <c r="AN48" s="28">
        <f>AN49*AN3</f>
        <v>309.74739374498796</v>
      </c>
      <c r="AO48" s="40">
        <f>SUM(AK48:AN48)</f>
        <v>868.62921010425021</v>
      </c>
      <c r="AP48" s="39">
        <f>AP49*AP3</f>
        <v>225.1242983159583</v>
      </c>
      <c r="AQ48" s="39">
        <f t="shared" ref="AQ48" si="138">AQ49*AQ3</f>
        <v>296.85244587008822</v>
      </c>
      <c r="AR48" s="39">
        <f>AR49*AR3</f>
        <v>264.48075380914196</v>
      </c>
      <c r="AS48" s="28">
        <f>AS49*AS3</f>
        <v>351.95819967923018</v>
      </c>
      <c r="AT48" s="40">
        <f>SUM(AP48:AS48)</f>
        <v>1138.4156976744187</v>
      </c>
      <c r="AU48" s="39">
        <f t="shared" ref="AU48:AW48" si="139">AU49*AU3</f>
        <v>-341.1187135113957</v>
      </c>
      <c r="AV48" s="39">
        <f t="shared" si="139"/>
        <v>-440.08932671586251</v>
      </c>
      <c r="AW48" s="39">
        <f t="shared" si="139"/>
        <v>-545.65798080062712</v>
      </c>
      <c r="AX48" s="39">
        <f>AX49*AX3</f>
        <v>-349.1096741330897</v>
      </c>
      <c r="AY48" s="40">
        <f>SUM(AU48:AX48)</f>
        <v>-1675.9756951609752</v>
      </c>
      <c r="AZ48" s="39">
        <f t="shared" ref="AZ48:BB48" si="140">AZ49*AZ3</f>
        <v>-202.9451489035834</v>
      </c>
      <c r="BA48" s="39">
        <f t="shared" si="140"/>
        <v>-270.87584990518792</v>
      </c>
      <c r="BB48" s="39">
        <f t="shared" si="140"/>
        <v>-276.35614114844162</v>
      </c>
      <c r="BC48" s="39">
        <f>BC49*BC3</f>
        <v>-283.45560934992949</v>
      </c>
      <c r="BD48" s="40">
        <f>SUM(AZ48:BC48)</f>
        <v>-1033.6327493071424</v>
      </c>
      <c r="BE48" s="39">
        <f t="shared" ref="BE48:BG48" si="141">BE49*BE3</f>
        <v>-254.84767605633797</v>
      </c>
      <c r="BF48" s="39">
        <f t="shared" si="141"/>
        <v>-254.84767605633797</v>
      </c>
      <c r="BG48" s="39">
        <f t="shared" si="141"/>
        <v>-254.84767605633797</v>
      </c>
      <c r="BH48" s="39">
        <f>BH49*BH3</f>
        <v>-254.84767605633797</v>
      </c>
      <c r="BI48" s="40">
        <f>SUM(BE48:BH48)</f>
        <v>-1019.3907042253519</v>
      </c>
    </row>
    <row r="49" spans="1:61" s="337" customFormat="1">
      <c r="A49" s="334" t="s">
        <v>540</v>
      </c>
      <c r="B49" s="335">
        <f>C49</f>
        <v>0.10631839554429148</v>
      </c>
      <c r="C49" s="335">
        <f>D49</f>
        <v>0.10631839554429148</v>
      </c>
      <c r="D49" s="335">
        <f>E49</f>
        <v>0.10631839554429148</v>
      </c>
      <c r="E49" s="335">
        <f>F49</f>
        <v>0.10631839554429148</v>
      </c>
      <c r="F49" s="336">
        <f>BCA_Model_Annual!$Q$44</f>
        <v>0.10631839554429148</v>
      </c>
      <c r="G49" s="335">
        <f>H49</f>
        <v>0.10681329666736135</v>
      </c>
      <c r="H49" s="335">
        <f>I49</f>
        <v>0.10681329666736135</v>
      </c>
      <c r="I49" s="335">
        <f>J49</f>
        <v>0.10681329666736135</v>
      </c>
      <c r="J49" s="335">
        <f>K49</f>
        <v>0.10681329666736135</v>
      </c>
      <c r="K49" s="336">
        <f>BCA_Model_Annual!$R$44</f>
        <v>0.10681329666736135</v>
      </c>
      <c r="L49" s="335">
        <f>M49</f>
        <v>0.11007020647336853</v>
      </c>
      <c r="M49" s="335">
        <f>N49</f>
        <v>0.11007020647336853</v>
      </c>
      <c r="N49" s="335">
        <f>O49</f>
        <v>0.11007020647336853</v>
      </c>
      <c r="O49" s="335">
        <f>P49</f>
        <v>0.11007020647336853</v>
      </c>
      <c r="P49" s="336">
        <f>BCA_Model_Annual!$S$44</f>
        <v>0.11007020647336853</v>
      </c>
      <c r="Q49" s="335">
        <f>R49</f>
        <v>0.12460662422585429</v>
      </c>
      <c r="R49" s="335">
        <f>S49</f>
        <v>0.12460662422585429</v>
      </c>
      <c r="S49" s="335">
        <f>T49</f>
        <v>0.12460662422585429</v>
      </c>
      <c r="T49" s="335">
        <f>U49</f>
        <v>0.12460662422585429</v>
      </c>
      <c r="U49" s="336">
        <f>BCA_Model_Annual!$T$44</f>
        <v>0.12460662422585429</v>
      </c>
      <c r="V49" s="335">
        <f>W49</f>
        <v>5.938582520406132E-2</v>
      </c>
      <c r="W49" s="335">
        <f>X49</f>
        <v>5.938582520406132E-2</v>
      </c>
      <c r="X49" s="335">
        <f>Y49</f>
        <v>5.938582520406132E-2</v>
      </c>
      <c r="Y49" s="335">
        <f>Z49</f>
        <v>5.938582520406132E-2</v>
      </c>
      <c r="Z49" s="336">
        <f>BCA_Model_Annual!$U$44</f>
        <v>5.938582520406132E-2</v>
      </c>
      <c r="AA49" s="335">
        <f>AB49</f>
        <v>3.590614032608512E-2</v>
      </c>
      <c r="AB49" s="335">
        <f>AC49</f>
        <v>3.590614032608512E-2</v>
      </c>
      <c r="AC49" s="335">
        <f>AD49</f>
        <v>3.590614032608512E-2</v>
      </c>
      <c r="AD49" s="335">
        <f>AE49</f>
        <v>3.590614032608512E-2</v>
      </c>
      <c r="AE49" s="336">
        <f>BCA_Model_Annual!$V$44</f>
        <v>3.590614032608512E-2</v>
      </c>
      <c r="AF49" s="335">
        <f>AG49</f>
        <v>3.3580593424218125E-2</v>
      </c>
      <c r="AG49" s="335">
        <f>AH49</f>
        <v>3.3580593424218125E-2</v>
      </c>
      <c r="AH49" s="335">
        <f>AI49</f>
        <v>3.3580593424218125E-2</v>
      </c>
      <c r="AI49" s="408">
        <f>AJ49</f>
        <v>3.3580593424218125E-2</v>
      </c>
      <c r="AJ49" s="336">
        <f>BCA_Model_Annual!$W$44</f>
        <v>3.3580593424218125E-2</v>
      </c>
      <c r="AK49" s="335">
        <f>AL49</f>
        <v>3.3580593424218125E-2</v>
      </c>
      <c r="AL49" s="408">
        <f>AM49</f>
        <v>3.3580593424218125E-2</v>
      </c>
      <c r="AM49" s="335">
        <f>AN49</f>
        <v>3.3580593424218125E-2</v>
      </c>
      <c r="AN49" s="503">
        <f>AO49</f>
        <v>3.3580593424218125E-2</v>
      </c>
      <c r="AO49" s="336">
        <f>BCA_Model_Annual!$W$44</f>
        <v>3.3580593424218125E-2</v>
      </c>
      <c r="AP49" s="335">
        <f>AQ49</f>
        <v>3.3580593424218125E-2</v>
      </c>
      <c r="AQ49" s="335">
        <f t="shared" ref="AQ49" si="142">AR49</f>
        <v>3.3580593424218125E-2</v>
      </c>
      <c r="AR49" s="335">
        <f>AS49</f>
        <v>3.3580593424218125E-2</v>
      </c>
      <c r="AS49" s="503">
        <f>AT49</f>
        <v>3.3580593424218125E-2</v>
      </c>
      <c r="AT49" s="336">
        <f>BCA_Model_Annual!$W$44</f>
        <v>3.3580593424218125E-2</v>
      </c>
      <c r="AU49" s="335">
        <f t="shared" ref="AU49:AW49" si="143">AV49</f>
        <v>-7.3311565336642098E-2</v>
      </c>
      <c r="AV49" s="335">
        <f t="shared" si="143"/>
        <v>-7.3311565336642098E-2</v>
      </c>
      <c r="AW49" s="335">
        <f t="shared" si="143"/>
        <v>-7.3311565336642098E-2</v>
      </c>
      <c r="AX49" s="335">
        <f>AY49</f>
        <v>-7.3311565336642098E-2</v>
      </c>
      <c r="AY49" s="336">
        <f>BCA_Model_Annual!Z44</f>
        <v>-7.3311565336642098E-2</v>
      </c>
      <c r="AZ49" s="335">
        <f t="shared" ref="AZ49:BB49" si="144">BA49</f>
        <v>-2.4910414742062525E-2</v>
      </c>
      <c r="BA49" s="335">
        <f t="shared" si="144"/>
        <v>-2.4910414742062525E-2</v>
      </c>
      <c r="BB49" s="335">
        <f t="shared" si="144"/>
        <v>-2.4910414742062525E-2</v>
      </c>
      <c r="BC49" s="335">
        <f>BD49</f>
        <v>-2.4910414742062525E-2</v>
      </c>
      <c r="BD49" s="336">
        <f>BCA_Model_Annual!AA44</f>
        <v>-2.4910414742062525E-2</v>
      </c>
      <c r="BE49" s="335">
        <f t="shared" ref="BE49:BG49" si="145">BF49</f>
        <v>-2.0081322197380708E-2</v>
      </c>
      <c r="BF49" s="335">
        <f t="shared" si="145"/>
        <v>-2.0081322197380708E-2</v>
      </c>
      <c r="BG49" s="335">
        <f t="shared" si="145"/>
        <v>-2.0081322197380708E-2</v>
      </c>
      <c r="BH49" s="335">
        <f>BI49</f>
        <v>-2.0081322197380708E-2</v>
      </c>
      <c r="BI49" s="336">
        <f>BCA_Model_Annual!AB44</f>
        <v>-2.0081322197380708E-2</v>
      </c>
    </row>
    <row r="50" spans="1:61">
      <c r="F50" s="27"/>
      <c r="K50" s="27"/>
      <c r="P50" s="27"/>
      <c r="U50" s="27"/>
      <c r="Z50" s="27"/>
      <c r="AE50" s="27"/>
      <c r="AJ50" s="27"/>
      <c r="AN50" s="486"/>
      <c r="AO50" s="27"/>
      <c r="AS50" s="486"/>
      <c r="AT50" s="27"/>
      <c r="AY50" s="27"/>
      <c r="BD50" s="27"/>
      <c r="BI50" s="27"/>
    </row>
    <row r="51" spans="1:61">
      <c r="A51" t="s">
        <v>539</v>
      </c>
      <c r="B51" s="74">
        <f>B45-B48</f>
        <v>0</v>
      </c>
      <c r="C51" s="74">
        <f>C45-C48</f>
        <v>0</v>
      </c>
      <c r="D51" s="74">
        <f>D45-D48</f>
        <v>0</v>
      </c>
      <c r="E51" s="74">
        <f>E45-E48</f>
        <v>0</v>
      </c>
      <c r="F51" s="76">
        <f>SUM(B51:E51)</f>
        <v>0</v>
      </c>
      <c r="G51" s="74">
        <f>G45-G48</f>
        <v>-213.82162448554959</v>
      </c>
      <c r="H51" s="74">
        <f>H45-H48</f>
        <v>-174.88039976753362</v>
      </c>
      <c r="I51" s="74">
        <f>I45-I48</f>
        <v>-330.56210934389242</v>
      </c>
      <c r="J51" s="74">
        <f>J45-J48</f>
        <v>-89.188832669990916</v>
      </c>
      <c r="K51" s="76">
        <f>SUM(G51:J51)</f>
        <v>-808.45296626696654</v>
      </c>
      <c r="L51" s="74">
        <f>L45-L48</f>
        <v>-435.73938444954251</v>
      </c>
      <c r="M51" s="74">
        <f>M45-M48</f>
        <v>-289.8025484397026</v>
      </c>
      <c r="N51" s="74">
        <f>N45-N48</f>
        <v>74.689311755438212</v>
      </c>
      <c r="O51" s="74">
        <f>O45-O48</f>
        <v>93.239662787805173</v>
      </c>
      <c r="P51" s="76">
        <f>SUM(L51:O51)</f>
        <v>-557.61295834600173</v>
      </c>
      <c r="Q51" s="74">
        <f>Q45-Q48</f>
        <v>-201.03275060368378</v>
      </c>
      <c r="R51" s="74">
        <f>R45-R48</f>
        <v>353.48837880088081</v>
      </c>
      <c r="S51" s="74">
        <f>S45-S48</f>
        <v>391.66019051800436</v>
      </c>
      <c r="T51" s="74">
        <f>T45-T48</f>
        <v>540.1278949224029</v>
      </c>
      <c r="U51" s="76">
        <f>SUM(Q51:T51)</f>
        <v>1084.2437136376043</v>
      </c>
      <c r="V51" s="74">
        <f>V45-V48</f>
        <v>470.94077443758704</v>
      </c>
      <c r="W51" s="74">
        <f>W45-W48</f>
        <v>-5226.4198666135771</v>
      </c>
      <c r="X51" s="74">
        <f>X45-X48</f>
        <v>5070.1263278916986</v>
      </c>
      <c r="Y51" s="74">
        <f>Y45-Y48</f>
        <v>-687.13702767270559</v>
      </c>
      <c r="Z51" s="76">
        <f>SUM(V51:Y51)</f>
        <v>-372.48979195699746</v>
      </c>
      <c r="AA51" s="74">
        <f>AA45-AA48</f>
        <v>-1020.7976007233582</v>
      </c>
      <c r="AB51" s="74">
        <f>AB45-AB48</f>
        <v>-1507.6347271524969</v>
      </c>
      <c r="AC51" s="74">
        <f>AC45-AC48</f>
        <v>-908.11848061260207</v>
      </c>
      <c r="AD51" s="74">
        <f>AD45-AD48</f>
        <v>-1317.7642314617306</v>
      </c>
      <c r="AE51" s="76">
        <f>SUM(AA51:AD51)</f>
        <v>-4754.3150399501883</v>
      </c>
      <c r="AF51" s="74">
        <f>AF45-AF48</f>
        <v>-431.3555533279872</v>
      </c>
      <c r="AG51" s="74">
        <f>AG45-AG48</f>
        <v>-158.98726944667203</v>
      </c>
      <c r="AH51" s="74">
        <f>AH45-AH48</f>
        <v>-424.73586607858863</v>
      </c>
      <c r="AI51" s="74">
        <f>AI45-AI48</f>
        <v>-828.50781876503606</v>
      </c>
      <c r="AJ51" s="76">
        <f>SUM(AF51:AI51)</f>
        <v>-1843.586507618284</v>
      </c>
      <c r="AK51" s="74">
        <f>AK45-AK48</f>
        <v>-498.72884923817162</v>
      </c>
      <c r="AL51" s="74">
        <f>AL45-AL48</f>
        <v>-134.55199621949825</v>
      </c>
      <c r="AM51" s="74">
        <f>AM45-AM48</f>
        <v>-956.60097090159229</v>
      </c>
      <c r="AN51" s="480">
        <f>AN45-AN48</f>
        <v>2849.2526062550119</v>
      </c>
      <c r="AO51" s="76">
        <f>SUM(AK51:AN51)</f>
        <v>1259.3707898957496</v>
      </c>
      <c r="AP51" s="74">
        <f>AP45-AP48</f>
        <v>-335.1242983159583</v>
      </c>
      <c r="AQ51" s="74">
        <f t="shared" ref="AQ51" si="146">AQ45-AQ48</f>
        <v>-229.85244587008822</v>
      </c>
      <c r="AR51" s="74">
        <f>AR45-AR48</f>
        <v>-518.48075380914202</v>
      </c>
      <c r="AS51" s="480">
        <f>AS45-AS48</f>
        <v>-162.95819967923018</v>
      </c>
      <c r="AT51" s="76">
        <f>SUM(AP51:AS51)</f>
        <v>-1246.4156976744187</v>
      </c>
      <c r="AU51" s="74">
        <f t="shared" ref="AU51:AW51" si="147">AU45-AU48</f>
        <v>-801.88128648860425</v>
      </c>
      <c r="AV51" s="74">
        <f t="shared" si="147"/>
        <v>-24.910673284137488</v>
      </c>
      <c r="AW51" s="74">
        <f t="shared" si="147"/>
        <v>-475.34201919937288</v>
      </c>
      <c r="AX51" s="74">
        <f>AX45-AX48</f>
        <v>-640.8903258669103</v>
      </c>
      <c r="AY51" s="76">
        <f>SUM(AU51:AX51)</f>
        <v>-1943.0243048390248</v>
      </c>
      <c r="AZ51" s="74">
        <f t="shared" ref="AZ51:BB51" si="148">AZ45-AZ48</f>
        <v>-334.0548510964166</v>
      </c>
      <c r="BA51" s="74">
        <f t="shared" si="148"/>
        <v>-286.12415009481208</v>
      </c>
      <c r="BB51" s="74">
        <f t="shared" si="148"/>
        <v>-126.64385885155838</v>
      </c>
      <c r="BC51" s="74">
        <f>BC45-BC48</f>
        <v>-348.54439065007051</v>
      </c>
      <c r="BD51" s="76">
        <f>SUM(AZ51:BC51)</f>
        <v>-1095.3672506928576</v>
      </c>
      <c r="BE51" s="74">
        <f t="shared" ref="BE51:BG51" si="149">BE45-BE48</f>
        <v>-252.78359154929578</v>
      </c>
      <c r="BF51" s="74">
        <f t="shared" si="149"/>
        <v>-62.421866197183164</v>
      </c>
      <c r="BG51" s="74">
        <f t="shared" si="149"/>
        <v>127.93985915492954</v>
      </c>
      <c r="BH51" s="74">
        <f>BH45-BH48</f>
        <v>212.11522235034923</v>
      </c>
      <c r="BI51" s="76">
        <f>SUM(BE51:BH51)</f>
        <v>24.849623758799822</v>
      </c>
    </row>
    <row r="52" spans="1:61">
      <c r="F52" s="27"/>
      <c r="K52" s="27"/>
      <c r="P52" s="27"/>
      <c r="U52" s="27"/>
      <c r="Z52" s="27"/>
      <c r="AE52" s="27"/>
      <c r="AJ52" s="27"/>
      <c r="AO52" s="27"/>
      <c r="AT52" s="27"/>
      <c r="AY52" s="27"/>
      <c r="BD52" s="27"/>
      <c r="BI52" s="27"/>
    </row>
    <row r="53" spans="1:61">
      <c r="A53" t="s">
        <v>643</v>
      </c>
      <c r="F53" s="27"/>
      <c r="K53" s="27"/>
      <c r="P53" s="27"/>
      <c r="U53" s="27"/>
      <c r="Z53" s="27"/>
      <c r="AA53" s="41">
        <v>-2068</v>
      </c>
      <c r="AB53" s="41">
        <v>-2762</v>
      </c>
      <c r="AC53" s="41">
        <v>-1369</v>
      </c>
      <c r="AD53" s="22">
        <f>AE53-SUM(AA53:AC53)</f>
        <v>-7648</v>
      </c>
      <c r="AE53" s="43">
        <v>-13847</v>
      </c>
      <c r="AF53" s="41">
        <v>-856</v>
      </c>
      <c r="AG53" s="41">
        <v>-472</v>
      </c>
      <c r="AH53" s="41">
        <v>-693</v>
      </c>
      <c r="AI53" s="22">
        <f>AJ53-SUM(AF53:AH53)</f>
        <v>-4454</v>
      </c>
      <c r="AJ53" s="43">
        <v>-6475</v>
      </c>
      <c r="AK53" s="41">
        <v>-897</v>
      </c>
      <c r="AL53" s="41">
        <v>-219</v>
      </c>
      <c r="AM53" s="41">
        <v>-622</v>
      </c>
      <c r="AN53" s="22">
        <f>AO53-SUM(AK53:AM53)</f>
        <v>-603</v>
      </c>
      <c r="AO53" s="43">
        <v>-2341</v>
      </c>
      <c r="AP53" s="41">
        <v>-615</v>
      </c>
      <c r="AQ53" s="41">
        <v>-383</v>
      </c>
      <c r="AR53" s="41">
        <v>-678</v>
      </c>
      <c r="AS53" s="22">
        <f>AT53-SUM(AP53:AR53)</f>
        <v>41</v>
      </c>
      <c r="AT53" s="43">
        <v>-1635</v>
      </c>
      <c r="AU53" s="41"/>
      <c r="AV53" s="41"/>
      <c r="AW53" s="41"/>
      <c r="AY53" s="316"/>
      <c r="AZ53" s="41"/>
      <c r="BA53" s="41"/>
      <c r="BB53" s="41"/>
      <c r="BD53" s="316"/>
      <c r="BE53" s="41"/>
      <c r="BF53" s="41"/>
      <c r="BG53" s="41"/>
      <c r="BI53" s="316"/>
    </row>
    <row r="54" spans="1:61">
      <c r="A54" t="s">
        <v>644</v>
      </c>
      <c r="F54" s="27"/>
      <c r="K54" s="27"/>
      <c r="P54" s="27"/>
      <c r="U54" s="27"/>
      <c r="Z54" s="27"/>
      <c r="AA54" s="41">
        <v>-1113</v>
      </c>
      <c r="AB54" s="41">
        <v>-2501</v>
      </c>
      <c r="AC54" s="41">
        <v>-752</v>
      </c>
      <c r="AD54" s="22">
        <f>AE54-SUM(AA54:AC54)</f>
        <v>-1035</v>
      </c>
      <c r="AE54" s="43">
        <v>-5401</v>
      </c>
      <c r="AF54" s="41">
        <v>-930</v>
      </c>
      <c r="AG54" s="41">
        <v>-284</v>
      </c>
      <c r="AH54" s="41">
        <v>-851</v>
      </c>
      <c r="AI54" s="22">
        <f>AJ54-SUM(AF54:AH54)</f>
        <v>-1226</v>
      </c>
      <c r="AJ54" s="43">
        <v>-3291</v>
      </c>
      <c r="AK54" s="41">
        <v>-1245</v>
      </c>
      <c r="AL54" s="41">
        <v>-503</v>
      </c>
      <c r="AM54" s="41">
        <v>-1144</v>
      </c>
      <c r="AN54" s="22">
        <f>AO54-SUM(AK54:AM54)</f>
        <v>-1812</v>
      </c>
      <c r="AO54" s="43">
        <v>-4704</v>
      </c>
      <c r="AP54" s="41">
        <v>-1871</v>
      </c>
      <c r="AQ54" s="41">
        <v>-919</v>
      </c>
      <c r="AR54" s="41">
        <v>-1148</v>
      </c>
      <c r="AS54" s="22">
        <f>AT54-SUM(AP54:AR54)</f>
        <v>-521</v>
      </c>
      <c r="AT54" s="43">
        <v>-4459</v>
      </c>
      <c r="AU54" s="41"/>
      <c r="AV54" s="41"/>
      <c r="AW54" s="41"/>
      <c r="AY54" s="316"/>
      <c r="AZ54" s="41"/>
      <c r="BA54" s="41"/>
      <c r="BB54" s="41"/>
      <c r="BD54" s="316"/>
      <c r="BE54" s="41"/>
      <c r="BF54" s="41"/>
      <c r="BG54" s="41"/>
      <c r="BI54" s="316"/>
    </row>
    <row r="55" spans="1:61">
      <c r="A55" t="s">
        <v>468</v>
      </c>
      <c r="F55" s="27"/>
      <c r="K55" s="27"/>
      <c r="P55" s="27"/>
      <c r="U55" s="27"/>
      <c r="Z55" s="27"/>
      <c r="AA55" s="22">
        <f>AA54-AA53</f>
        <v>955</v>
      </c>
      <c r="AB55" s="22">
        <f t="shared" ref="AB55:AR55" si="150">AB54-AB53</f>
        <v>261</v>
      </c>
      <c r="AC55" s="22">
        <f t="shared" si="150"/>
        <v>617</v>
      </c>
      <c r="AD55" s="22">
        <f t="shared" si="150"/>
        <v>6613</v>
      </c>
      <c r="AE55" s="23">
        <f t="shared" si="150"/>
        <v>8446</v>
      </c>
      <c r="AF55" s="22">
        <f t="shared" si="150"/>
        <v>-74</v>
      </c>
      <c r="AG55" s="22">
        <f t="shared" si="150"/>
        <v>188</v>
      </c>
      <c r="AH55" s="22">
        <f t="shared" si="150"/>
        <v>-158</v>
      </c>
      <c r="AI55" s="22">
        <f t="shared" si="150"/>
        <v>3228</v>
      </c>
      <c r="AJ55" s="23">
        <f t="shared" si="150"/>
        <v>3184</v>
      </c>
      <c r="AK55" s="22">
        <f t="shared" si="150"/>
        <v>-348</v>
      </c>
      <c r="AL55" s="22">
        <f t="shared" si="150"/>
        <v>-284</v>
      </c>
      <c r="AM55" s="22">
        <f t="shared" si="150"/>
        <v>-522</v>
      </c>
      <c r="AN55" s="22">
        <f t="shared" si="150"/>
        <v>-1209</v>
      </c>
      <c r="AO55" s="23">
        <f t="shared" si="150"/>
        <v>-2363</v>
      </c>
      <c r="AP55" s="22">
        <f t="shared" si="150"/>
        <v>-1256</v>
      </c>
      <c r="AQ55" s="22">
        <f t="shared" si="150"/>
        <v>-536</v>
      </c>
      <c r="AR55" s="22">
        <f t="shared" si="150"/>
        <v>-470</v>
      </c>
      <c r="AS55" s="22">
        <f t="shared" ref="AS55:AT55" si="151">AS54-AS53</f>
        <v>-562</v>
      </c>
      <c r="AT55" s="23">
        <f t="shared" si="151"/>
        <v>-2824</v>
      </c>
      <c r="AU55" s="22"/>
      <c r="AV55" s="22"/>
      <c r="AW55" s="22"/>
      <c r="AY55" s="27"/>
      <c r="AZ55" s="22"/>
      <c r="BA55" s="22"/>
      <c r="BB55" s="22"/>
      <c r="BD55" s="27"/>
      <c r="BE55" s="22"/>
      <c r="BF55" s="22"/>
      <c r="BG55" s="22"/>
      <c r="BI55" s="27"/>
    </row>
    <row r="56" spans="1:61">
      <c r="F56" s="27"/>
      <c r="K56" s="27"/>
      <c r="P56" s="27"/>
      <c r="U56" s="27"/>
      <c r="Z56" s="27"/>
      <c r="AE56" s="27"/>
      <c r="AJ56" s="27"/>
      <c r="AO56" s="27"/>
      <c r="AT56" s="27"/>
      <c r="AY56" s="27"/>
      <c r="BD56" s="27"/>
      <c r="BI56" s="27"/>
    </row>
    <row r="57" spans="1:61">
      <c r="F57" s="27"/>
      <c r="K57" s="27"/>
      <c r="P57" s="27"/>
      <c r="U57" s="27"/>
      <c r="Z57" s="27"/>
      <c r="AE57" s="27"/>
      <c r="AJ57" s="27"/>
      <c r="AO57" s="27"/>
      <c r="AT57" s="27"/>
      <c r="AY57" s="27"/>
      <c r="BD57" s="27"/>
      <c r="BI57" s="27"/>
    </row>
    <row r="58" spans="1:61">
      <c r="K58" s="27"/>
      <c r="P58" s="27"/>
      <c r="U58" s="27"/>
      <c r="Z58" s="27"/>
      <c r="AE58" s="27"/>
      <c r="AJ58" s="27"/>
      <c r="AO58" s="27"/>
      <c r="AT58" s="27"/>
      <c r="AY58" s="27"/>
      <c r="BD58" s="27"/>
      <c r="BI58" s="27"/>
    </row>
  </sheetData>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7"/>
  <dimension ref="A1:AF23"/>
  <sheetViews>
    <sheetView showGridLines="0" zoomScale="80" zoomScaleNormal="80" workbookViewId="0">
      <pane xSplit="1" ySplit="2" topLeftCell="T3" activePane="bottomRight" state="frozen"/>
      <selection activeCell="Y5" sqref="Y5"/>
      <selection pane="topRight" activeCell="Y5" sqref="Y5"/>
      <selection pane="bottomLeft" activeCell="Y5" sqref="Y5"/>
      <selection pane="bottomRight" activeCell="AB5" sqref="AB5"/>
    </sheetView>
  </sheetViews>
  <sheetFormatPr defaultRowHeight="14.5"/>
  <cols>
    <col min="1" max="1" width="48.1796875" customWidth="1"/>
    <col min="2" max="21" width="12.1796875" style="26" customWidth="1"/>
    <col min="22" max="32" width="12.1796875" customWidth="1"/>
  </cols>
  <sheetData>
    <row r="1" spans="1:32">
      <c r="A1" s="15" t="s">
        <v>312</v>
      </c>
      <c r="B1" s="68"/>
      <c r="C1" s="68"/>
      <c r="D1" s="68"/>
      <c r="E1" s="68"/>
      <c r="F1" s="68"/>
      <c r="G1" s="68"/>
      <c r="H1" s="68"/>
      <c r="I1" s="68"/>
      <c r="J1" s="68"/>
      <c r="K1" s="68"/>
      <c r="L1" s="68"/>
      <c r="M1" s="68"/>
      <c r="N1" s="68"/>
      <c r="O1" s="68"/>
      <c r="P1" s="68"/>
      <c r="Q1" s="68"/>
      <c r="R1" s="68"/>
      <c r="S1" s="68"/>
      <c r="T1" s="68"/>
      <c r="U1" s="90"/>
      <c r="V1" s="90"/>
      <c r="W1" s="90"/>
      <c r="X1" s="90"/>
      <c r="Y1" s="90"/>
      <c r="Z1" s="90"/>
      <c r="AA1" s="90"/>
      <c r="AB1" s="90"/>
      <c r="AC1" s="90"/>
      <c r="AD1" s="90"/>
      <c r="AE1" s="90"/>
      <c r="AF1" s="90"/>
    </row>
    <row r="2" spans="1:32">
      <c r="B2" s="179" t="str">
        <f>Income_Statement_Annual!B2</f>
        <v>CY2000A</v>
      </c>
      <c r="C2" s="179" t="str">
        <f>Income_Statement_Annual!C2</f>
        <v>CY2001A</v>
      </c>
      <c r="D2" s="69" t="str">
        <f>Income_Statement_Annual!D2</f>
        <v>CY2002A</v>
      </c>
      <c r="E2" s="179" t="str">
        <f>Income_Statement_Annual!E2</f>
        <v>CY2003A</v>
      </c>
      <c r="F2" s="69" t="str">
        <f>Income_Statement_Annual!F2</f>
        <v>CY2004A</v>
      </c>
      <c r="G2" s="179" t="str">
        <f>Income_Statement_Annual!G2</f>
        <v>CY2005A</v>
      </c>
      <c r="H2" s="69" t="str">
        <f>Income_Statement_Annual!H2</f>
        <v>CY2006A</v>
      </c>
      <c r="I2" s="179" t="str">
        <f>Income_Statement_Annual!I2</f>
        <v>CY2007A</v>
      </c>
      <c r="J2" s="69" t="str">
        <f>Income_Statement_Annual!J2</f>
        <v>CY2008A</v>
      </c>
      <c r="K2" s="179" t="str">
        <f>Income_Statement_Annual!K2</f>
        <v>CY2009A</v>
      </c>
      <c r="L2" s="69" t="str">
        <f>Income_Statement_Annual!L2</f>
        <v>CY2010A</v>
      </c>
      <c r="M2" s="179" t="str">
        <f>Income_Statement_Annual!M2</f>
        <v>CY2011A</v>
      </c>
      <c r="N2" s="69" t="str">
        <f>Income_Statement_Annual!N2</f>
        <v>CY2012A</v>
      </c>
      <c r="O2" s="179" t="str">
        <f>Income_Statement_Annual!O2</f>
        <v>CY2013A</v>
      </c>
      <c r="P2" s="179" t="str">
        <f>Income_Statement_Annual!P2</f>
        <v>CY2014A</v>
      </c>
      <c r="Q2" s="179" t="str">
        <f>Income_Statement_Annual!Q2</f>
        <v>CY2015A</v>
      </c>
      <c r="R2" s="179" t="str">
        <f>Income_Statement_Annual!R2</f>
        <v>CY2016A</v>
      </c>
      <c r="S2" s="179" t="str">
        <f>Income_Statement_Annual!S2</f>
        <v>CY2017A</v>
      </c>
      <c r="T2" s="179" t="str">
        <f>Income_Statement_Annual!T2</f>
        <v>CY2018A</v>
      </c>
      <c r="U2" s="179" t="str">
        <f>Income_Statement_Annual!U2</f>
        <v>CY2019A</v>
      </c>
      <c r="V2" s="179" t="str">
        <f>Income_Statement_Annual!V2</f>
        <v>CY2020A</v>
      </c>
      <c r="W2" s="179" t="str">
        <f>Income_Statement_Annual!W2</f>
        <v>CY2021A</v>
      </c>
      <c r="X2" s="179" t="str">
        <f>Income_Statement_Annual!X2</f>
        <v>CY2022A</v>
      </c>
      <c r="Y2" s="179" t="str">
        <f>Income_Statement_Annual!Y2</f>
        <v>CY2023A</v>
      </c>
      <c r="Z2" s="69" t="str">
        <f>Income_Statement_Annual!Z2</f>
        <v>CY2024A</v>
      </c>
      <c r="AA2" s="179" t="str">
        <f>Income_Statement_Annual!AA2</f>
        <v>CY2025A</v>
      </c>
      <c r="AB2" s="179" t="str">
        <f>Income_Statement_Annual!AB2</f>
        <v>CY2026E</v>
      </c>
      <c r="AC2" s="179" t="str">
        <f>Income_Statement_Annual!AC2</f>
        <v>CY2027E</v>
      </c>
      <c r="AD2" s="179" t="str">
        <f>Income_Statement_Annual!AD2</f>
        <v>CY2028E</v>
      </c>
      <c r="AE2" s="179" t="str">
        <f>Income_Statement_Annual!AE2</f>
        <v>CY2029E</v>
      </c>
      <c r="AF2" s="179" t="str">
        <f>Income_Statement_Annual!AF2</f>
        <v>CY2030E</v>
      </c>
    </row>
    <row r="3" spans="1:32">
      <c r="A3" s="9" t="s">
        <v>3</v>
      </c>
      <c r="B3" s="253"/>
      <c r="C3" s="253"/>
      <c r="D3" s="91"/>
      <c r="E3" s="253"/>
      <c r="F3" s="91"/>
      <c r="G3" s="253"/>
      <c r="H3" s="91"/>
      <c r="I3" s="253"/>
      <c r="J3" s="91"/>
      <c r="K3" s="253"/>
      <c r="L3" s="91"/>
      <c r="M3" s="253"/>
      <c r="N3" s="91"/>
      <c r="O3" s="253"/>
      <c r="P3" s="253"/>
      <c r="Q3" s="253"/>
      <c r="R3" s="253"/>
      <c r="S3" s="253"/>
      <c r="T3" s="253"/>
      <c r="U3" s="253"/>
      <c r="V3" s="253"/>
      <c r="W3" s="253"/>
      <c r="X3" s="253"/>
      <c r="Y3" s="253"/>
      <c r="Z3" s="91"/>
      <c r="AA3" s="253"/>
      <c r="AB3" s="253"/>
      <c r="AC3" s="253"/>
      <c r="AD3" s="253"/>
      <c r="AE3" s="253"/>
      <c r="AF3" s="253"/>
    </row>
    <row r="4" spans="1:32">
      <c r="B4" s="38"/>
      <c r="C4" s="38"/>
      <c r="D4" s="37"/>
      <c r="E4" s="38"/>
      <c r="F4" s="37"/>
      <c r="G4" s="38"/>
      <c r="H4" s="37"/>
      <c r="I4" s="38"/>
      <c r="J4" s="37"/>
      <c r="K4" s="38"/>
      <c r="L4" s="37"/>
      <c r="M4" s="38"/>
      <c r="N4" s="37"/>
      <c r="O4" s="38"/>
      <c r="P4" s="38"/>
      <c r="Q4" s="38"/>
      <c r="R4" s="38"/>
      <c r="S4" s="38"/>
      <c r="T4" s="38"/>
      <c r="U4" s="38"/>
      <c r="V4" s="38"/>
      <c r="W4" s="38"/>
      <c r="X4" s="38"/>
      <c r="Y4" s="38"/>
      <c r="Z4" s="37"/>
      <c r="AA4" s="38"/>
      <c r="AB4" s="38"/>
      <c r="AC4" s="38"/>
      <c r="AD4" s="38"/>
      <c r="AE4" s="38"/>
      <c r="AF4" s="38"/>
    </row>
    <row r="5" spans="1:32">
      <c r="A5" s="1">
        <f>BCA_Deliveries_Qtr!A4</f>
        <v>737</v>
      </c>
      <c r="B5" s="43">
        <f>2+279</f>
        <v>281</v>
      </c>
      <c r="C5" s="43">
        <f>0+299</f>
        <v>299</v>
      </c>
      <c r="D5" s="230">
        <f>0+223</f>
        <v>223</v>
      </c>
      <c r="E5" s="43">
        <v>173</v>
      </c>
      <c r="F5" s="230">
        <v>202</v>
      </c>
      <c r="G5" s="43">
        <v>212</v>
      </c>
      <c r="H5" s="230">
        <v>302</v>
      </c>
      <c r="I5" s="43">
        <v>330</v>
      </c>
      <c r="J5" s="230">
        <v>290</v>
      </c>
      <c r="K5" s="43">
        <v>372</v>
      </c>
      <c r="L5" s="230">
        <v>376</v>
      </c>
      <c r="M5" s="43">
        <v>372</v>
      </c>
      <c r="N5" s="230">
        <v>415</v>
      </c>
      <c r="O5" s="43">
        <v>440</v>
      </c>
      <c r="P5" s="43">
        <v>485</v>
      </c>
      <c r="Q5" s="38">
        <f>BCA_Deliveries_Qtr!F4</f>
        <v>495</v>
      </c>
      <c r="R5" s="38">
        <f>BCA_Deliveries_Qtr!K4</f>
        <v>490</v>
      </c>
      <c r="S5" s="38">
        <f>BCA_Deliveries_Qtr!P4</f>
        <v>529</v>
      </c>
      <c r="T5" s="38">
        <f>BCA_Deliveries_Qtr!U4</f>
        <v>580</v>
      </c>
      <c r="U5" s="38">
        <f>BCA_Deliveries_Qtr!Z4</f>
        <v>127</v>
      </c>
      <c r="V5" s="38">
        <f>BCA_Deliveries_Qtr!AE4</f>
        <v>43</v>
      </c>
      <c r="W5" s="38">
        <f>BCA_Deliveries_Qtr!AJ4</f>
        <v>263</v>
      </c>
      <c r="X5" s="38">
        <f>BCA_Deliveries_Qtr!AO4</f>
        <v>387</v>
      </c>
      <c r="Y5" s="38">
        <f>BCA_Deliveries_Qtr!AT4</f>
        <v>396</v>
      </c>
      <c r="Z5" s="37">
        <f>BCA_Deliveries_Qtr!AY4</f>
        <v>265</v>
      </c>
      <c r="AA5" s="38">
        <f>BCA_Deliveries_Qtr!BD4</f>
        <v>447</v>
      </c>
      <c r="AB5" s="38">
        <f>BCA_Model_Annual!AB4</f>
        <v>498</v>
      </c>
      <c r="AC5" s="38">
        <f>BCA_Model_Annual!AC4</f>
        <v>579</v>
      </c>
      <c r="AD5" s="38">
        <f>BCA_Model_Annual!AD4</f>
        <v>624</v>
      </c>
      <c r="AE5" s="38">
        <f>BCA_Model_Annual!AE4</f>
        <v>624</v>
      </c>
      <c r="AF5" s="38">
        <f>BCA_Model_Annual!AF4</f>
        <v>624</v>
      </c>
    </row>
    <row r="6" spans="1:32">
      <c r="A6" s="1">
        <f>BCA_Deliveries_Qtr!A5</f>
        <v>747</v>
      </c>
      <c r="B6" s="43">
        <v>25</v>
      </c>
      <c r="C6" s="43">
        <v>31</v>
      </c>
      <c r="D6" s="230">
        <v>27</v>
      </c>
      <c r="E6" s="43">
        <v>19</v>
      </c>
      <c r="F6" s="230">
        <v>15</v>
      </c>
      <c r="G6" s="43">
        <v>13</v>
      </c>
      <c r="H6" s="230">
        <v>14</v>
      </c>
      <c r="I6" s="43">
        <v>16</v>
      </c>
      <c r="J6" s="230">
        <v>14</v>
      </c>
      <c r="K6" s="43">
        <v>8</v>
      </c>
      <c r="L6" s="230">
        <v>0</v>
      </c>
      <c r="M6" s="43">
        <v>9</v>
      </c>
      <c r="N6" s="230">
        <v>31</v>
      </c>
      <c r="O6" s="43">
        <v>24</v>
      </c>
      <c r="P6" s="43">
        <v>19</v>
      </c>
      <c r="Q6" s="38">
        <f>BCA_Deliveries_Qtr!F5</f>
        <v>18</v>
      </c>
      <c r="R6" s="38">
        <f>BCA_Deliveries_Qtr!K5</f>
        <v>9</v>
      </c>
      <c r="S6" s="38">
        <f>BCA_Deliveries_Qtr!P5</f>
        <v>14</v>
      </c>
      <c r="T6" s="38">
        <f>BCA_Deliveries_Qtr!U5</f>
        <v>6</v>
      </c>
      <c r="U6" s="38">
        <f>BCA_Deliveries_Qtr!Z5</f>
        <v>7</v>
      </c>
      <c r="V6" s="38">
        <f>BCA_Deliveries_Qtr!AE5</f>
        <v>5</v>
      </c>
      <c r="W6" s="38">
        <f>BCA_Deliveries_Qtr!AJ5</f>
        <v>7</v>
      </c>
      <c r="X6" s="38">
        <f>BCA_Deliveries_Qtr!AO5</f>
        <v>5</v>
      </c>
      <c r="Y6" s="38">
        <f>BCA_Deliveries_Qtr!AT5</f>
        <v>1</v>
      </c>
      <c r="Z6" s="37">
        <f>BCA_Deliveries_Qtr!AY5</f>
        <v>0</v>
      </c>
      <c r="AA6" s="38">
        <f>BCA_Deliveries_Qtr!BD5</f>
        <v>0</v>
      </c>
      <c r="AB6" s="38">
        <f>BCA_Model_Annual!AB5</f>
        <v>0</v>
      </c>
      <c r="AC6" s="38">
        <f>BCA_Model_Annual!AC5</f>
        <v>0</v>
      </c>
      <c r="AD6" s="38">
        <f>BCA_Model_Annual!AD5</f>
        <v>0</v>
      </c>
      <c r="AE6" s="38">
        <f>BCA_Model_Annual!AE5</f>
        <v>0</v>
      </c>
      <c r="AF6" s="38">
        <f>BCA_Model_Annual!AF5</f>
        <v>0</v>
      </c>
    </row>
    <row r="7" spans="1:32">
      <c r="A7" s="1">
        <f>BCA_Deliveries_Qtr!A6</f>
        <v>767</v>
      </c>
      <c r="B7" s="43">
        <v>44</v>
      </c>
      <c r="C7" s="43">
        <v>40</v>
      </c>
      <c r="D7" s="230">
        <v>35</v>
      </c>
      <c r="E7" s="43">
        <v>24</v>
      </c>
      <c r="F7" s="230">
        <v>9</v>
      </c>
      <c r="G7" s="43">
        <v>10</v>
      </c>
      <c r="H7" s="230">
        <v>12</v>
      </c>
      <c r="I7" s="43">
        <v>12</v>
      </c>
      <c r="J7" s="230">
        <v>10</v>
      </c>
      <c r="K7" s="43">
        <v>13</v>
      </c>
      <c r="L7" s="230">
        <v>12</v>
      </c>
      <c r="M7" s="43">
        <v>20</v>
      </c>
      <c r="N7" s="230">
        <v>26</v>
      </c>
      <c r="O7" s="43">
        <v>21</v>
      </c>
      <c r="P7" s="43">
        <v>6</v>
      </c>
      <c r="Q7" s="38">
        <f>BCA_Deliveries_Qtr!F6</f>
        <v>16</v>
      </c>
      <c r="R7" s="38">
        <f>BCA_Deliveries_Qtr!K6</f>
        <v>13</v>
      </c>
      <c r="S7" s="38">
        <f>BCA_Deliveries_Qtr!P6</f>
        <v>10</v>
      </c>
      <c r="T7" s="38">
        <f>BCA_Deliveries_Qtr!U6</f>
        <v>27</v>
      </c>
      <c r="U7" s="38">
        <f>BCA_Deliveries_Qtr!Z6</f>
        <v>43</v>
      </c>
      <c r="V7" s="38">
        <f>BCA_Deliveries_Qtr!AE6</f>
        <v>30</v>
      </c>
      <c r="W7" s="38">
        <f>BCA_Deliveries_Qtr!AJ6</f>
        <v>32</v>
      </c>
      <c r="X7" s="38">
        <f>BCA_Deliveries_Qtr!AO6</f>
        <v>33</v>
      </c>
      <c r="Y7" s="38">
        <f>BCA_Deliveries_Qtr!AT6</f>
        <v>32</v>
      </c>
      <c r="Z7" s="37">
        <f>BCA_Deliveries_Qtr!AY6</f>
        <v>18</v>
      </c>
      <c r="AA7" s="38">
        <f>BCA_Deliveries_Qtr!BD6</f>
        <v>30</v>
      </c>
      <c r="AB7" s="38">
        <f>BCA_Model_Annual!AB6</f>
        <v>36</v>
      </c>
      <c r="AC7" s="38">
        <f>BCA_Model_Annual!AC6</f>
        <v>0</v>
      </c>
      <c r="AD7" s="38">
        <f>BCA_Model_Annual!AD6</f>
        <v>0</v>
      </c>
      <c r="AE7" s="38">
        <f>BCA_Model_Annual!AE6</f>
        <v>0</v>
      </c>
      <c r="AF7" s="38">
        <f>BCA_Model_Annual!AF6</f>
        <v>0</v>
      </c>
    </row>
    <row r="8" spans="1:32">
      <c r="A8" s="1">
        <f>BCA_Deliveries_Qtr!A7</f>
        <v>777</v>
      </c>
      <c r="B8" s="43">
        <v>55</v>
      </c>
      <c r="C8" s="43">
        <v>61</v>
      </c>
      <c r="D8" s="230">
        <v>47</v>
      </c>
      <c r="E8" s="43">
        <v>39</v>
      </c>
      <c r="F8" s="230">
        <v>36</v>
      </c>
      <c r="G8" s="43">
        <v>40</v>
      </c>
      <c r="H8" s="230">
        <v>65</v>
      </c>
      <c r="I8" s="43">
        <v>83</v>
      </c>
      <c r="J8" s="230">
        <v>61</v>
      </c>
      <c r="K8" s="43">
        <v>88</v>
      </c>
      <c r="L8" s="230">
        <v>74</v>
      </c>
      <c r="M8" s="43">
        <v>73</v>
      </c>
      <c r="N8" s="230">
        <v>83</v>
      </c>
      <c r="O8" s="43">
        <v>98</v>
      </c>
      <c r="P8" s="43">
        <v>99</v>
      </c>
      <c r="Q8" s="38">
        <f>BCA_Deliveries_Qtr!F7</f>
        <v>98</v>
      </c>
      <c r="R8" s="38">
        <f>BCA_Deliveries_Qtr!K7</f>
        <v>99</v>
      </c>
      <c r="S8" s="38">
        <f>BCA_Deliveries_Qtr!P7</f>
        <v>74</v>
      </c>
      <c r="T8" s="38">
        <f>BCA_Deliveries_Qtr!U7</f>
        <v>48</v>
      </c>
      <c r="U8" s="38">
        <f>BCA_Deliveries_Qtr!Z7</f>
        <v>45</v>
      </c>
      <c r="V8" s="38">
        <f>BCA_Deliveries_Qtr!AE7</f>
        <v>26</v>
      </c>
      <c r="W8" s="38">
        <f>BCA_Deliveries_Qtr!AJ7</f>
        <v>24</v>
      </c>
      <c r="X8" s="38">
        <f>BCA_Deliveries_Qtr!AO7</f>
        <v>24</v>
      </c>
      <c r="Y8" s="38">
        <f>BCA_Deliveries_Qtr!AT7</f>
        <v>26</v>
      </c>
      <c r="Z8" s="37">
        <f>BCA_Deliveries_Qtr!AY7</f>
        <v>14</v>
      </c>
      <c r="AA8" s="38">
        <f>BCA_Deliveries_Qtr!BD7</f>
        <v>35</v>
      </c>
      <c r="AB8" s="38">
        <f>BCA_Model_Annual!AB7</f>
        <v>36</v>
      </c>
      <c r="AC8" s="38">
        <f>BCA_Model_Annual!AC7</f>
        <v>48</v>
      </c>
      <c r="AD8" s="38">
        <f>BCA_Model_Annual!AD7</f>
        <v>48</v>
      </c>
      <c r="AE8" s="38">
        <f>BCA_Model_Annual!AE7</f>
        <v>48</v>
      </c>
      <c r="AF8" s="38">
        <f>BCA_Model_Annual!AF7</f>
        <v>48</v>
      </c>
    </row>
    <row r="9" spans="1:32">
      <c r="A9" s="1">
        <f>BCA_Deliveries_Qtr!A8</f>
        <v>787</v>
      </c>
      <c r="B9" s="43">
        <v>0</v>
      </c>
      <c r="C9" s="43">
        <v>0</v>
      </c>
      <c r="D9" s="230">
        <v>0</v>
      </c>
      <c r="E9" s="43">
        <v>0</v>
      </c>
      <c r="F9" s="230">
        <v>0</v>
      </c>
      <c r="G9" s="43">
        <v>0</v>
      </c>
      <c r="H9" s="230">
        <v>0</v>
      </c>
      <c r="I9" s="43">
        <v>0</v>
      </c>
      <c r="J9" s="230">
        <v>0</v>
      </c>
      <c r="K9" s="43">
        <v>0</v>
      </c>
      <c r="L9" s="230">
        <v>0</v>
      </c>
      <c r="M9" s="43">
        <v>3</v>
      </c>
      <c r="N9" s="230">
        <v>46</v>
      </c>
      <c r="O9" s="43">
        <v>65</v>
      </c>
      <c r="P9" s="43">
        <v>114</v>
      </c>
      <c r="Q9" s="38">
        <f>BCA_Deliveries_Qtr!F8</f>
        <v>135</v>
      </c>
      <c r="R9" s="38">
        <f>BCA_Deliveries_Qtr!K8</f>
        <v>137</v>
      </c>
      <c r="S9" s="38">
        <f>BCA_Deliveries_Qtr!P8</f>
        <v>136</v>
      </c>
      <c r="T9" s="38">
        <f>BCA_Deliveries_Qtr!U8</f>
        <v>145</v>
      </c>
      <c r="U9" s="38">
        <f>BCA_Deliveries_Qtr!Z8</f>
        <v>158</v>
      </c>
      <c r="V9" s="38">
        <f>BCA_Deliveries_Qtr!AE8</f>
        <v>53</v>
      </c>
      <c r="W9" s="38">
        <f>BCA_Deliveries_Qtr!AJ8</f>
        <v>14</v>
      </c>
      <c r="X9" s="38">
        <f>BCA_Deliveries_Qtr!AO8</f>
        <v>31</v>
      </c>
      <c r="Y9" s="38">
        <f>BCA_Deliveries_Qtr!AT8</f>
        <v>73</v>
      </c>
      <c r="Z9" s="37">
        <f>BCA_Deliveries_Qtr!AY8</f>
        <v>51</v>
      </c>
      <c r="AA9" s="38">
        <f>BCA_Deliveries_Qtr!BD8</f>
        <v>88</v>
      </c>
      <c r="AB9" s="38">
        <f>BCA_Model_Annual!AB8</f>
        <v>101</v>
      </c>
      <c r="AC9" s="38">
        <f>BCA_Model_Annual!AC8</f>
        <v>120</v>
      </c>
      <c r="AD9" s="38">
        <f>BCA_Model_Annual!AD8</f>
        <v>120</v>
      </c>
      <c r="AE9" s="38">
        <f>BCA_Model_Annual!AE8</f>
        <v>120</v>
      </c>
      <c r="AF9" s="38">
        <f>BCA_Model_Annual!AF8</f>
        <v>120</v>
      </c>
    </row>
    <row r="10" spans="1:32">
      <c r="A10" s="1">
        <f>BCA_Deliveries_Qtr!A9</f>
        <v>717</v>
      </c>
      <c r="B10" s="43">
        <v>32</v>
      </c>
      <c r="C10" s="43">
        <v>49</v>
      </c>
      <c r="D10" s="230">
        <v>20</v>
      </c>
      <c r="E10" s="43">
        <v>12</v>
      </c>
      <c r="F10" s="230">
        <v>12</v>
      </c>
      <c r="G10" s="43">
        <v>13</v>
      </c>
      <c r="H10" s="230">
        <v>5</v>
      </c>
      <c r="I10" s="43">
        <v>0</v>
      </c>
      <c r="J10" s="230">
        <v>0</v>
      </c>
      <c r="K10" s="43">
        <v>0</v>
      </c>
      <c r="L10" s="230">
        <v>0</v>
      </c>
      <c r="M10" s="230">
        <v>0</v>
      </c>
      <c r="N10" s="230">
        <v>0</v>
      </c>
      <c r="O10" s="230">
        <v>0</v>
      </c>
      <c r="P10" s="230">
        <v>0</v>
      </c>
      <c r="Q10" s="38">
        <f>BCA_Deliveries_Qtr!F9</f>
        <v>0</v>
      </c>
      <c r="R10" s="38">
        <f>BCA_Deliveries_Qtr!K9</f>
        <v>0</v>
      </c>
      <c r="S10" s="38">
        <f>BCA_Deliveries_Qtr!P9</f>
        <v>0</v>
      </c>
      <c r="T10" s="38">
        <f>BCA_Deliveries_Qtr!U9</f>
        <v>0</v>
      </c>
      <c r="U10" s="38">
        <f>BCA_Deliveries_Qtr!Z9</f>
        <v>0</v>
      </c>
      <c r="V10" s="38">
        <f>BCA_Deliveries_Qtr!AE9</f>
        <v>0</v>
      </c>
      <c r="W10" s="38">
        <f>BCA_Deliveries_Qtr!AJ9</f>
        <v>0</v>
      </c>
      <c r="X10" s="38">
        <f>BCA_Deliveries_Qtr!AO9</f>
        <v>0</v>
      </c>
      <c r="Y10" s="38">
        <f ca="1">BCA_Deliveries_Qtr!AT9</f>
        <v>0</v>
      </c>
      <c r="Z10" s="37">
        <f>BCA_Deliveries_Qtr!AY9</f>
        <v>0</v>
      </c>
      <c r="AA10" s="38">
        <f>BCA_Deliveries_Qtr!BD9</f>
        <v>0</v>
      </c>
      <c r="AB10" s="38">
        <f>BCA_Model_Annual!AB9</f>
        <v>0</v>
      </c>
      <c r="AC10" s="38">
        <f>BCA_Model_Annual!AC9</f>
        <v>0</v>
      </c>
      <c r="AD10" s="38">
        <f>BCA_Model_Annual!AD9</f>
        <v>0</v>
      </c>
      <c r="AE10" s="38">
        <f>BCA_Model_Annual!AE9</f>
        <v>0</v>
      </c>
      <c r="AF10" s="38">
        <f>BCA_Model_Annual!AF9</f>
        <v>0</v>
      </c>
    </row>
    <row r="11" spans="1:32">
      <c r="A11" s="1">
        <f>BCA_Deliveries_Qtr!A10</f>
        <v>757</v>
      </c>
      <c r="B11" s="43">
        <v>45</v>
      </c>
      <c r="C11" s="43">
        <v>45</v>
      </c>
      <c r="D11" s="230">
        <v>29</v>
      </c>
      <c r="E11" s="43">
        <v>14</v>
      </c>
      <c r="F11" s="230">
        <v>11</v>
      </c>
      <c r="G11" s="43">
        <v>2</v>
      </c>
      <c r="H11" s="230">
        <v>0</v>
      </c>
      <c r="I11" s="43">
        <v>0</v>
      </c>
      <c r="J11" s="230">
        <v>0</v>
      </c>
      <c r="K11" s="43">
        <v>0</v>
      </c>
      <c r="L11" s="230">
        <v>0</v>
      </c>
      <c r="M11" s="230">
        <v>0</v>
      </c>
      <c r="N11" s="230">
        <v>0</v>
      </c>
      <c r="O11" s="230">
        <v>0</v>
      </c>
      <c r="P11" s="230">
        <v>0</v>
      </c>
      <c r="Q11" s="38">
        <f>BCA_Deliveries_Qtr!F10</f>
        <v>0</v>
      </c>
      <c r="R11" s="38">
        <f>BCA_Deliveries_Qtr!K10</f>
        <v>0</v>
      </c>
      <c r="S11" s="38">
        <f>BCA_Deliveries_Qtr!P10</f>
        <v>0</v>
      </c>
      <c r="T11" s="38">
        <f>BCA_Deliveries_Qtr!U10</f>
        <v>0</v>
      </c>
      <c r="U11" s="38">
        <f>BCA_Deliveries_Qtr!Z10</f>
        <v>0</v>
      </c>
      <c r="V11" s="38">
        <f>BCA_Deliveries_Qtr!AE10</f>
        <v>0</v>
      </c>
      <c r="W11" s="38">
        <f>BCA_Deliveries_Qtr!AJ10</f>
        <v>0</v>
      </c>
      <c r="X11" s="38">
        <f>BCA_Deliveries_Qtr!AO10</f>
        <v>0</v>
      </c>
      <c r="Y11" s="38">
        <f ca="1">BCA_Deliveries_Qtr!AT10</f>
        <v>0</v>
      </c>
      <c r="Z11" s="37">
        <f>BCA_Deliveries_Qtr!AY10</f>
        <v>0</v>
      </c>
      <c r="AA11" s="38">
        <f>BCA_Deliveries_Qtr!BD10</f>
        <v>0</v>
      </c>
      <c r="AB11" s="38">
        <f>BCA_Model_Annual!AB10</f>
        <v>0</v>
      </c>
      <c r="AC11" s="38">
        <f>BCA_Model_Annual!AC10</f>
        <v>0</v>
      </c>
      <c r="AD11" s="38">
        <f>BCA_Model_Annual!AD10</f>
        <v>0</v>
      </c>
      <c r="AE11" s="38">
        <f>BCA_Model_Annual!AE10</f>
        <v>0</v>
      </c>
      <c r="AF11" s="38">
        <f>BCA_Model_Annual!AF10</f>
        <v>0</v>
      </c>
    </row>
    <row r="12" spans="1:32">
      <c r="A12" s="1" t="str">
        <f>BCA_Deliveries_Qtr!A11</f>
        <v>MD-11</v>
      </c>
      <c r="B12" s="43">
        <v>4</v>
      </c>
      <c r="C12" s="43">
        <v>2</v>
      </c>
      <c r="D12" s="43">
        <v>0</v>
      </c>
      <c r="E12" s="43">
        <v>0</v>
      </c>
      <c r="F12" s="43">
        <v>0</v>
      </c>
      <c r="G12" s="43">
        <v>0</v>
      </c>
      <c r="H12" s="230">
        <v>0</v>
      </c>
      <c r="I12" s="43">
        <v>0</v>
      </c>
      <c r="J12" s="230">
        <v>0</v>
      </c>
      <c r="K12" s="43">
        <v>0</v>
      </c>
      <c r="L12" s="230">
        <v>0</v>
      </c>
      <c r="M12" s="230">
        <v>0</v>
      </c>
      <c r="N12" s="230">
        <v>0</v>
      </c>
      <c r="O12" s="230">
        <v>0</v>
      </c>
      <c r="P12" s="230">
        <v>0</v>
      </c>
      <c r="Q12" s="38">
        <f>BCA_Deliveries_Qtr!F11</f>
        <v>0</v>
      </c>
      <c r="R12" s="38">
        <f>BCA_Deliveries_Qtr!K11</f>
        <v>0</v>
      </c>
      <c r="S12" s="38">
        <f>BCA_Deliveries_Qtr!P11</f>
        <v>0</v>
      </c>
      <c r="T12" s="38">
        <f>BCA_Deliveries_Qtr!U11</f>
        <v>0</v>
      </c>
      <c r="U12" s="38">
        <f>BCA_Deliveries_Qtr!Z11</f>
        <v>0</v>
      </c>
      <c r="V12" s="38">
        <f>BCA_Deliveries_Qtr!AE11</f>
        <v>0</v>
      </c>
      <c r="W12" s="38">
        <f>BCA_Deliveries_Qtr!AJ11</f>
        <v>0</v>
      </c>
      <c r="X12" s="38">
        <f>BCA_Deliveries_Qtr!AO11</f>
        <v>0</v>
      </c>
      <c r="Y12" s="38">
        <f ca="1">BCA_Deliveries_Qtr!AT11</f>
        <v>0</v>
      </c>
      <c r="Z12" s="37">
        <f>BCA_Deliveries_Qtr!AY11</f>
        <v>0</v>
      </c>
      <c r="AA12" s="38">
        <f>BCA_Deliveries_Qtr!BD11</f>
        <v>0</v>
      </c>
      <c r="AB12" s="38">
        <f>BCA_Model_Annual!AB11</f>
        <v>0</v>
      </c>
      <c r="AC12" s="38">
        <f>BCA_Model_Annual!AC11</f>
        <v>0</v>
      </c>
      <c r="AD12" s="38">
        <f>BCA_Model_Annual!AD11</f>
        <v>0</v>
      </c>
      <c r="AE12" s="38">
        <f>BCA_Model_Annual!AE11</f>
        <v>0</v>
      </c>
      <c r="AF12" s="38">
        <f>BCA_Model_Annual!AF11</f>
        <v>0</v>
      </c>
    </row>
    <row r="13" spans="1:32">
      <c r="A13" s="1" t="str">
        <f>BCA_Deliveries_Qtr!A12</f>
        <v xml:space="preserve">MD-90 </v>
      </c>
      <c r="B13" s="43">
        <v>3</v>
      </c>
      <c r="C13" s="43">
        <v>0</v>
      </c>
      <c r="D13" s="43">
        <v>0</v>
      </c>
      <c r="E13" s="43">
        <v>0</v>
      </c>
      <c r="F13" s="43">
        <v>0</v>
      </c>
      <c r="G13" s="43">
        <v>0</v>
      </c>
      <c r="H13" s="230">
        <v>0</v>
      </c>
      <c r="I13" s="43">
        <v>0</v>
      </c>
      <c r="J13" s="230">
        <v>0</v>
      </c>
      <c r="K13" s="43">
        <v>0</v>
      </c>
      <c r="L13" s="230">
        <v>0</v>
      </c>
      <c r="M13" s="230">
        <v>0</v>
      </c>
      <c r="N13" s="230">
        <v>0</v>
      </c>
      <c r="O13" s="230">
        <v>0</v>
      </c>
      <c r="P13" s="230">
        <v>0</v>
      </c>
      <c r="Q13" s="38">
        <f>BCA_Deliveries_Qtr!F12</f>
        <v>0</v>
      </c>
      <c r="R13" s="38">
        <f>BCA_Deliveries_Qtr!K12</f>
        <v>0</v>
      </c>
      <c r="S13" s="38">
        <f>BCA_Deliveries_Qtr!P12</f>
        <v>0</v>
      </c>
      <c r="T13" s="38">
        <f>BCA_Deliveries_Qtr!U12</f>
        <v>0</v>
      </c>
      <c r="U13" s="38">
        <f>BCA_Deliveries_Qtr!Z12</f>
        <v>0</v>
      </c>
      <c r="V13" s="38">
        <f>BCA_Deliveries_Qtr!AE12</f>
        <v>0</v>
      </c>
      <c r="W13" s="38">
        <f>BCA_Deliveries_Qtr!AJ12</f>
        <v>0</v>
      </c>
      <c r="X13" s="38">
        <f>BCA_Deliveries_Qtr!AO12</f>
        <v>0</v>
      </c>
      <c r="Y13" s="38">
        <f ca="1">BCA_Deliveries_Qtr!AT12</f>
        <v>0</v>
      </c>
      <c r="Z13" s="37">
        <f>BCA_Deliveries_Qtr!AY12</f>
        <v>0</v>
      </c>
      <c r="AA13" s="38">
        <f>BCA_Deliveries_Qtr!BD12</f>
        <v>0</v>
      </c>
      <c r="AB13" s="38">
        <f>BCA_Model_Annual!AB12</f>
        <v>0</v>
      </c>
      <c r="AC13" s="38">
        <f>BCA_Model_Annual!AC12</f>
        <v>0</v>
      </c>
      <c r="AD13" s="38">
        <f>BCA_Model_Annual!AD12</f>
        <v>0</v>
      </c>
      <c r="AE13" s="38">
        <f>BCA_Model_Annual!AE12</f>
        <v>0</v>
      </c>
      <c r="AF13" s="38">
        <f>BCA_Model_Annual!AF12</f>
        <v>0</v>
      </c>
    </row>
    <row r="14" spans="1:32">
      <c r="A14" s="14" t="s">
        <v>11</v>
      </c>
      <c r="B14" s="40">
        <f>SUM(B5:B13)</f>
        <v>489</v>
      </c>
      <c r="C14" s="40">
        <f t="shared" ref="C14:P14" si="0">SUM(C5:C13)</f>
        <v>527</v>
      </c>
      <c r="D14" s="239">
        <f t="shared" si="0"/>
        <v>381</v>
      </c>
      <c r="E14" s="40">
        <f t="shared" si="0"/>
        <v>281</v>
      </c>
      <c r="F14" s="239">
        <f t="shared" si="0"/>
        <v>285</v>
      </c>
      <c r="G14" s="40">
        <f t="shared" si="0"/>
        <v>290</v>
      </c>
      <c r="H14" s="239">
        <f t="shared" si="0"/>
        <v>398</v>
      </c>
      <c r="I14" s="40">
        <f t="shared" si="0"/>
        <v>441</v>
      </c>
      <c r="J14" s="239">
        <f t="shared" si="0"/>
        <v>375</v>
      </c>
      <c r="K14" s="40">
        <f t="shared" si="0"/>
        <v>481</v>
      </c>
      <c r="L14" s="239">
        <f t="shared" si="0"/>
        <v>462</v>
      </c>
      <c r="M14" s="40">
        <f t="shared" si="0"/>
        <v>477</v>
      </c>
      <c r="N14" s="239">
        <f t="shared" si="0"/>
        <v>601</v>
      </c>
      <c r="O14" s="40">
        <f t="shared" si="0"/>
        <v>648</v>
      </c>
      <c r="P14" s="40">
        <f t="shared" si="0"/>
        <v>723</v>
      </c>
      <c r="Q14" s="179">
        <f>BCA_Deliveries_Qtr!F13</f>
        <v>762</v>
      </c>
      <c r="R14" s="179">
        <f>BCA_Deliveries_Qtr!K13</f>
        <v>748</v>
      </c>
      <c r="S14" s="179">
        <f>BCA_Deliveries_Qtr!P13</f>
        <v>763</v>
      </c>
      <c r="T14" s="179">
        <f>BCA_Deliveries_Qtr!U13</f>
        <v>806</v>
      </c>
      <c r="U14" s="179">
        <f>BCA_Deliveries_Qtr!Z13</f>
        <v>380</v>
      </c>
      <c r="V14" s="179">
        <f>BCA_Deliveries_Qtr!AE13</f>
        <v>157</v>
      </c>
      <c r="W14" s="179">
        <f>BCA_Deliveries_Qtr!AJ13</f>
        <v>340</v>
      </c>
      <c r="X14" s="179">
        <f>BCA_Model_Annual!X13</f>
        <v>480</v>
      </c>
      <c r="Y14" s="179">
        <f ca="1">BCA_Deliveries_Qtr!AT13</f>
        <v>528</v>
      </c>
      <c r="Z14" s="69">
        <f>BCA_Deliveries_Qtr!AY13</f>
        <v>348</v>
      </c>
      <c r="AA14" s="179">
        <f>BCA_Model_Annual!AA13</f>
        <v>600</v>
      </c>
      <c r="AB14" s="179">
        <f>BCA_Model_Annual!AB13</f>
        <v>671</v>
      </c>
      <c r="AC14" s="179">
        <f>BCA_Model_Annual!AC13</f>
        <v>747</v>
      </c>
      <c r="AD14" s="179">
        <f>BCA_Model_Annual!AD13</f>
        <v>792</v>
      </c>
      <c r="AE14" s="179">
        <f>BCA_Model_Annual!AE13</f>
        <v>792</v>
      </c>
      <c r="AF14" s="179">
        <f>BCA_Model_Annual!AF13</f>
        <v>792</v>
      </c>
    </row>
    <row r="17" spans="24:32">
      <c r="X17" s="492">
        <f t="shared" ref="X17:AC17" si="1">X5/12</f>
        <v>32.25</v>
      </c>
      <c r="Y17" s="492">
        <f t="shared" si="1"/>
        <v>33</v>
      </c>
      <c r="Z17" s="492">
        <f t="shared" si="1"/>
        <v>22.083333333333332</v>
      </c>
      <c r="AA17" s="492">
        <f t="shared" si="1"/>
        <v>37.25</v>
      </c>
      <c r="AB17" s="492">
        <f t="shared" si="1"/>
        <v>41.5</v>
      </c>
      <c r="AC17" s="492">
        <f t="shared" si="1"/>
        <v>48.25</v>
      </c>
      <c r="AD17" s="492">
        <f t="shared" ref="AD17:AE17" si="2">AD5/12</f>
        <v>52</v>
      </c>
      <c r="AE17" s="492">
        <f t="shared" si="2"/>
        <v>52</v>
      </c>
      <c r="AF17" s="492">
        <f t="shared" ref="AF17" si="3">AF5/12</f>
        <v>52</v>
      </c>
    </row>
    <row r="18" spans="24:32">
      <c r="X18" s="492">
        <v>33.333333333333336</v>
      </c>
      <c r="Y18" s="492">
        <v>50.75</v>
      </c>
      <c r="Z18" s="492">
        <v>49.583333333333336</v>
      </c>
      <c r="AA18" s="492">
        <v>55</v>
      </c>
      <c r="AB18" s="492">
        <v>60</v>
      </c>
      <c r="AC18" s="492">
        <v>61</v>
      </c>
      <c r="AD18" s="492">
        <v>61</v>
      </c>
      <c r="AE18" s="492">
        <v>61</v>
      </c>
      <c r="AF18" s="492">
        <v>61</v>
      </c>
    </row>
    <row r="19" spans="24:32">
      <c r="X19" s="492">
        <v>33.333333333333336</v>
      </c>
      <c r="Y19" s="492">
        <v>46.75</v>
      </c>
      <c r="Z19" s="492">
        <v>38.583333333333336</v>
      </c>
      <c r="AA19" s="492">
        <v>42</v>
      </c>
      <c r="AB19" s="492">
        <v>50</v>
      </c>
      <c r="AC19" s="492">
        <v>51</v>
      </c>
      <c r="AD19" s="492">
        <v>51</v>
      </c>
      <c r="AE19" s="492">
        <v>51</v>
      </c>
      <c r="AF19" s="492">
        <v>51</v>
      </c>
    </row>
    <row r="20" spans="24:32">
      <c r="X20" s="492"/>
      <c r="Y20" s="492"/>
      <c r="Z20" s="492"/>
      <c r="AA20" s="492"/>
      <c r="AB20" s="492"/>
      <c r="AC20" s="492"/>
      <c r="AD20" s="492"/>
      <c r="AE20" s="492"/>
      <c r="AF20" s="492"/>
    </row>
    <row r="21" spans="24:32">
      <c r="X21" s="492">
        <f t="shared" ref="X21:AC21" si="4">X9/12</f>
        <v>2.5833333333333335</v>
      </c>
      <c r="Y21" s="492">
        <f t="shared" si="4"/>
        <v>6.083333333333333</v>
      </c>
      <c r="Z21" s="492">
        <f t="shared" si="4"/>
        <v>4.25</v>
      </c>
      <c r="AA21" s="492">
        <f t="shared" si="4"/>
        <v>7.333333333333333</v>
      </c>
      <c r="AB21" s="492">
        <f t="shared" si="4"/>
        <v>8.4166666666666661</v>
      </c>
      <c r="AC21" s="492">
        <f t="shared" si="4"/>
        <v>10</v>
      </c>
      <c r="AD21" s="492">
        <f t="shared" ref="AD21:AE21" si="5">AD9/12</f>
        <v>10</v>
      </c>
      <c r="AE21" s="492">
        <f t="shared" si="5"/>
        <v>10</v>
      </c>
      <c r="AF21" s="492">
        <f t="shared" ref="AF21" si="6">AF9/12</f>
        <v>10</v>
      </c>
    </row>
    <row r="22" spans="24:32">
      <c r="X22" s="492">
        <v>1.6666666666666667</v>
      </c>
      <c r="Y22" s="492">
        <v>6.5</v>
      </c>
      <c r="Z22" s="492">
        <v>12.166666666666666</v>
      </c>
      <c r="AA22" s="492">
        <v>12.916666666666666</v>
      </c>
      <c r="AB22" s="492">
        <v>12</v>
      </c>
      <c r="AC22" s="492">
        <v>13</v>
      </c>
      <c r="AD22" s="492">
        <v>13</v>
      </c>
      <c r="AE22" s="492">
        <v>13</v>
      </c>
      <c r="AF22" s="492">
        <v>13</v>
      </c>
    </row>
    <row r="23" spans="24:32">
      <c r="X23" s="492">
        <v>1.6666666666666667</v>
      </c>
      <c r="Y23" s="492">
        <v>5.5</v>
      </c>
      <c r="Z23" s="492">
        <v>7.166666666666667</v>
      </c>
      <c r="AA23" s="492">
        <v>7.916666666666667</v>
      </c>
      <c r="AB23" s="492">
        <v>6</v>
      </c>
      <c r="AC23" s="492">
        <v>7</v>
      </c>
      <c r="AD23" s="492">
        <v>7</v>
      </c>
      <c r="AE23" s="492">
        <v>7</v>
      </c>
      <c r="AF23" s="492">
        <v>7</v>
      </c>
    </row>
  </sheetData>
  <pageMargins left="0.7" right="0.7" top="0.75" bottom="0.75" header="0.3" footer="0.3"/>
  <pageSetup orientation="portrait" horizontalDpi="300" verticalDpi="300"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8"/>
  <dimension ref="A1:BU50"/>
  <sheetViews>
    <sheetView showGridLines="0" zoomScaleNormal="100" workbookViewId="0">
      <pane xSplit="1" ySplit="2" topLeftCell="AW3" activePane="bottomRight" state="frozen"/>
      <selection activeCell="Y5" sqref="Y5"/>
      <selection pane="topRight" activeCell="Y5" sqref="Y5"/>
      <selection pane="bottomLeft" activeCell="Y5" sqref="Y5"/>
      <selection pane="bottomRight" activeCell="BC4" sqref="BC4"/>
    </sheetView>
  </sheetViews>
  <sheetFormatPr defaultRowHeight="14.5" outlineLevelCol="1"/>
  <cols>
    <col min="1" max="1" width="48" customWidth="1"/>
    <col min="2" max="5" width="12.1796875" style="26" customWidth="1" outlineLevel="1"/>
    <col min="6" max="6" width="12.1796875" style="26" customWidth="1"/>
    <col min="7" max="10" width="12.1796875" style="26" hidden="1" customWidth="1" outlineLevel="1"/>
    <col min="11" max="11" width="12.1796875" style="26" customWidth="1" collapsed="1"/>
    <col min="12" max="15" width="12.1796875" style="26" hidden="1" customWidth="1" outlineLevel="1"/>
    <col min="16" max="16" width="12.1796875" style="26" customWidth="1" collapsed="1"/>
    <col min="17" max="20" width="12.1796875" style="26" hidden="1" customWidth="1" outlineLevel="1"/>
    <col min="21" max="21" width="12.1796875" style="26" customWidth="1" collapsed="1"/>
    <col min="22" max="25" width="12.1796875" style="26" hidden="1" customWidth="1" outlineLevel="1"/>
    <col min="26" max="26" width="12.1796875" style="26" customWidth="1" collapsed="1"/>
    <col min="27" max="30" width="12.1796875" style="26" customWidth="1" outlineLevel="1"/>
    <col min="31" max="31" width="12.1796875" style="26" customWidth="1"/>
    <col min="32" max="35" width="12.1796875" style="26" customWidth="1" outlineLevel="1"/>
    <col min="36" max="36" width="12.1796875" style="26" customWidth="1"/>
    <col min="37" max="40" width="12.1796875" style="26" customWidth="1" outlineLevel="1"/>
    <col min="41" max="41" width="12.1796875" style="26" customWidth="1"/>
    <col min="42" max="45" width="12.1796875" style="26" customWidth="1" outlineLevel="1"/>
    <col min="46" max="46" width="12.1796875" style="26" customWidth="1"/>
    <col min="47" max="50" width="12.1796875" style="26" customWidth="1" outlineLevel="1"/>
    <col min="51" max="51" width="12.1796875" style="26" customWidth="1"/>
    <col min="52" max="55" width="12.1796875" style="26" customWidth="1" outlineLevel="1"/>
    <col min="56" max="56" width="12.1796875" style="26" customWidth="1"/>
    <col min="57" max="60" width="12.1796875" style="26" customWidth="1" outlineLevel="1"/>
    <col min="61" max="61" width="12.1796875" style="26" customWidth="1"/>
    <col min="65" max="65" width="10.453125" customWidth="1"/>
    <col min="66" max="66" width="23.1796875" customWidth="1"/>
    <col min="67" max="67" width="23.453125" customWidth="1"/>
    <col min="68" max="68" width="15.54296875" customWidth="1"/>
    <col min="69" max="69" width="11.7265625" customWidth="1"/>
    <col min="70" max="70" width="1.7265625" customWidth="1"/>
    <col min="71" max="71" width="16.54296875" customWidth="1"/>
    <col min="72" max="72" width="13.54296875" customWidth="1"/>
  </cols>
  <sheetData>
    <row r="1" spans="1:73">
      <c r="A1" s="15" t="s">
        <v>339</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c r="BQ1" s="451"/>
      <c r="BR1" s="451"/>
      <c r="BS1" s="451"/>
      <c r="BT1" s="451"/>
      <c r="BU1" s="451"/>
    </row>
    <row r="2" spans="1:73">
      <c r="B2" s="101" t="str">
        <f>Income_Statement_Qtr!B2</f>
        <v>1Q15A</v>
      </c>
      <c r="C2" s="101" t="str">
        <f>Income_Statement_Qtr!C2</f>
        <v>2Q15A</v>
      </c>
      <c r="D2" s="101" t="str">
        <f>Income_Statement_Qtr!D2</f>
        <v>3Q15A</v>
      </c>
      <c r="E2" s="101" t="str">
        <f>Income_Statement_Qtr!E2</f>
        <v>4Q15A</v>
      </c>
      <c r="F2" s="103" t="str">
        <f>Income_Statement_Qtr!F2</f>
        <v>CY2015A</v>
      </c>
      <c r="G2" s="101" t="str">
        <f>Income_Statement_Qtr!G2</f>
        <v>1Q16A</v>
      </c>
      <c r="H2" s="101" t="str">
        <f>Income_Statement_Qtr!H2</f>
        <v>2Q16A</v>
      </c>
      <c r="I2" s="101" t="str">
        <f>Income_Statement_Qtr!I2</f>
        <v>3Q16A</v>
      </c>
      <c r="J2" s="101" t="str">
        <f>Income_Statement_Qtr!J2</f>
        <v>4Q16A</v>
      </c>
      <c r="K2" s="103" t="str">
        <f>Income_Statement_Qtr!K2</f>
        <v>CY2016A</v>
      </c>
      <c r="L2" s="101" t="str">
        <f>Income_Statement_Qtr!L2</f>
        <v>1Q17A</v>
      </c>
      <c r="M2" s="101" t="str">
        <f>Income_Statement_Qtr!M2</f>
        <v>2Q17A</v>
      </c>
      <c r="N2" s="101" t="str">
        <f>Income_Statement_Qtr!N2</f>
        <v>3Q17A</v>
      </c>
      <c r="O2" s="101" t="str">
        <f>Income_Statement_Qtr!O2</f>
        <v>4Q17A</v>
      </c>
      <c r="P2" s="103" t="str">
        <f>Income_Statement_Qtr!P2</f>
        <v>CY2017A</v>
      </c>
      <c r="Q2" s="101" t="str">
        <f>Income_Statement_Qtr!Q2</f>
        <v>1Q18A</v>
      </c>
      <c r="R2" s="101" t="str">
        <f>Income_Statement_Qtr!R2</f>
        <v>2Q18A</v>
      </c>
      <c r="S2" s="101" t="str">
        <f>Income_Statement_Qtr!S2</f>
        <v>3Q18A</v>
      </c>
      <c r="T2" s="101" t="str">
        <f>Income_Statement_Qtr!T2</f>
        <v>4Q18A</v>
      </c>
      <c r="U2" s="103" t="str">
        <f>Income_Statement_Qtr!U2</f>
        <v>CY2018A</v>
      </c>
      <c r="V2" s="101" t="str">
        <f>Income_Statement_Qtr!V2</f>
        <v>1Q19A</v>
      </c>
      <c r="W2" s="101" t="str">
        <f>Income_Statement_Qtr!W2</f>
        <v>2Q19A</v>
      </c>
      <c r="X2" s="101" t="str">
        <f>Income_Statement_Qtr!X2</f>
        <v>3Q19A</v>
      </c>
      <c r="Y2" s="101" t="str">
        <f>Income_Statement_Qtr!Y2</f>
        <v>4Q19A</v>
      </c>
      <c r="Z2" s="103" t="str">
        <f>Income_Statement_Qtr!Z2</f>
        <v>CY2019A</v>
      </c>
      <c r="AA2" s="101" t="str">
        <f>Income_Statement_Qtr!AA2</f>
        <v>1Q20A</v>
      </c>
      <c r="AB2" s="101" t="str">
        <f>Income_Statement_Qtr!AB2</f>
        <v>2Q20A</v>
      </c>
      <c r="AC2" s="101" t="str">
        <f>Income_Statement_Qtr!AC2</f>
        <v>3Q20A</v>
      </c>
      <c r="AD2" s="101" t="str">
        <f>Income_Statement_Qtr!AD2</f>
        <v>4Q20A</v>
      </c>
      <c r="AE2" s="103" t="str">
        <f>Income_Statement_Qtr!AE2</f>
        <v>CY2020E</v>
      </c>
      <c r="AF2" s="101" t="str">
        <f>Income_Statement_Qtr!AF2</f>
        <v>1Q21A</v>
      </c>
      <c r="AG2" s="101" t="str">
        <f>Income_Statement_Qtr!AG2</f>
        <v>2Q21A</v>
      </c>
      <c r="AH2" s="101" t="str">
        <f>Income_Statement_Qtr!AH2</f>
        <v>3Q21A</v>
      </c>
      <c r="AI2" s="101" t="str">
        <f>Income_Statement_Qtr!AI2</f>
        <v>4Q21A</v>
      </c>
      <c r="AJ2" s="103" t="str">
        <f>Income_Statement_Qtr!AJ2</f>
        <v>CY2021A</v>
      </c>
      <c r="AK2" s="101" t="str">
        <f>Income_Statement_Qtr!AK2</f>
        <v>1Q22A</v>
      </c>
      <c r="AL2" s="101" t="str">
        <f>Income_Statement_Qtr!AL2</f>
        <v>2Q22A</v>
      </c>
      <c r="AM2" s="101" t="str">
        <f>Income_Statement_Qtr!AM2</f>
        <v>3Q22A</v>
      </c>
      <c r="AN2" s="101" t="str">
        <f>Income_Statement_Qtr!AN2</f>
        <v>4Q22A</v>
      </c>
      <c r="AO2" s="103" t="str">
        <f>Income_Statement_Qtr!AO2</f>
        <v>CY2022A</v>
      </c>
      <c r="AP2" s="101" t="str">
        <f>Income_Statement_Qtr!AP2</f>
        <v>1Q23A</v>
      </c>
      <c r="AQ2" s="101" t="str">
        <f>Income_Statement_Qtr!AQ2</f>
        <v>2Q23A</v>
      </c>
      <c r="AR2" s="101" t="str">
        <f>Income_Statement_Qtr!AR2</f>
        <v>3Q23A</v>
      </c>
      <c r="AS2" s="101" t="str">
        <f>Income_Statement_Qtr!AS2</f>
        <v>4Q23A</v>
      </c>
      <c r="AT2" s="103" t="str">
        <f>Income_Statement_Qtr!AT2</f>
        <v>CY2023A</v>
      </c>
      <c r="AU2" s="101" t="str">
        <f>Income_Statement_Qtr!AU2</f>
        <v>1Q24A</v>
      </c>
      <c r="AV2" s="101" t="str">
        <f>Income_Statement_Qtr!AV2</f>
        <v>2Q24A</v>
      </c>
      <c r="AW2" s="101" t="str">
        <f>Income_Statement_Qtr!AW2</f>
        <v>3Q24A</v>
      </c>
      <c r="AX2" s="101" t="str">
        <f>Income_Statement_Qtr!AX2</f>
        <v>4Q24A</v>
      </c>
      <c r="AY2" s="103" t="str">
        <f>Income_Statement_Qtr!AY2</f>
        <v>CY2024A</v>
      </c>
      <c r="AZ2" s="101" t="str">
        <f>Income_Statement_Qtr!AZ2</f>
        <v>1Q25A</v>
      </c>
      <c r="BA2" s="101" t="str">
        <f>Income_Statement_Qtr!BA2</f>
        <v>2Q25A</v>
      </c>
      <c r="BB2" s="101" t="str">
        <f>Income_Statement_Qtr!BB2</f>
        <v>3Q25A</v>
      </c>
      <c r="BC2" s="101" t="str">
        <f>Income_Statement_Qtr!BC2</f>
        <v>4Q25A</v>
      </c>
      <c r="BD2" s="103" t="str">
        <f>Income_Statement_Qtr!BD2</f>
        <v>CY2025A</v>
      </c>
      <c r="BE2" s="101" t="str">
        <f>Income_Statement_Qtr!BE2</f>
        <v>1Q26E</v>
      </c>
      <c r="BF2" s="101" t="str">
        <f>Income_Statement_Qtr!BF2</f>
        <v>2Q26E</v>
      </c>
      <c r="BG2" s="101" t="str">
        <f>Income_Statement_Qtr!BG2</f>
        <v>3Q26E</v>
      </c>
      <c r="BH2" s="101" t="str">
        <f>Income_Statement_Qtr!BH2</f>
        <v>4Q26E</v>
      </c>
      <c r="BI2" s="103" t="str">
        <f>Income_Statement_Qtr!BI2</f>
        <v>CY2026E</v>
      </c>
      <c r="BU2" s="259"/>
    </row>
    <row r="3" spans="1:73">
      <c r="A3" s="9" t="s">
        <v>3</v>
      </c>
      <c r="B3" s="92"/>
      <c r="C3" s="92"/>
      <c r="D3" s="92"/>
      <c r="E3" s="92"/>
      <c r="F3" s="93"/>
      <c r="G3" s="92"/>
      <c r="H3" s="92"/>
      <c r="I3" s="92"/>
      <c r="J3" s="92"/>
      <c r="K3" s="93"/>
      <c r="L3" s="92"/>
      <c r="M3" s="92"/>
      <c r="N3" s="92"/>
      <c r="O3" s="92"/>
      <c r="P3" s="93"/>
      <c r="Q3" s="92"/>
      <c r="R3" s="92"/>
      <c r="S3" s="92"/>
      <c r="T3" s="92"/>
      <c r="U3" s="93"/>
      <c r="V3" s="92"/>
      <c r="W3" s="92"/>
      <c r="X3" s="92"/>
      <c r="Y3" s="92"/>
      <c r="Z3" s="93"/>
      <c r="AA3" s="92"/>
      <c r="AB3" s="92"/>
      <c r="AC3" s="92"/>
      <c r="AD3" s="92"/>
      <c r="AE3" s="93"/>
      <c r="AF3" s="92"/>
      <c r="AG3" s="92"/>
      <c r="AH3" s="92"/>
      <c r="AI3" s="92"/>
      <c r="AJ3" s="93"/>
      <c r="AK3" s="92"/>
      <c r="AL3" s="92"/>
      <c r="AM3" s="92"/>
      <c r="AN3" s="92"/>
      <c r="AO3" s="93"/>
      <c r="AP3" s="92"/>
      <c r="AQ3" s="92"/>
      <c r="AR3" s="92"/>
      <c r="AS3" s="92"/>
      <c r="AT3" s="93"/>
      <c r="AU3" s="92"/>
      <c r="AV3" s="92"/>
      <c r="AW3" s="92"/>
      <c r="AX3" s="92"/>
      <c r="AY3" s="93"/>
      <c r="AZ3" s="92"/>
      <c r="BA3" s="92"/>
      <c r="BB3" s="92"/>
      <c r="BC3" s="92"/>
      <c r="BD3" s="93"/>
      <c r="BE3" s="92"/>
      <c r="BF3" s="92"/>
      <c r="BG3" s="92"/>
      <c r="BH3" s="92"/>
      <c r="BI3" s="93"/>
      <c r="BL3" s="531"/>
      <c r="BM3" s="531"/>
      <c r="BN3" s="5"/>
      <c r="BO3" s="531"/>
      <c r="BP3" s="531"/>
      <c r="BQ3" s="531"/>
      <c r="BR3" s="499"/>
      <c r="BS3" s="499"/>
      <c r="BT3" s="499"/>
      <c r="BU3" s="259"/>
    </row>
    <row r="4" spans="1:73">
      <c r="A4" s="1">
        <v>737</v>
      </c>
      <c r="B4" s="41">
        <v>121</v>
      </c>
      <c r="C4" s="41">
        <v>128</v>
      </c>
      <c r="D4" s="41">
        <v>126</v>
      </c>
      <c r="E4" s="22">
        <f t="shared" ref="E4:E12" si="0">+F4-SUM(B4,C4,D4)</f>
        <v>120</v>
      </c>
      <c r="F4" s="43">
        <v>495</v>
      </c>
      <c r="G4" s="41">
        <v>121</v>
      </c>
      <c r="H4" s="41">
        <v>127</v>
      </c>
      <c r="I4" s="41">
        <v>120</v>
      </c>
      <c r="J4" s="22">
        <f t="shared" ref="J4:J12" si="1">+K4-SUM(G4,H4,I4)</f>
        <v>122</v>
      </c>
      <c r="K4" s="43">
        <v>490</v>
      </c>
      <c r="L4" s="41">
        <v>113</v>
      </c>
      <c r="M4" s="41">
        <v>123</v>
      </c>
      <c r="N4" s="41">
        <v>145</v>
      </c>
      <c r="O4" s="22">
        <f t="shared" ref="O4:O12" si="2">+P4-SUM(L4,M4,N4)</f>
        <v>148</v>
      </c>
      <c r="P4" s="43">
        <v>529</v>
      </c>
      <c r="Q4" s="41">
        <v>132</v>
      </c>
      <c r="R4" s="41">
        <v>137</v>
      </c>
      <c r="S4" s="41">
        <v>138</v>
      </c>
      <c r="T4" s="22">
        <f t="shared" ref="T4:T12" si="3">+U4-SUM(Q4,R4,S4)</f>
        <v>173</v>
      </c>
      <c r="U4" s="43">
        <v>580</v>
      </c>
      <c r="V4" s="41">
        <v>89</v>
      </c>
      <c r="W4" s="41">
        <v>24</v>
      </c>
      <c r="X4" s="41">
        <v>5</v>
      </c>
      <c r="Y4" s="22">
        <f t="shared" ref="Y4:Y12" si="4">+Z4-SUM(V4,W4,X4)</f>
        <v>9</v>
      </c>
      <c r="Z4" s="43">
        <v>127</v>
      </c>
      <c r="AA4" s="41">
        <v>5</v>
      </c>
      <c r="AB4" s="41">
        <v>4</v>
      </c>
      <c r="AC4" s="41">
        <v>3</v>
      </c>
      <c r="AD4" s="22">
        <f t="shared" ref="AD4:AD12" si="5">+AE4-SUM(AA4,AB4,AC4)</f>
        <v>31</v>
      </c>
      <c r="AE4" s="43">
        <v>43</v>
      </c>
      <c r="AF4" s="41">
        <v>63</v>
      </c>
      <c r="AG4" s="41">
        <v>50</v>
      </c>
      <c r="AH4" s="41">
        <v>66</v>
      </c>
      <c r="AI4" s="42">
        <f>AJ4-SUM(AF4:AH4)</f>
        <v>84</v>
      </c>
      <c r="AJ4" s="43">
        <v>263</v>
      </c>
      <c r="AK4" s="41">
        <v>86</v>
      </c>
      <c r="AL4" s="41">
        <v>103</v>
      </c>
      <c r="AM4" s="41">
        <f>86+2</f>
        <v>88</v>
      </c>
      <c r="AN4" s="42">
        <f t="shared" ref="AN4:AN12" si="6">AO4-SUM(AK4:AM4)</f>
        <v>110</v>
      </c>
      <c r="AO4" s="43">
        <v>387</v>
      </c>
      <c r="AP4" s="41">
        <v>113</v>
      </c>
      <c r="AQ4" s="41">
        <v>103</v>
      </c>
      <c r="AR4" s="41">
        <f>66+4</f>
        <v>70</v>
      </c>
      <c r="AS4" s="42">
        <f t="shared" ref="AS4:AS12" si="7">AT4-SUM(AP4:AR4)</f>
        <v>110</v>
      </c>
      <c r="AT4" s="43">
        <v>396</v>
      </c>
      <c r="AU4" s="41">
        <v>67</v>
      </c>
      <c r="AV4" s="41">
        <v>70</v>
      </c>
      <c r="AW4" s="41">
        <v>92</v>
      </c>
      <c r="AX4" s="42">
        <f t="shared" ref="AX4:AX12" si="8">AY4-SUM(AU4:AW4)</f>
        <v>36</v>
      </c>
      <c r="AY4" s="43">
        <v>265</v>
      </c>
      <c r="AZ4" s="41">
        <v>105</v>
      </c>
      <c r="BA4" s="41">
        <v>104</v>
      </c>
      <c r="BB4" s="41">
        <v>121</v>
      </c>
      <c r="BC4" s="42">
        <f t="shared" ref="BC4:BC12" si="9">BD4-SUM(AZ4:BB4)</f>
        <v>117</v>
      </c>
      <c r="BD4" s="43">
        <v>447</v>
      </c>
      <c r="BE4" s="41">
        <f t="shared" ref="BE4:BG12" si="10">$BI4/4</f>
        <v>124.5</v>
      </c>
      <c r="BF4" s="41">
        <f t="shared" si="10"/>
        <v>124.5</v>
      </c>
      <c r="BG4" s="41">
        <f t="shared" si="10"/>
        <v>124.5</v>
      </c>
      <c r="BH4" s="42">
        <f t="shared" ref="BH4:BH12" si="11">BI4-SUM(BE4:BG4)</f>
        <v>124.5</v>
      </c>
      <c r="BI4" s="38">
        <f>BCA_Model_Annual!AB4</f>
        <v>498</v>
      </c>
      <c r="BJ4" s="41"/>
      <c r="BL4" s="531"/>
      <c r="BM4" s="520"/>
      <c r="BN4" s="1"/>
      <c r="BO4" s="520"/>
      <c r="BP4" s="520"/>
      <c r="BQ4" s="531"/>
      <c r="BR4" s="520"/>
      <c r="BS4" s="520"/>
      <c r="BT4" s="520"/>
      <c r="BU4" s="493"/>
    </row>
    <row r="5" spans="1:73">
      <c r="A5" s="1">
        <v>747</v>
      </c>
      <c r="B5" s="41">
        <v>4</v>
      </c>
      <c r="C5" s="41">
        <v>5</v>
      </c>
      <c r="D5" s="41">
        <v>4</v>
      </c>
      <c r="E5" s="22">
        <f t="shared" si="0"/>
        <v>5</v>
      </c>
      <c r="F5" s="43">
        <v>18</v>
      </c>
      <c r="G5" s="41">
        <v>1</v>
      </c>
      <c r="H5" s="41">
        <v>2</v>
      </c>
      <c r="I5" s="41">
        <v>5</v>
      </c>
      <c r="J5" s="22">
        <f t="shared" si="1"/>
        <v>1</v>
      </c>
      <c r="K5" s="43">
        <v>9</v>
      </c>
      <c r="L5" s="41">
        <v>1</v>
      </c>
      <c r="M5" s="41">
        <v>3</v>
      </c>
      <c r="N5" s="41">
        <v>4</v>
      </c>
      <c r="O5" s="22">
        <f t="shared" si="2"/>
        <v>6</v>
      </c>
      <c r="P5" s="43">
        <v>14</v>
      </c>
      <c r="Q5" s="41">
        <v>2</v>
      </c>
      <c r="R5" s="41">
        <v>1</v>
      </c>
      <c r="S5" s="41">
        <v>2</v>
      </c>
      <c r="T5" s="22">
        <f t="shared" si="3"/>
        <v>1</v>
      </c>
      <c r="U5" s="43">
        <v>6</v>
      </c>
      <c r="V5" s="41">
        <v>2</v>
      </c>
      <c r="W5" s="41">
        <v>2</v>
      </c>
      <c r="X5" s="41">
        <v>1</v>
      </c>
      <c r="Y5" s="22">
        <f t="shared" si="4"/>
        <v>2</v>
      </c>
      <c r="Z5" s="43">
        <v>7</v>
      </c>
      <c r="AA5" s="41">
        <v>0</v>
      </c>
      <c r="AB5" s="41">
        <v>1</v>
      </c>
      <c r="AC5" s="41">
        <v>1</v>
      </c>
      <c r="AD5" s="22">
        <f t="shared" si="5"/>
        <v>3</v>
      </c>
      <c r="AE5" s="43">
        <v>5</v>
      </c>
      <c r="AF5" s="41">
        <v>1</v>
      </c>
      <c r="AG5" s="41">
        <v>1</v>
      </c>
      <c r="AH5" s="41">
        <v>2</v>
      </c>
      <c r="AI5" s="42">
        <f t="shared" ref="AI5:AI12" si="12">AJ5-SUM(AF5:AH5)</f>
        <v>3</v>
      </c>
      <c r="AJ5" s="43">
        <v>7</v>
      </c>
      <c r="AK5" s="41">
        <v>1</v>
      </c>
      <c r="AL5" s="41">
        <v>2</v>
      </c>
      <c r="AM5" s="41">
        <v>0</v>
      </c>
      <c r="AN5" s="42">
        <f t="shared" si="6"/>
        <v>2</v>
      </c>
      <c r="AO5" s="43">
        <v>5</v>
      </c>
      <c r="AP5" s="41">
        <v>1</v>
      </c>
      <c r="AQ5" s="41">
        <v>0</v>
      </c>
      <c r="AR5" s="41">
        <v>0</v>
      </c>
      <c r="AS5" s="42">
        <f>AT5-SUM(AP5:AR5)</f>
        <v>0</v>
      </c>
      <c r="AT5" s="43">
        <v>1</v>
      </c>
      <c r="AU5" s="41">
        <f t="shared" ref="AU5:AW12" si="13">$AY5/4</f>
        <v>0</v>
      </c>
      <c r="AV5" s="41">
        <v>0</v>
      </c>
      <c r="AW5" s="41">
        <f t="shared" si="13"/>
        <v>0</v>
      </c>
      <c r="AX5" s="42">
        <f t="shared" si="8"/>
        <v>0</v>
      </c>
      <c r="AY5" s="43">
        <v>0</v>
      </c>
      <c r="AZ5" s="41">
        <f t="shared" ref="AZ5:AZ12" si="14">$BD5/4</f>
        <v>0</v>
      </c>
      <c r="BA5" s="41">
        <v>0</v>
      </c>
      <c r="BB5" s="41">
        <v>0</v>
      </c>
      <c r="BC5" s="42">
        <f t="shared" si="9"/>
        <v>0</v>
      </c>
      <c r="BD5" s="43">
        <v>0</v>
      </c>
      <c r="BE5" s="41">
        <f t="shared" si="10"/>
        <v>0</v>
      </c>
      <c r="BF5" s="41">
        <f t="shared" si="10"/>
        <v>0</v>
      </c>
      <c r="BG5" s="41">
        <f t="shared" si="10"/>
        <v>0</v>
      </c>
      <c r="BH5" s="42">
        <f t="shared" si="11"/>
        <v>0</v>
      </c>
      <c r="BI5" s="38">
        <f>BCA_Model_Annual!AB5</f>
        <v>0</v>
      </c>
      <c r="BJ5" s="41"/>
      <c r="BL5" s="531"/>
      <c r="BM5" s="520"/>
      <c r="BP5" s="520"/>
      <c r="BQ5" s="531"/>
      <c r="BR5" s="520"/>
      <c r="BS5" s="520"/>
      <c r="BT5" s="520"/>
      <c r="BU5" s="493"/>
    </row>
    <row r="6" spans="1:73">
      <c r="A6" s="1">
        <v>767</v>
      </c>
      <c r="B6" s="41">
        <v>5</v>
      </c>
      <c r="C6" s="41">
        <v>4</v>
      </c>
      <c r="D6" s="41">
        <v>5</v>
      </c>
      <c r="E6" s="22">
        <f t="shared" si="0"/>
        <v>2</v>
      </c>
      <c r="F6" s="43">
        <v>16</v>
      </c>
      <c r="G6" s="41">
        <v>1</v>
      </c>
      <c r="H6" s="41">
        <v>4</v>
      </c>
      <c r="I6" s="41">
        <v>5</v>
      </c>
      <c r="J6" s="22">
        <f t="shared" si="1"/>
        <v>3</v>
      </c>
      <c r="K6" s="43">
        <v>13</v>
      </c>
      <c r="L6" s="41">
        <v>2</v>
      </c>
      <c r="M6" s="41">
        <v>3</v>
      </c>
      <c r="N6" s="41">
        <v>2</v>
      </c>
      <c r="O6" s="22">
        <f t="shared" si="2"/>
        <v>3</v>
      </c>
      <c r="P6" s="43">
        <v>10</v>
      </c>
      <c r="Q6" s="41">
        <v>4</v>
      </c>
      <c r="R6" s="41">
        <v>5</v>
      </c>
      <c r="S6" s="41">
        <v>4</v>
      </c>
      <c r="T6" s="22">
        <f t="shared" si="3"/>
        <v>14</v>
      </c>
      <c r="U6" s="43">
        <v>27</v>
      </c>
      <c r="V6" s="41">
        <v>12</v>
      </c>
      <c r="W6" s="41">
        <v>10</v>
      </c>
      <c r="X6" s="41">
        <v>10</v>
      </c>
      <c r="Y6" s="22">
        <f t="shared" si="4"/>
        <v>11</v>
      </c>
      <c r="Z6" s="43">
        <v>43</v>
      </c>
      <c r="AA6" s="41">
        <v>10</v>
      </c>
      <c r="AB6" s="41">
        <v>4</v>
      </c>
      <c r="AC6" s="41">
        <v>6</v>
      </c>
      <c r="AD6" s="22">
        <f t="shared" si="5"/>
        <v>10</v>
      </c>
      <c r="AE6" s="43">
        <v>30</v>
      </c>
      <c r="AF6" s="41">
        <v>5</v>
      </c>
      <c r="AG6" s="41">
        <v>8</v>
      </c>
      <c r="AH6" s="41">
        <v>11</v>
      </c>
      <c r="AI6" s="42">
        <f t="shared" si="12"/>
        <v>8</v>
      </c>
      <c r="AJ6" s="43">
        <v>32</v>
      </c>
      <c r="AK6" s="41">
        <v>5</v>
      </c>
      <c r="AL6" s="41">
        <v>7</v>
      </c>
      <c r="AM6" s="41">
        <v>9</v>
      </c>
      <c r="AN6" s="42">
        <f t="shared" si="6"/>
        <v>12</v>
      </c>
      <c r="AO6" s="43">
        <v>33</v>
      </c>
      <c r="AP6" s="41">
        <v>1</v>
      </c>
      <c r="AQ6" s="41">
        <v>8</v>
      </c>
      <c r="AR6" s="41">
        <v>8</v>
      </c>
      <c r="AS6" s="42">
        <f t="shared" si="7"/>
        <v>15</v>
      </c>
      <c r="AT6" s="43">
        <v>32</v>
      </c>
      <c r="AU6" s="41">
        <v>3</v>
      </c>
      <c r="AV6" s="41">
        <v>6</v>
      </c>
      <c r="AW6" s="41">
        <v>6</v>
      </c>
      <c r="AX6" s="42">
        <f t="shared" si="8"/>
        <v>3</v>
      </c>
      <c r="AY6" s="43">
        <v>18</v>
      </c>
      <c r="AZ6" s="41">
        <v>5</v>
      </c>
      <c r="BA6" s="41">
        <v>9</v>
      </c>
      <c r="BB6" s="41">
        <v>6</v>
      </c>
      <c r="BC6" s="42">
        <f t="shared" si="9"/>
        <v>10</v>
      </c>
      <c r="BD6" s="43">
        <v>30</v>
      </c>
      <c r="BE6" s="41">
        <f t="shared" si="10"/>
        <v>9</v>
      </c>
      <c r="BF6" s="41">
        <f t="shared" si="10"/>
        <v>9</v>
      </c>
      <c r="BG6" s="41">
        <f t="shared" si="10"/>
        <v>9</v>
      </c>
      <c r="BH6" s="42">
        <f t="shared" si="11"/>
        <v>9</v>
      </c>
      <c r="BI6" s="38">
        <f>BCA_Model_Annual!AB6</f>
        <v>36</v>
      </c>
      <c r="BL6" s="531"/>
      <c r="BM6" s="520"/>
      <c r="BN6" s="1"/>
      <c r="BO6" s="520"/>
      <c r="BP6" s="520"/>
      <c r="BQ6" s="531"/>
      <c r="BR6" s="520"/>
      <c r="BS6" s="520"/>
      <c r="BT6" s="520"/>
      <c r="BU6" s="493"/>
    </row>
    <row r="7" spans="1:73">
      <c r="A7" s="1">
        <v>777</v>
      </c>
      <c r="B7" s="41">
        <v>24</v>
      </c>
      <c r="C7" s="41">
        <v>26</v>
      </c>
      <c r="D7" s="41">
        <v>27</v>
      </c>
      <c r="E7" s="22">
        <f t="shared" si="0"/>
        <v>21</v>
      </c>
      <c r="F7" s="43">
        <v>98</v>
      </c>
      <c r="G7" s="41">
        <v>23</v>
      </c>
      <c r="H7" s="41">
        <v>28</v>
      </c>
      <c r="I7" s="41">
        <v>22</v>
      </c>
      <c r="J7" s="22">
        <f t="shared" si="1"/>
        <v>26</v>
      </c>
      <c r="K7" s="43">
        <v>99</v>
      </c>
      <c r="L7" s="41">
        <v>21</v>
      </c>
      <c r="M7" s="41">
        <v>21</v>
      </c>
      <c r="N7" s="41">
        <v>16</v>
      </c>
      <c r="O7" s="22">
        <f t="shared" si="2"/>
        <v>16</v>
      </c>
      <c r="P7" s="43">
        <v>74</v>
      </c>
      <c r="Q7" s="41">
        <v>12</v>
      </c>
      <c r="R7" s="41">
        <v>13</v>
      </c>
      <c r="S7" s="41">
        <v>12</v>
      </c>
      <c r="T7" s="22">
        <f t="shared" si="3"/>
        <v>11</v>
      </c>
      <c r="U7" s="43">
        <v>48</v>
      </c>
      <c r="V7" s="41">
        <v>10</v>
      </c>
      <c r="W7" s="41">
        <v>12</v>
      </c>
      <c r="X7" s="41">
        <v>11</v>
      </c>
      <c r="Y7" s="22">
        <f t="shared" si="4"/>
        <v>12</v>
      </c>
      <c r="Z7" s="43">
        <v>45</v>
      </c>
      <c r="AA7" s="41">
        <v>6</v>
      </c>
      <c r="AB7" s="41">
        <v>4</v>
      </c>
      <c r="AC7" s="41">
        <v>5</v>
      </c>
      <c r="AD7" s="22">
        <f t="shared" si="5"/>
        <v>11</v>
      </c>
      <c r="AE7" s="43">
        <v>26</v>
      </c>
      <c r="AF7" s="41">
        <v>6</v>
      </c>
      <c r="AG7" s="41">
        <v>8</v>
      </c>
      <c r="AH7" s="41">
        <v>6</v>
      </c>
      <c r="AI7" s="42">
        <f t="shared" si="12"/>
        <v>4</v>
      </c>
      <c r="AJ7" s="43">
        <v>24</v>
      </c>
      <c r="AK7" s="41">
        <v>3</v>
      </c>
      <c r="AL7" s="41">
        <v>9</v>
      </c>
      <c r="AM7" s="41">
        <v>6</v>
      </c>
      <c r="AN7" s="42">
        <f t="shared" si="6"/>
        <v>6</v>
      </c>
      <c r="AO7" s="43">
        <v>24</v>
      </c>
      <c r="AP7" s="41">
        <v>4</v>
      </c>
      <c r="AQ7" s="41">
        <v>5</v>
      </c>
      <c r="AR7" s="41">
        <v>8</v>
      </c>
      <c r="AS7" s="42">
        <f t="shared" si="7"/>
        <v>9</v>
      </c>
      <c r="AT7" s="43">
        <v>26</v>
      </c>
      <c r="AU7" s="41">
        <v>0</v>
      </c>
      <c r="AV7" s="41">
        <v>7</v>
      </c>
      <c r="AW7" s="41">
        <v>4</v>
      </c>
      <c r="AX7" s="42">
        <f t="shared" si="8"/>
        <v>3</v>
      </c>
      <c r="AY7" s="43">
        <v>14</v>
      </c>
      <c r="AZ7" s="41">
        <v>7</v>
      </c>
      <c r="BA7" s="41">
        <v>13</v>
      </c>
      <c r="BB7" s="41">
        <v>9</v>
      </c>
      <c r="BC7" s="42">
        <f t="shared" si="9"/>
        <v>6</v>
      </c>
      <c r="BD7" s="43">
        <v>35</v>
      </c>
      <c r="BE7" s="41">
        <f t="shared" si="10"/>
        <v>9</v>
      </c>
      <c r="BF7" s="41">
        <f t="shared" si="10"/>
        <v>9</v>
      </c>
      <c r="BG7" s="41">
        <f t="shared" si="10"/>
        <v>9</v>
      </c>
      <c r="BH7" s="42">
        <f t="shared" si="11"/>
        <v>9</v>
      </c>
      <c r="BI7" s="38">
        <f>BCA_Model_Annual!AB7</f>
        <v>36</v>
      </c>
      <c r="BL7" s="531"/>
      <c r="BM7" s="520"/>
      <c r="BN7" s="1"/>
      <c r="BO7" s="520"/>
      <c r="BP7" s="558"/>
      <c r="BQ7" s="531"/>
      <c r="BR7" s="520"/>
      <c r="BS7" s="520"/>
      <c r="BT7" s="520"/>
      <c r="BU7" s="493"/>
    </row>
    <row r="8" spans="1:73">
      <c r="A8" s="1">
        <v>787</v>
      </c>
      <c r="B8" s="41">
        <v>30</v>
      </c>
      <c r="C8" s="41">
        <v>34</v>
      </c>
      <c r="D8" s="41">
        <v>37</v>
      </c>
      <c r="E8" s="22">
        <f t="shared" si="0"/>
        <v>34</v>
      </c>
      <c r="F8" s="43">
        <v>135</v>
      </c>
      <c r="G8" s="41">
        <v>30</v>
      </c>
      <c r="H8" s="41">
        <v>38</v>
      </c>
      <c r="I8" s="41">
        <v>36</v>
      </c>
      <c r="J8" s="22">
        <f t="shared" si="1"/>
        <v>33</v>
      </c>
      <c r="K8" s="43">
        <v>137</v>
      </c>
      <c r="L8" s="41">
        <v>32</v>
      </c>
      <c r="M8" s="41">
        <v>33</v>
      </c>
      <c r="N8" s="41">
        <v>35</v>
      </c>
      <c r="O8" s="22">
        <f t="shared" si="2"/>
        <v>36</v>
      </c>
      <c r="P8" s="43">
        <v>136</v>
      </c>
      <c r="Q8" s="41">
        <v>34</v>
      </c>
      <c r="R8" s="41">
        <v>38</v>
      </c>
      <c r="S8" s="41">
        <v>34</v>
      </c>
      <c r="T8" s="22">
        <f t="shared" si="3"/>
        <v>39</v>
      </c>
      <c r="U8" s="43">
        <v>145</v>
      </c>
      <c r="V8" s="41">
        <v>36</v>
      </c>
      <c r="W8" s="41">
        <v>42</v>
      </c>
      <c r="X8" s="41">
        <v>35</v>
      </c>
      <c r="Y8" s="22">
        <f t="shared" si="4"/>
        <v>45</v>
      </c>
      <c r="Z8" s="43">
        <v>158</v>
      </c>
      <c r="AA8" s="41">
        <v>29</v>
      </c>
      <c r="AB8" s="41">
        <v>7</v>
      </c>
      <c r="AC8" s="41">
        <v>13</v>
      </c>
      <c r="AD8" s="22">
        <f t="shared" si="5"/>
        <v>4</v>
      </c>
      <c r="AE8" s="43">
        <v>53</v>
      </c>
      <c r="AF8" s="41">
        <v>2</v>
      </c>
      <c r="AG8" s="41">
        <v>12</v>
      </c>
      <c r="AH8" s="41">
        <v>0</v>
      </c>
      <c r="AI8" s="42">
        <f t="shared" si="12"/>
        <v>0</v>
      </c>
      <c r="AJ8" s="43">
        <v>14</v>
      </c>
      <c r="AK8" s="41">
        <v>0</v>
      </c>
      <c r="AL8" s="41">
        <v>0</v>
      </c>
      <c r="AM8" s="41">
        <v>9</v>
      </c>
      <c r="AN8" s="42">
        <f t="shared" si="6"/>
        <v>22</v>
      </c>
      <c r="AO8" s="43">
        <v>31</v>
      </c>
      <c r="AP8" s="41">
        <v>11</v>
      </c>
      <c r="AQ8" s="41">
        <v>20</v>
      </c>
      <c r="AR8" s="41">
        <v>19</v>
      </c>
      <c r="AS8" s="42">
        <f t="shared" si="7"/>
        <v>23</v>
      </c>
      <c r="AT8" s="43">
        <v>73</v>
      </c>
      <c r="AU8" s="41">
        <v>13</v>
      </c>
      <c r="AV8" s="41">
        <v>9</v>
      </c>
      <c r="AW8" s="41">
        <v>14</v>
      </c>
      <c r="AX8" s="42">
        <f t="shared" si="8"/>
        <v>15</v>
      </c>
      <c r="AY8" s="43">
        <v>51</v>
      </c>
      <c r="AZ8" s="41">
        <v>13</v>
      </c>
      <c r="BA8" s="41">
        <v>24</v>
      </c>
      <c r="BB8" s="41">
        <v>24</v>
      </c>
      <c r="BC8" s="42">
        <f t="shared" si="9"/>
        <v>27</v>
      </c>
      <c r="BD8" s="43">
        <v>88</v>
      </c>
      <c r="BE8" s="41">
        <f t="shared" si="10"/>
        <v>25.25</v>
      </c>
      <c r="BF8" s="41">
        <f t="shared" si="10"/>
        <v>25.25</v>
      </c>
      <c r="BG8" s="41">
        <f t="shared" si="10"/>
        <v>25.25</v>
      </c>
      <c r="BH8" s="42">
        <f t="shared" si="11"/>
        <v>25.25</v>
      </c>
      <c r="BI8" s="38">
        <f>BCA_Model_Annual!AB8</f>
        <v>101</v>
      </c>
      <c r="BJ8" s="41"/>
      <c r="BL8" s="531"/>
      <c r="BM8" s="520"/>
      <c r="BN8" s="1"/>
      <c r="BO8" s="520"/>
      <c r="BP8" s="520"/>
      <c r="BQ8" s="531"/>
      <c r="BR8" s="520"/>
      <c r="BS8" s="520"/>
      <c r="BT8" s="520"/>
      <c r="BU8" s="493"/>
    </row>
    <row r="9" spans="1:73">
      <c r="A9" s="1">
        <v>717</v>
      </c>
      <c r="B9" s="41">
        <v>0</v>
      </c>
      <c r="C9" s="41">
        <v>0</v>
      </c>
      <c r="D9" s="41">
        <v>0</v>
      </c>
      <c r="E9" s="22">
        <f t="shared" si="0"/>
        <v>0</v>
      </c>
      <c r="F9" s="43">
        <v>0</v>
      </c>
      <c r="G9" s="41">
        <v>0</v>
      </c>
      <c r="H9" s="41">
        <v>0</v>
      </c>
      <c r="I9" s="41">
        <v>0</v>
      </c>
      <c r="J9" s="22">
        <f t="shared" si="1"/>
        <v>0</v>
      </c>
      <c r="K9" s="43">
        <v>0</v>
      </c>
      <c r="L9" s="41">
        <v>0</v>
      </c>
      <c r="M9" s="41">
        <v>0</v>
      </c>
      <c r="N9" s="41">
        <v>0</v>
      </c>
      <c r="O9" s="22">
        <f t="shared" si="2"/>
        <v>0</v>
      </c>
      <c r="P9" s="43">
        <v>0</v>
      </c>
      <c r="Q9" s="41">
        <v>0</v>
      </c>
      <c r="R9" s="41">
        <v>0</v>
      </c>
      <c r="S9" s="41">
        <v>0</v>
      </c>
      <c r="T9" s="22">
        <f t="shared" si="3"/>
        <v>0</v>
      </c>
      <c r="U9" s="43">
        <v>0</v>
      </c>
      <c r="V9" s="41">
        <v>0</v>
      </c>
      <c r="W9" s="41">
        <v>0</v>
      </c>
      <c r="X9" s="41">
        <v>0</v>
      </c>
      <c r="Y9" s="22">
        <f t="shared" si="4"/>
        <v>0</v>
      </c>
      <c r="Z9" s="43">
        <v>0</v>
      </c>
      <c r="AA9" s="41">
        <v>0</v>
      </c>
      <c r="AB9" s="41">
        <v>0</v>
      </c>
      <c r="AC9" s="41">
        <f>(AE9-AB9-AA9)/2</f>
        <v>0</v>
      </c>
      <c r="AD9" s="22">
        <f t="shared" si="5"/>
        <v>0</v>
      </c>
      <c r="AE9" s="43">
        <v>0</v>
      </c>
      <c r="AF9" s="41">
        <v>0</v>
      </c>
      <c r="AG9" s="41">
        <v>0</v>
      </c>
      <c r="AH9" s="41">
        <v>0</v>
      </c>
      <c r="AI9" s="42">
        <f t="shared" si="12"/>
        <v>0</v>
      </c>
      <c r="AJ9" s="43">
        <v>0</v>
      </c>
      <c r="AK9" s="41">
        <v>0</v>
      </c>
      <c r="AL9" s="41">
        <v>0</v>
      </c>
      <c r="AM9" s="41">
        <v>0</v>
      </c>
      <c r="AN9" s="42">
        <f t="shared" si="6"/>
        <v>0</v>
      </c>
      <c r="AO9" s="43">
        <v>0</v>
      </c>
      <c r="AP9" s="41">
        <v>0</v>
      </c>
      <c r="AQ9" s="41">
        <v>0</v>
      </c>
      <c r="AR9" s="41">
        <v>0</v>
      </c>
      <c r="AS9" s="42">
        <f t="shared" ca="1" si="7"/>
        <v>0</v>
      </c>
      <c r="AT9" s="43">
        <f ca="1">BCA_Model_Annual!Y9</f>
        <v>0</v>
      </c>
      <c r="AU9" s="41">
        <f t="shared" si="13"/>
        <v>0</v>
      </c>
      <c r="AV9" s="41">
        <v>0</v>
      </c>
      <c r="AW9" s="41">
        <f t="shared" si="13"/>
        <v>0</v>
      </c>
      <c r="AX9" s="42">
        <f t="shared" si="8"/>
        <v>0</v>
      </c>
      <c r="AY9" s="43">
        <v>0</v>
      </c>
      <c r="AZ9" s="41">
        <f t="shared" si="14"/>
        <v>0</v>
      </c>
      <c r="BA9" s="41">
        <v>0</v>
      </c>
      <c r="BB9" s="41">
        <v>0</v>
      </c>
      <c r="BC9" s="42">
        <f t="shared" si="9"/>
        <v>0</v>
      </c>
      <c r="BD9" s="43">
        <v>0</v>
      </c>
      <c r="BE9" s="41">
        <f t="shared" si="10"/>
        <v>0</v>
      </c>
      <c r="BF9" s="41">
        <f t="shared" si="10"/>
        <v>0</v>
      </c>
      <c r="BG9" s="41">
        <f t="shared" si="10"/>
        <v>0</v>
      </c>
      <c r="BH9" s="42">
        <f t="shared" si="11"/>
        <v>0</v>
      </c>
      <c r="BI9" s="38">
        <f>BCA_Model_Annual!AB9</f>
        <v>0</v>
      </c>
      <c r="BL9" s="520"/>
      <c r="BM9" s="520"/>
      <c r="BN9" s="1"/>
      <c r="BO9" s="520"/>
      <c r="BP9" s="520"/>
      <c r="BQ9" s="531"/>
      <c r="BR9" s="520"/>
      <c r="BS9" s="520"/>
      <c r="BT9" s="520"/>
      <c r="BU9" s="493"/>
    </row>
    <row r="10" spans="1:73">
      <c r="A10" s="1">
        <v>757</v>
      </c>
      <c r="B10" s="41">
        <v>0</v>
      </c>
      <c r="C10" s="41">
        <v>0</v>
      </c>
      <c r="D10" s="41">
        <v>0</v>
      </c>
      <c r="E10" s="22">
        <f t="shared" si="0"/>
        <v>0</v>
      </c>
      <c r="F10" s="43">
        <v>0</v>
      </c>
      <c r="G10" s="41">
        <v>0</v>
      </c>
      <c r="H10" s="41">
        <v>0</v>
      </c>
      <c r="I10" s="41">
        <v>0</v>
      </c>
      <c r="J10" s="22">
        <f t="shared" si="1"/>
        <v>0</v>
      </c>
      <c r="K10" s="43">
        <v>0</v>
      </c>
      <c r="L10" s="41">
        <v>0</v>
      </c>
      <c r="M10" s="41">
        <v>0</v>
      </c>
      <c r="N10" s="41">
        <v>0</v>
      </c>
      <c r="O10" s="22">
        <f t="shared" si="2"/>
        <v>0</v>
      </c>
      <c r="P10" s="43">
        <v>0</v>
      </c>
      <c r="Q10" s="41">
        <v>0</v>
      </c>
      <c r="R10" s="41">
        <v>0</v>
      </c>
      <c r="S10" s="41">
        <v>0</v>
      </c>
      <c r="T10" s="22">
        <f t="shared" si="3"/>
        <v>0</v>
      </c>
      <c r="U10" s="43">
        <v>0</v>
      </c>
      <c r="V10" s="41">
        <v>0</v>
      </c>
      <c r="W10" s="41">
        <v>0</v>
      </c>
      <c r="X10" s="41">
        <v>0</v>
      </c>
      <c r="Y10" s="22">
        <f t="shared" si="4"/>
        <v>0</v>
      </c>
      <c r="Z10" s="43">
        <v>0</v>
      </c>
      <c r="AA10" s="41">
        <v>0</v>
      </c>
      <c r="AB10" s="41">
        <v>0</v>
      </c>
      <c r="AC10" s="41">
        <f>(AE10-AB10-AA10)/2</f>
        <v>0</v>
      </c>
      <c r="AD10" s="22">
        <f t="shared" si="5"/>
        <v>0</v>
      </c>
      <c r="AE10" s="43">
        <v>0</v>
      </c>
      <c r="AF10" s="41">
        <v>0</v>
      </c>
      <c r="AG10" s="41">
        <v>0</v>
      </c>
      <c r="AH10" s="41">
        <v>0</v>
      </c>
      <c r="AI10" s="42">
        <f t="shared" si="12"/>
        <v>0</v>
      </c>
      <c r="AJ10" s="43">
        <v>0</v>
      </c>
      <c r="AK10" s="41">
        <v>0</v>
      </c>
      <c r="AL10" s="41">
        <v>0</v>
      </c>
      <c r="AM10" s="41">
        <v>0</v>
      </c>
      <c r="AN10" s="42">
        <f t="shared" si="6"/>
        <v>0</v>
      </c>
      <c r="AO10" s="43">
        <v>0</v>
      </c>
      <c r="AP10" s="41">
        <v>0</v>
      </c>
      <c r="AQ10" s="41">
        <v>0</v>
      </c>
      <c r="AR10" s="41">
        <v>0</v>
      </c>
      <c r="AS10" s="42">
        <f t="shared" ca="1" si="7"/>
        <v>0</v>
      </c>
      <c r="AT10" s="43">
        <f ca="1">BCA_Model_Annual!Y10</f>
        <v>0</v>
      </c>
      <c r="AU10" s="41">
        <f t="shared" si="13"/>
        <v>0</v>
      </c>
      <c r="AV10" s="41">
        <v>0</v>
      </c>
      <c r="AW10" s="41">
        <f t="shared" si="13"/>
        <v>0</v>
      </c>
      <c r="AX10" s="42">
        <f t="shared" si="8"/>
        <v>0</v>
      </c>
      <c r="AY10" s="43">
        <v>0</v>
      </c>
      <c r="AZ10" s="41">
        <f t="shared" si="14"/>
        <v>0</v>
      </c>
      <c r="BA10" s="41">
        <v>0</v>
      </c>
      <c r="BB10" s="41">
        <v>0</v>
      </c>
      <c r="BC10" s="42">
        <f t="shared" si="9"/>
        <v>0</v>
      </c>
      <c r="BD10" s="43">
        <v>0</v>
      </c>
      <c r="BE10" s="41">
        <f t="shared" si="10"/>
        <v>0</v>
      </c>
      <c r="BF10" s="41">
        <f t="shared" si="10"/>
        <v>0</v>
      </c>
      <c r="BG10" s="41">
        <f t="shared" si="10"/>
        <v>0</v>
      </c>
      <c r="BH10" s="42">
        <f t="shared" si="11"/>
        <v>0</v>
      </c>
      <c r="BI10" s="38">
        <f>BCA_Model_Annual!AB10</f>
        <v>0</v>
      </c>
      <c r="BL10" s="531"/>
      <c r="BM10" s="520"/>
      <c r="BN10" s="1"/>
      <c r="BO10" s="520"/>
      <c r="BP10" s="520"/>
      <c r="BQ10" s="531"/>
      <c r="BR10" s="520"/>
      <c r="BS10" s="520"/>
      <c r="BT10" s="520"/>
      <c r="BU10" s="493"/>
    </row>
    <row r="11" spans="1:73">
      <c r="A11" s="1" t="s">
        <v>416</v>
      </c>
      <c r="B11" s="41">
        <v>0</v>
      </c>
      <c r="C11" s="41">
        <v>0</v>
      </c>
      <c r="D11" s="41">
        <v>0</v>
      </c>
      <c r="E11" s="22">
        <f t="shared" si="0"/>
        <v>0</v>
      </c>
      <c r="F11" s="43">
        <v>0</v>
      </c>
      <c r="G11" s="41">
        <v>0</v>
      </c>
      <c r="H11" s="41">
        <v>0</v>
      </c>
      <c r="I11" s="41">
        <v>0</v>
      </c>
      <c r="J11" s="22">
        <f t="shared" si="1"/>
        <v>0</v>
      </c>
      <c r="K11" s="43">
        <v>0</v>
      </c>
      <c r="L11" s="41">
        <v>0</v>
      </c>
      <c r="M11" s="41">
        <v>0</v>
      </c>
      <c r="N11" s="41">
        <v>0</v>
      </c>
      <c r="O11" s="22">
        <f t="shared" si="2"/>
        <v>0</v>
      </c>
      <c r="P11" s="43">
        <v>0</v>
      </c>
      <c r="Q11" s="41">
        <v>0</v>
      </c>
      <c r="R11" s="41">
        <v>0</v>
      </c>
      <c r="S11" s="41">
        <v>0</v>
      </c>
      <c r="T11" s="22">
        <f t="shared" si="3"/>
        <v>0</v>
      </c>
      <c r="U11" s="43">
        <v>0</v>
      </c>
      <c r="V11" s="41">
        <v>0</v>
      </c>
      <c r="W11" s="41">
        <v>0</v>
      </c>
      <c r="X11" s="41">
        <v>0</v>
      </c>
      <c r="Y11" s="22">
        <f t="shared" si="4"/>
        <v>0</v>
      </c>
      <c r="Z11" s="43">
        <v>0</v>
      </c>
      <c r="AA11" s="41">
        <v>0</v>
      </c>
      <c r="AB11" s="41">
        <v>0</v>
      </c>
      <c r="AC11" s="41">
        <f>(AE11-AB11-AA11)/2</f>
        <v>0</v>
      </c>
      <c r="AD11" s="22">
        <f t="shared" si="5"/>
        <v>0</v>
      </c>
      <c r="AE11" s="43">
        <v>0</v>
      </c>
      <c r="AF11" s="41">
        <v>0</v>
      </c>
      <c r="AG11" s="41">
        <v>0</v>
      </c>
      <c r="AH11" s="41">
        <v>0</v>
      </c>
      <c r="AI11" s="42">
        <f t="shared" si="12"/>
        <v>0</v>
      </c>
      <c r="AJ11" s="43">
        <v>0</v>
      </c>
      <c r="AK11" s="41">
        <v>0</v>
      </c>
      <c r="AL11" s="41">
        <v>0</v>
      </c>
      <c r="AM11" s="41">
        <v>0</v>
      </c>
      <c r="AN11" s="42">
        <f t="shared" si="6"/>
        <v>0</v>
      </c>
      <c r="AO11" s="43">
        <v>0</v>
      </c>
      <c r="AP11" s="41">
        <v>0</v>
      </c>
      <c r="AQ11" s="41">
        <v>0</v>
      </c>
      <c r="AR11" s="41">
        <v>0</v>
      </c>
      <c r="AS11" s="42">
        <f t="shared" ca="1" si="7"/>
        <v>0</v>
      </c>
      <c r="AT11" s="43">
        <f ca="1">BCA_Model_Annual!Y11</f>
        <v>0</v>
      </c>
      <c r="AU11" s="41">
        <f t="shared" si="13"/>
        <v>0</v>
      </c>
      <c r="AV11" s="41">
        <v>0</v>
      </c>
      <c r="AW11" s="41">
        <f t="shared" si="13"/>
        <v>0</v>
      </c>
      <c r="AX11" s="42">
        <f t="shared" si="8"/>
        <v>0</v>
      </c>
      <c r="AY11" s="43">
        <v>0</v>
      </c>
      <c r="AZ11" s="41">
        <f t="shared" si="14"/>
        <v>0</v>
      </c>
      <c r="BA11" s="41">
        <v>0</v>
      </c>
      <c r="BB11" s="41">
        <v>0</v>
      </c>
      <c r="BC11" s="42">
        <f t="shared" si="9"/>
        <v>0</v>
      </c>
      <c r="BD11" s="43">
        <v>0</v>
      </c>
      <c r="BE11" s="41">
        <f t="shared" si="10"/>
        <v>0</v>
      </c>
      <c r="BF11" s="41">
        <f t="shared" si="10"/>
        <v>0</v>
      </c>
      <c r="BG11" s="41">
        <f t="shared" si="10"/>
        <v>0</v>
      </c>
      <c r="BH11" s="42">
        <f t="shared" si="11"/>
        <v>0</v>
      </c>
      <c r="BI11" s="38">
        <f>BCA_Model_Annual!AB11</f>
        <v>0</v>
      </c>
      <c r="BK11" s="109"/>
      <c r="BL11" s="531"/>
      <c r="BM11" s="520"/>
      <c r="BN11" s="1"/>
      <c r="BO11" s="520"/>
      <c r="BP11" s="520"/>
      <c r="BQ11" s="531"/>
      <c r="BR11" s="520"/>
      <c r="BS11" s="520"/>
      <c r="BT11" s="520"/>
      <c r="BU11" s="493"/>
    </row>
    <row r="12" spans="1:73">
      <c r="A12" s="1" t="s">
        <v>417</v>
      </c>
      <c r="B12" s="41">
        <v>0</v>
      </c>
      <c r="C12" s="41">
        <v>0</v>
      </c>
      <c r="D12" s="41">
        <v>0</v>
      </c>
      <c r="E12" s="22">
        <f t="shared" si="0"/>
        <v>0</v>
      </c>
      <c r="F12" s="43">
        <v>0</v>
      </c>
      <c r="G12" s="41">
        <v>0</v>
      </c>
      <c r="H12" s="41">
        <v>0</v>
      </c>
      <c r="I12" s="41">
        <v>0</v>
      </c>
      <c r="J12" s="22">
        <f t="shared" si="1"/>
        <v>0</v>
      </c>
      <c r="K12" s="43">
        <v>0</v>
      </c>
      <c r="L12" s="41">
        <v>0</v>
      </c>
      <c r="M12" s="41">
        <v>0</v>
      </c>
      <c r="N12" s="41">
        <v>0</v>
      </c>
      <c r="O12" s="22">
        <f t="shared" si="2"/>
        <v>0</v>
      </c>
      <c r="P12" s="43">
        <v>0</v>
      </c>
      <c r="Q12" s="41">
        <v>0</v>
      </c>
      <c r="R12" s="41">
        <v>0</v>
      </c>
      <c r="S12" s="41">
        <v>0</v>
      </c>
      <c r="T12" s="22">
        <f t="shared" si="3"/>
        <v>0</v>
      </c>
      <c r="U12" s="43">
        <v>0</v>
      </c>
      <c r="V12" s="41">
        <v>0</v>
      </c>
      <c r="W12" s="41">
        <v>0</v>
      </c>
      <c r="X12" s="41">
        <v>0</v>
      </c>
      <c r="Y12" s="22">
        <f t="shared" si="4"/>
        <v>0</v>
      </c>
      <c r="Z12" s="43">
        <v>0</v>
      </c>
      <c r="AA12" s="41">
        <v>0</v>
      </c>
      <c r="AB12" s="41">
        <v>0</v>
      </c>
      <c r="AC12" s="41">
        <f>(AE12-AB12-AA12)/2</f>
        <v>0</v>
      </c>
      <c r="AD12" s="22">
        <f t="shared" si="5"/>
        <v>0</v>
      </c>
      <c r="AE12" s="43">
        <v>0</v>
      </c>
      <c r="AF12" s="41">
        <v>0</v>
      </c>
      <c r="AG12" s="41">
        <v>0</v>
      </c>
      <c r="AH12" s="41">
        <v>0</v>
      </c>
      <c r="AI12" s="42">
        <f t="shared" si="12"/>
        <v>0</v>
      </c>
      <c r="AJ12" s="43">
        <v>0</v>
      </c>
      <c r="AK12" s="41">
        <v>0</v>
      </c>
      <c r="AL12" s="41">
        <v>0</v>
      </c>
      <c r="AM12" s="41">
        <v>0</v>
      </c>
      <c r="AN12" s="42">
        <f t="shared" si="6"/>
        <v>0</v>
      </c>
      <c r="AO12" s="43">
        <v>0</v>
      </c>
      <c r="AP12" s="41">
        <v>0</v>
      </c>
      <c r="AQ12" s="41">
        <v>0</v>
      </c>
      <c r="AR12" s="41">
        <v>0</v>
      </c>
      <c r="AS12" s="42">
        <f t="shared" ca="1" si="7"/>
        <v>0</v>
      </c>
      <c r="AT12" s="43">
        <f ca="1">BCA_Model_Annual!Y12</f>
        <v>0</v>
      </c>
      <c r="AU12" s="41">
        <f t="shared" si="13"/>
        <v>0</v>
      </c>
      <c r="AV12" s="41">
        <v>0</v>
      </c>
      <c r="AW12" s="41">
        <f t="shared" si="13"/>
        <v>0</v>
      </c>
      <c r="AX12" s="42">
        <f t="shared" si="8"/>
        <v>0</v>
      </c>
      <c r="AY12" s="43">
        <v>0</v>
      </c>
      <c r="AZ12" s="41">
        <f t="shared" si="14"/>
        <v>0</v>
      </c>
      <c r="BA12" s="41">
        <v>0</v>
      </c>
      <c r="BB12" s="41">
        <v>0</v>
      </c>
      <c r="BC12" s="42">
        <f t="shared" si="9"/>
        <v>0</v>
      </c>
      <c r="BD12" s="43">
        <v>0</v>
      </c>
      <c r="BE12" s="41">
        <f t="shared" si="10"/>
        <v>0</v>
      </c>
      <c r="BF12" s="41">
        <f t="shared" si="10"/>
        <v>0</v>
      </c>
      <c r="BG12" s="41">
        <f t="shared" si="10"/>
        <v>0</v>
      </c>
      <c r="BH12" s="42">
        <f t="shared" si="11"/>
        <v>0</v>
      </c>
      <c r="BI12" s="38">
        <f>BCA_Model_Annual!AB12</f>
        <v>0</v>
      </c>
      <c r="BL12" s="531"/>
      <c r="BM12" s="520"/>
      <c r="BN12" s="1"/>
      <c r="BO12" s="520"/>
      <c r="BP12" s="520"/>
      <c r="BQ12" s="531"/>
      <c r="BR12" s="520"/>
      <c r="BS12" s="520"/>
      <c r="BT12" s="520"/>
      <c r="BU12" s="493"/>
    </row>
    <row r="13" spans="1:73">
      <c r="A13" s="14" t="s">
        <v>11</v>
      </c>
      <c r="B13" s="39">
        <f>SUM(B4:B12)</f>
        <v>184</v>
      </c>
      <c r="C13" s="39">
        <f t="shared" ref="C13:AC13" si="15">SUM(C4:C12)</f>
        <v>197</v>
      </c>
      <c r="D13" s="39">
        <f t="shared" si="15"/>
        <v>199</v>
      </c>
      <c r="E13" s="39">
        <f t="shared" si="15"/>
        <v>182</v>
      </c>
      <c r="F13" s="40">
        <f t="shared" si="15"/>
        <v>762</v>
      </c>
      <c r="G13" s="39">
        <f t="shared" si="15"/>
        <v>176</v>
      </c>
      <c r="H13" s="39">
        <f t="shared" si="15"/>
        <v>199</v>
      </c>
      <c r="I13" s="39">
        <f t="shared" si="15"/>
        <v>188</v>
      </c>
      <c r="J13" s="39">
        <f t="shared" si="15"/>
        <v>185</v>
      </c>
      <c r="K13" s="40">
        <f t="shared" si="15"/>
        <v>748</v>
      </c>
      <c r="L13" s="39">
        <f t="shared" si="15"/>
        <v>169</v>
      </c>
      <c r="M13" s="39">
        <f t="shared" si="15"/>
        <v>183</v>
      </c>
      <c r="N13" s="39">
        <f t="shared" si="15"/>
        <v>202</v>
      </c>
      <c r="O13" s="39">
        <f t="shared" si="15"/>
        <v>209</v>
      </c>
      <c r="P13" s="40">
        <f t="shared" si="15"/>
        <v>763</v>
      </c>
      <c r="Q13" s="39">
        <f t="shared" si="15"/>
        <v>184</v>
      </c>
      <c r="R13" s="39">
        <f t="shared" si="15"/>
        <v>194</v>
      </c>
      <c r="S13" s="39">
        <f t="shared" si="15"/>
        <v>190</v>
      </c>
      <c r="T13" s="39">
        <f t="shared" si="15"/>
        <v>238</v>
      </c>
      <c r="U13" s="40">
        <f t="shared" si="15"/>
        <v>806</v>
      </c>
      <c r="V13" s="39">
        <f t="shared" si="15"/>
        <v>149</v>
      </c>
      <c r="W13" s="39">
        <f t="shared" si="15"/>
        <v>90</v>
      </c>
      <c r="X13" s="39">
        <f t="shared" si="15"/>
        <v>62</v>
      </c>
      <c r="Y13" s="39">
        <f t="shared" si="15"/>
        <v>79</v>
      </c>
      <c r="Z13" s="40">
        <f t="shared" si="15"/>
        <v>380</v>
      </c>
      <c r="AA13" s="39">
        <f t="shared" si="15"/>
        <v>50</v>
      </c>
      <c r="AB13" s="39">
        <f t="shared" si="15"/>
        <v>20</v>
      </c>
      <c r="AC13" s="39">
        <f t="shared" si="15"/>
        <v>28</v>
      </c>
      <c r="AD13" s="39">
        <f>SUM(AD4:AD12)</f>
        <v>59</v>
      </c>
      <c r="AE13" s="40">
        <f>SUM(AE4:AE12)</f>
        <v>157</v>
      </c>
      <c r="AF13" s="39">
        <f>SUM(AF4:AF12)</f>
        <v>77</v>
      </c>
      <c r="AG13" s="39">
        <f t="shared" ref="AG13:AM13" si="16">SUM(AG4:AG12)</f>
        <v>79</v>
      </c>
      <c r="AH13" s="39">
        <f t="shared" si="16"/>
        <v>85</v>
      </c>
      <c r="AI13" s="39">
        <f>AJ13-AH13-AG13-AF13</f>
        <v>99</v>
      </c>
      <c r="AJ13" s="40">
        <f t="shared" si="16"/>
        <v>340</v>
      </c>
      <c r="AK13" s="39">
        <f t="shared" si="16"/>
        <v>95</v>
      </c>
      <c r="AL13" s="39">
        <f t="shared" si="16"/>
        <v>121</v>
      </c>
      <c r="AM13" s="39">
        <f t="shared" si="16"/>
        <v>112</v>
      </c>
      <c r="AN13" s="39">
        <f>AO13-AM13-AL13-AK13</f>
        <v>152</v>
      </c>
      <c r="AO13" s="40">
        <f>SUM(AO4:AO12)</f>
        <v>480</v>
      </c>
      <c r="AP13" s="39">
        <f t="shared" ref="AP13:AR13" si="17">SUM(AP4:AP12)</f>
        <v>130</v>
      </c>
      <c r="AQ13" s="39">
        <f t="shared" si="17"/>
        <v>136</v>
      </c>
      <c r="AR13" s="39">
        <f t="shared" si="17"/>
        <v>105</v>
      </c>
      <c r="AS13" s="39">
        <f ca="1">AT13-AR13-AQ13-AP13</f>
        <v>157</v>
      </c>
      <c r="AT13" s="40">
        <f ca="1">SUM(AT4:AT12)</f>
        <v>528</v>
      </c>
      <c r="AU13" s="39">
        <f t="shared" ref="AU13:AW13" si="18">SUM(AU4:AU12)</f>
        <v>83</v>
      </c>
      <c r="AV13" s="39">
        <f t="shared" si="18"/>
        <v>92</v>
      </c>
      <c r="AW13" s="39">
        <f t="shared" si="18"/>
        <v>116</v>
      </c>
      <c r="AX13" s="39">
        <f>AY13-AW13-AV13-AU13</f>
        <v>57</v>
      </c>
      <c r="AY13" s="40">
        <f>SUM(AY4:AY12)</f>
        <v>348</v>
      </c>
      <c r="AZ13" s="39">
        <f t="shared" ref="AZ13:BB13" si="19">SUM(AZ4:AZ12)</f>
        <v>130</v>
      </c>
      <c r="BA13" s="39">
        <f t="shared" si="19"/>
        <v>150</v>
      </c>
      <c r="BB13" s="39">
        <f t="shared" si="19"/>
        <v>160</v>
      </c>
      <c r="BC13" s="39">
        <f>BD13-BB13-BA13-AZ13</f>
        <v>160</v>
      </c>
      <c r="BD13" s="40">
        <f>SUM(BD4:BD12)</f>
        <v>600</v>
      </c>
      <c r="BE13" s="39">
        <f t="shared" ref="BE13:BG13" si="20">SUM(BE4:BE12)</f>
        <v>167.75</v>
      </c>
      <c r="BF13" s="39">
        <f t="shared" si="20"/>
        <v>167.75</v>
      </c>
      <c r="BG13" s="39">
        <f t="shared" si="20"/>
        <v>167.75</v>
      </c>
      <c r="BH13" s="39">
        <f>BI13-BG13-BF13-BE13</f>
        <v>167.75</v>
      </c>
      <c r="BI13" s="40">
        <f>SUM(BI4:BI12)</f>
        <v>671</v>
      </c>
      <c r="BN13" s="14"/>
      <c r="BO13" s="520"/>
      <c r="BP13" s="520"/>
      <c r="BQ13" s="520"/>
      <c r="BR13" s="520"/>
      <c r="BS13" s="520"/>
      <c r="BT13" s="520"/>
      <c r="BU13" s="493"/>
    </row>
    <row r="15" spans="1:73">
      <c r="A15" s="9" t="s">
        <v>475</v>
      </c>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N15" s="12"/>
      <c r="BR15" s="499"/>
      <c r="BS15" s="499"/>
      <c r="BT15" s="499"/>
    </row>
    <row r="16" spans="1:73">
      <c r="A16" s="1">
        <v>737</v>
      </c>
      <c r="AF16" s="127">
        <f>+$AJ$16</f>
        <v>40</v>
      </c>
      <c r="AG16" s="164">
        <f>+$AJ$16</f>
        <v>40</v>
      </c>
      <c r="AH16" s="164">
        <f>+$AJ$16</f>
        <v>40</v>
      </c>
      <c r="AI16" s="165">
        <f>+$AJ$16</f>
        <v>40</v>
      </c>
      <c r="AJ16" s="166">
        <f>BCA_Model_Annual!W16</f>
        <v>40</v>
      </c>
      <c r="AK16" s="164">
        <f>$AO16</f>
        <v>40</v>
      </c>
      <c r="AL16" s="164">
        <f>$AO16</f>
        <v>40</v>
      </c>
      <c r="AM16" s="164">
        <f>$AO16</f>
        <v>40</v>
      </c>
      <c r="AN16" s="164">
        <f>$AO16</f>
        <v>40</v>
      </c>
      <c r="AO16" s="166">
        <f>BCA_Model_Annual!X16</f>
        <v>40</v>
      </c>
      <c r="AP16" s="164">
        <f t="shared" ref="AP16:AS24" si="21">$AT16</f>
        <v>46</v>
      </c>
      <c r="AQ16" s="164">
        <f t="shared" si="21"/>
        <v>46</v>
      </c>
      <c r="AR16" s="164">
        <f t="shared" si="21"/>
        <v>46</v>
      </c>
      <c r="AS16" s="164">
        <f t="shared" si="21"/>
        <v>46</v>
      </c>
      <c r="AT16" s="166">
        <f>BCA_Model_Annual!Y16</f>
        <v>46</v>
      </c>
      <c r="AU16" s="164">
        <f t="shared" ref="AU16:AW24" si="22">$AY16</f>
        <v>48.300000000000004</v>
      </c>
      <c r="AV16" s="164">
        <f t="shared" si="22"/>
        <v>48.300000000000004</v>
      </c>
      <c r="AW16" s="164">
        <f t="shared" si="22"/>
        <v>48.300000000000004</v>
      </c>
      <c r="AX16" s="164">
        <f>$AY16</f>
        <v>48.300000000000004</v>
      </c>
      <c r="AY16" s="166">
        <f>BCA_Model_Annual!Z16</f>
        <v>48.300000000000004</v>
      </c>
      <c r="AZ16" s="164">
        <f t="shared" ref="AZ16:BC24" si="23">$BD16</f>
        <v>48.300000000000004</v>
      </c>
      <c r="BA16" s="164">
        <f t="shared" si="23"/>
        <v>48.300000000000004</v>
      </c>
      <c r="BB16" s="164">
        <f t="shared" si="23"/>
        <v>48.300000000000004</v>
      </c>
      <c r="BC16" s="164">
        <f t="shared" si="23"/>
        <v>48.300000000000004</v>
      </c>
      <c r="BD16" s="166">
        <f>BCA_Model_Annual!Z16</f>
        <v>48.300000000000004</v>
      </c>
      <c r="BE16" s="73">
        <f t="shared" ref="BE16:BH24" si="24">$BI16</f>
        <v>55.12676056338028</v>
      </c>
      <c r="BF16" s="73">
        <f t="shared" si="24"/>
        <v>55.12676056338028</v>
      </c>
      <c r="BG16" s="73">
        <f t="shared" si="24"/>
        <v>55.12676056338028</v>
      </c>
      <c r="BH16" s="73">
        <f t="shared" si="24"/>
        <v>55.12676056338028</v>
      </c>
      <c r="BI16" s="166">
        <f>BCA_Model_Annual!AB16</f>
        <v>55.12676056338028</v>
      </c>
      <c r="BN16" s="5"/>
      <c r="BR16" s="532"/>
      <c r="BS16" s="532"/>
      <c r="BT16" s="532"/>
    </row>
    <row r="17" spans="1:72">
      <c r="A17" s="1">
        <v>747</v>
      </c>
      <c r="AF17" s="127">
        <f>$AJ$17</f>
        <v>180</v>
      </c>
      <c r="AG17" s="164">
        <f>$AJ$17</f>
        <v>180</v>
      </c>
      <c r="AH17" s="164">
        <f>$AJ$17</f>
        <v>180</v>
      </c>
      <c r="AI17" s="165">
        <f>$AJ$17</f>
        <v>180</v>
      </c>
      <c r="AJ17" s="166">
        <f>BCA_Model_Annual!W17</f>
        <v>180</v>
      </c>
      <c r="AK17" s="164">
        <f t="shared" ref="AK17:AN24" si="25">$AO17</f>
        <v>180</v>
      </c>
      <c r="AL17" s="164">
        <f t="shared" si="25"/>
        <v>180</v>
      </c>
      <c r="AM17" s="164">
        <f t="shared" si="25"/>
        <v>180</v>
      </c>
      <c r="AN17" s="164">
        <f t="shared" si="25"/>
        <v>180</v>
      </c>
      <c r="AO17" s="166">
        <f>BCA_Model_Annual!X17</f>
        <v>180</v>
      </c>
      <c r="AP17" s="164">
        <f t="shared" si="21"/>
        <v>180</v>
      </c>
      <c r="AQ17" s="164">
        <f t="shared" si="21"/>
        <v>180</v>
      </c>
      <c r="AR17" s="164">
        <f t="shared" si="21"/>
        <v>180</v>
      </c>
      <c r="AS17" s="164">
        <f t="shared" si="21"/>
        <v>180</v>
      </c>
      <c r="AT17" s="166">
        <f>BCA_Model_Annual!Y17</f>
        <v>180</v>
      </c>
      <c r="AU17" s="164">
        <f t="shared" si="22"/>
        <v>180</v>
      </c>
      <c r="AV17" s="164">
        <f t="shared" si="22"/>
        <v>180</v>
      </c>
      <c r="AW17" s="164">
        <f t="shared" si="22"/>
        <v>180</v>
      </c>
      <c r="AX17" s="164">
        <f t="shared" ref="AX17:AX24" si="26">$AY17</f>
        <v>180</v>
      </c>
      <c r="AY17" s="166">
        <f>BCA_Model_Annual!Z17</f>
        <v>180</v>
      </c>
      <c r="AZ17" s="164">
        <f t="shared" si="23"/>
        <v>180</v>
      </c>
      <c r="BA17" s="164">
        <f t="shared" si="23"/>
        <v>180</v>
      </c>
      <c r="BB17" s="164">
        <f t="shared" si="23"/>
        <v>180</v>
      </c>
      <c r="BC17" s="164">
        <f t="shared" si="23"/>
        <v>180</v>
      </c>
      <c r="BD17" s="166">
        <f>BCA_Model_Annual!Z17</f>
        <v>180</v>
      </c>
      <c r="BE17" s="73">
        <f t="shared" si="24"/>
        <v>180</v>
      </c>
      <c r="BF17" s="73">
        <f t="shared" si="24"/>
        <v>180</v>
      </c>
      <c r="BG17" s="73">
        <f t="shared" si="24"/>
        <v>180</v>
      </c>
      <c r="BH17" s="73">
        <f t="shared" si="24"/>
        <v>180</v>
      </c>
      <c r="BI17" s="166">
        <f>BCA_Model_Annual!AB17</f>
        <v>180</v>
      </c>
      <c r="BR17" s="531"/>
      <c r="BS17" s="531"/>
      <c r="BT17" s="531"/>
    </row>
    <row r="18" spans="1:72">
      <c r="A18" s="1">
        <v>767</v>
      </c>
      <c r="AF18" s="127">
        <f>$AJ$18</f>
        <v>75</v>
      </c>
      <c r="AG18" s="164">
        <f>$AJ$18</f>
        <v>75</v>
      </c>
      <c r="AH18" s="164">
        <f>$AJ$18</f>
        <v>75</v>
      </c>
      <c r="AI18" s="165">
        <f>$AJ$18</f>
        <v>75</v>
      </c>
      <c r="AJ18" s="166">
        <f>BCA_Model_Annual!W18</f>
        <v>75</v>
      </c>
      <c r="AK18" s="164">
        <f t="shared" si="25"/>
        <v>75</v>
      </c>
      <c r="AL18" s="164">
        <f t="shared" si="25"/>
        <v>75</v>
      </c>
      <c r="AM18" s="164">
        <f t="shared" si="25"/>
        <v>75</v>
      </c>
      <c r="AN18" s="164">
        <f t="shared" si="25"/>
        <v>75</v>
      </c>
      <c r="AO18" s="166">
        <f>BCA_Model_Annual!X18</f>
        <v>75</v>
      </c>
      <c r="AP18" s="164">
        <f t="shared" si="21"/>
        <v>75</v>
      </c>
      <c r="AQ18" s="164">
        <f t="shared" si="21"/>
        <v>75</v>
      </c>
      <c r="AR18" s="164">
        <f t="shared" si="21"/>
        <v>75</v>
      </c>
      <c r="AS18" s="164">
        <f t="shared" si="21"/>
        <v>75</v>
      </c>
      <c r="AT18" s="166">
        <f>BCA_Model_Annual!Y18</f>
        <v>75</v>
      </c>
      <c r="AU18" s="164">
        <f t="shared" si="22"/>
        <v>75</v>
      </c>
      <c r="AV18" s="164">
        <f t="shared" si="22"/>
        <v>75</v>
      </c>
      <c r="AW18" s="164">
        <f t="shared" si="22"/>
        <v>75</v>
      </c>
      <c r="AX18" s="164">
        <f t="shared" si="26"/>
        <v>75</v>
      </c>
      <c r="AY18" s="166">
        <f>BCA_Model_Annual!Z18</f>
        <v>75</v>
      </c>
      <c r="AZ18" s="164">
        <f t="shared" si="23"/>
        <v>75</v>
      </c>
      <c r="BA18" s="164">
        <f t="shared" si="23"/>
        <v>75</v>
      </c>
      <c r="BB18" s="164">
        <f t="shared" si="23"/>
        <v>75</v>
      </c>
      <c r="BC18" s="164">
        <f t="shared" si="23"/>
        <v>75</v>
      </c>
      <c r="BD18" s="166">
        <f>BCA_Model_Annual!Z18</f>
        <v>75</v>
      </c>
      <c r="BE18" s="73">
        <f t="shared" si="24"/>
        <v>75</v>
      </c>
      <c r="BF18" s="73">
        <f t="shared" si="24"/>
        <v>75</v>
      </c>
      <c r="BG18" s="73">
        <f t="shared" si="24"/>
        <v>75</v>
      </c>
      <c r="BH18" s="73">
        <f t="shared" si="24"/>
        <v>75</v>
      </c>
      <c r="BI18" s="166">
        <f>BCA_Model_Annual!AB18</f>
        <v>75</v>
      </c>
      <c r="BM18" s="5"/>
      <c r="BN18" s="5"/>
      <c r="BR18" s="532"/>
      <c r="BS18" s="532"/>
      <c r="BT18" s="532"/>
    </row>
    <row r="19" spans="1:72">
      <c r="A19" s="1">
        <v>777</v>
      </c>
      <c r="AF19" s="127">
        <f>$AJ$19</f>
        <v>160</v>
      </c>
      <c r="AG19" s="164">
        <f>$AJ$19</f>
        <v>160</v>
      </c>
      <c r="AH19" s="164">
        <f>$AJ$19</f>
        <v>160</v>
      </c>
      <c r="AI19" s="165">
        <f>$AJ$19</f>
        <v>160</v>
      </c>
      <c r="AJ19" s="166">
        <f>BCA_Model_Annual!W19</f>
        <v>160</v>
      </c>
      <c r="AK19" s="164">
        <f t="shared" si="25"/>
        <v>160</v>
      </c>
      <c r="AL19" s="164">
        <f t="shared" si="25"/>
        <v>160</v>
      </c>
      <c r="AM19" s="164">
        <f t="shared" si="25"/>
        <v>160</v>
      </c>
      <c r="AN19" s="164">
        <f t="shared" si="25"/>
        <v>160</v>
      </c>
      <c r="AO19" s="166">
        <f>BCA_Model_Annual!X19</f>
        <v>160</v>
      </c>
      <c r="AP19" s="164">
        <f t="shared" si="21"/>
        <v>160</v>
      </c>
      <c r="AQ19" s="164">
        <f t="shared" si="21"/>
        <v>160</v>
      </c>
      <c r="AR19" s="164">
        <f t="shared" si="21"/>
        <v>160</v>
      </c>
      <c r="AS19" s="164">
        <f t="shared" si="21"/>
        <v>160</v>
      </c>
      <c r="AT19" s="166">
        <f>BCA_Model_Annual!Y19</f>
        <v>160</v>
      </c>
      <c r="AU19" s="164">
        <f t="shared" si="22"/>
        <v>160</v>
      </c>
      <c r="AV19" s="164">
        <f t="shared" si="22"/>
        <v>160</v>
      </c>
      <c r="AW19" s="164">
        <f t="shared" si="22"/>
        <v>160</v>
      </c>
      <c r="AX19" s="164">
        <f t="shared" si="26"/>
        <v>160</v>
      </c>
      <c r="AY19" s="166">
        <f>BCA_Model_Annual!Z19</f>
        <v>160</v>
      </c>
      <c r="AZ19" s="164">
        <f t="shared" si="23"/>
        <v>160</v>
      </c>
      <c r="BA19" s="164">
        <f t="shared" si="23"/>
        <v>160</v>
      </c>
      <c r="BB19" s="164">
        <f t="shared" si="23"/>
        <v>160</v>
      </c>
      <c r="BC19" s="164">
        <f t="shared" si="23"/>
        <v>160</v>
      </c>
      <c r="BD19" s="166">
        <f>BCA_Model_Annual!Z19</f>
        <v>160</v>
      </c>
      <c r="BE19" s="73">
        <f t="shared" si="24"/>
        <v>160</v>
      </c>
      <c r="BF19" s="73">
        <f t="shared" si="24"/>
        <v>160</v>
      </c>
      <c r="BG19" s="73">
        <f t="shared" si="24"/>
        <v>160</v>
      </c>
      <c r="BH19" s="73">
        <f t="shared" si="24"/>
        <v>160</v>
      </c>
      <c r="BI19" s="166">
        <f>BCA_Model_Annual!AB19</f>
        <v>160</v>
      </c>
      <c r="BM19" s="1"/>
      <c r="BR19" s="533"/>
      <c r="BS19" s="533"/>
      <c r="BT19" s="533"/>
    </row>
    <row r="20" spans="1:72">
      <c r="A20" s="1">
        <v>787</v>
      </c>
      <c r="AF20" s="127">
        <f>$AJ$20</f>
        <v>138</v>
      </c>
      <c r="AG20" s="164">
        <f>$AJ$20</f>
        <v>138</v>
      </c>
      <c r="AH20" s="164">
        <f>$AJ$20</f>
        <v>138</v>
      </c>
      <c r="AI20" s="165">
        <f>$AJ$20</f>
        <v>138</v>
      </c>
      <c r="AJ20" s="166">
        <f>BCA_Model_Annual!W20</f>
        <v>138</v>
      </c>
      <c r="AK20" s="164">
        <f t="shared" si="25"/>
        <v>123</v>
      </c>
      <c r="AL20" s="164">
        <f t="shared" si="25"/>
        <v>123</v>
      </c>
      <c r="AM20" s="164">
        <f t="shared" si="25"/>
        <v>123</v>
      </c>
      <c r="AN20" s="164">
        <f t="shared" si="25"/>
        <v>123</v>
      </c>
      <c r="AO20" s="166">
        <f>BCA_Model_Annual!X20</f>
        <v>123</v>
      </c>
      <c r="AP20" s="164">
        <f t="shared" si="21"/>
        <v>110</v>
      </c>
      <c r="AQ20" s="164">
        <f t="shared" si="21"/>
        <v>110</v>
      </c>
      <c r="AR20" s="164">
        <f t="shared" si="21"/>
        <v>110</v>
      </c>
      <c r="AS20" s="164">
        <f t="shared" si="21"/>
        <v>110</v>
      </c>
      <c r="AT20" s="166">
        <f>BCA_Model_Annual!Y20</f>
        <v>110</v>
      </c>
      <c r="AU20" s="164">
        <f t="shared" si="22"/>
        <v>125</v>
      </c>
      <c r="AV20" s="164">
        <f t="shared" si="22"/>
        <v>125</v>
      </c>
      <c r="AW20" s="164">
        <f t="shared" si="22"/>
        <v>125</v>
      </c>
      <c r="AX20" s="164">
        <f t="shared" si="26"/>
        <v>125</v>
      </c>
      <c r="AY20" s="166">
        <f>BCA_Model_Annual!Z20</f>
        <v>125</v>
      </c>
      <c r="AZ20" s="164">
        <f t="shared" si="23"/>
        <v>125</v>
      </c>
      <c r="BA20" s="164">
        <f t="shared" si="23"/>
        <v>125</v>
      </c>
      <c r="BB20" s="164">
        <f t="shared" si="23"/>
        <v>125</v>
      </c>
      <c r="BC20" s="164">
        <f t="shared" si="23"/>
        <v>125</v>
      </c>
      <c r="BD20" s="166">
        <f>BCA_Model_Annual!Z20</f>
        <v>125</v>
      </c>
      <c r="BE20" s="73">
        <f t="shared" si="24"/>
        <v>145</v>
      </c>
      <c r="BF20" s="73">
        <f t="shared" si="24"/>
        <v>145</v>
      </c>
      <c r="BG20" s="73">
        <f t="shared" si="24"/>
        <v>145</v>
      </c>
      <c r="BH20" s="73">
        <f t="shared" si="24"/>
        <v>145</v>
      </c>
      <c r="BI20" s="166">
        <f>BCA_Model_Annual!AB20</f>
        <v>145</v>
      </c>
      <c r="BK20" s="297"/>
      <c r="BM20" s="1"/>
      <c r="BN20" s="5"/>
      <c r="BR20" s="531"/>
      <c r="BS20" s="531"/>
      <c r="BT20" s="531"/>
    </row>
    <row r="21" spans="1:72">
      <c r="A21" s="1">
        <v>717</v>
      </c>
      <c r="AF21" s="127">
        <f>$AJ$21</f>
        <v>0</v>
      </c>
      <c r="AG21" s="164">
        <f>$AJ$21</f>
        <v>0</v>
      </c>
      <c r="AH21" s="164">
        <f>$AJ$21</f>
        <v>0</v>
      </c>
      <c r="AI21" s="165">
        <f>$AJ$21</f>
        <v>0</v>
      </c>
      <c r="AJ21" s="166">
        <f>BCA_Model_Annual!W21</f>
        <v>0</v>
      </c>
      <c r="AK21" s="164">
        <f t="shared" si="25"/>
        <v>0</v>
      </c>
      <c r="AL21" s="164">
        <f t="shared" si="25"/>
        <v>0</v>
      </c>
      <c r="AM21" s="164">
        <f t="shared" si="25"/>
        <v>0</v>
      </c>
      <c r="AN21" s="164">
        <f t="shared" si="25"/>
        <v>0</v>
      </c>
      <c r="AO21" s="166">
        <f>BCA_Model_Annual!X21</f>
        <v>0</v>
      </c>
      <c r="AP21" s="164">
        <f t="shared" si="21"/>
        <v>0</v>
      </c>
      <c r="AQ21" s="164">
        <f t="shared" si="21"/>
        <v>0</v>
      </c>
      <c r="AR21" s="164">
        <f t="shared" si="21"/>
        <v>0</v>
      </c>
      <c r="AS21" s="164">
        <f t="shared" si="21"/>
        <v>0</v>
      </c>
      <c r="AT21" s="166">
        <f>BCA_Model_Annual!Y21</f>
        <v>0</v>
      </c>
      <c r="AU21" s="164">
        <f t="shared" si="22"/>
        <v>0</v>
      </c>
      <c r="AV21" s="164">
        <f t="shared" si="22"/>
        <v>0</v>
      </c>
      <c r="AW21" s="164">
        <f t="shared" si="22"/>
        <v>0</v>
      </c>
      <c r="AX21" s="164">
        <f t="shared" si="26"/>
        <v>0</v>
      </c>
      <c r="AY21" s="166">
        <f>BCA_Model_Annual!Z21</f>
        <v>0</v>
      </c>
      <c r="AZ21" s="164">
        <f t="shared" si="23"/>
        <v>0</v>
      </c>
      <c r="BA21" s="164">
        <f t="shared" si="23"/>
        <v>0</v>
      </c>
      <c r="BB21" s="164">
        <f t="shared" si="23"/>
        <v>0</v>
      </c>
      <c r="BC21" s="164">
        <f t="shared" si="23"/>
        <v>0</v>
      </c>
      <c r="BD21" s="166">
        <f>BCA_Model_Annual!Z21</f>
        <v>0</v>
      </c>
      <c r="BE21" s="73">
        <f t="shared" si="24"/>
        <v>0</v>
      </c>
      <c r="BF21" s="73">
        <f t="shared" si="24"/>
        <v>0</v>
      </c>
      <c r="BG21" s="73">
        <f t="shared" si="24"/>
        <v>0</v>
      </c>
      <c r="BH21" s="73">
        <f t="shared" si="24"/>
        <v>0</v>
      </c>
      <c r="BI21" s="166">
        <f>BCA_Model_Annual!AB21</f>
        <v>0</v>
      </c>
      <c r="BM21" s="1"/>
      <c r="BN21" s="5"/>
      <c r="BR21" s="532"/>
      <c r="BS21" s="532"/>
      <c r="BT21" s="532"/>
    </row>
    <row r="22" spans="1:72">
      <c r="A22" s="1">
        <v>757</v>
      </c>
      <c r="AF22" s="127">
        <f>$AJ$22</f>
        <v>0</v>
      </c>
      <c r="AG22" s="164">
        <f>$AJ$22</f>
        <v>0</v>
      </c>
      <c r="AH22" s="164">
        <f>$AJ$22</f>
        <v>0</v>
      </c>
      <c r="AI22" s="165">
        <f>$AJ$22</f>
        <v>0</v>
      </c>
      <c r="AJ22" s="166">
        <f>BCA_Model_Annual!W22</f>
        <v>0</v>
      </c>
      <c r="AK22" s="164">
        <f t="shared" si="25"/>
        <v>0</v>
      </c>
      <c r="AL22" s="164">
        <f t="shared" si="25"/>
        <v>0</v>
      </c>
      <c r="AM22" s="164">
        <f t="shared" si="25"/>
        <v>0</v>
      </c>
      <c r="AN22" s="164">
        <f t="shared" si="25"/>
        <v>0</v>
      </c>
      <c r="AO22" s="166">
        <f>BCA_Model_Annual!X22</f>
        <v>0</v>
      </c>
      <c r="AP22" s="164">
        <f t="shared" si="21"/>
        <v>0</v>
      </c>
      <c r="AQ22" s="164">
        <f t="shared" si="21"/>
        <v>0</v>
      </c>
      <c r="AR22" s="164">
        <f t="shared" si="21"/>
        <v>0</v>
      </c>
      <c r="AS22" s="164">
        <f t="shared" si="21"/>
        <v>0</v>
      </c>
      <c r="AT22" s="166">
        <f>BCA_Model_Annual!Y22</f>
        <v>0</v>
      </c>
      <c r="AU22" s="164">
        <f t="shared" si="22"/>
        <v>0</v>
      </c>
      <c r="AV22" s="164">
        <f t="shared" si="22"/>
        <v>0</v>
      </c>
      <c r="AW22" s="164">
        <f t="shared" si="22"/>
        <v>0</v>
      </c>
      <c r="AX22" s="164">
        <f t="shared" si="26"/>
        <v>0</v>
      </c>
      <c r="AY22" s="166">
        <f>BCA_Model_Annual!Z22</f>
        <v>0</v>
      </c>
      <c r="AZ22" s="164">
        <f t="shared" si="23"/>
        <v>0</v>
      </c>
      <c r="BA22" s="164">
        <f t="shared" si="23"/>
        <v>0</v>
      </c>
      <c r="BB22" s="164">
        <f t="shared" si="23"/>
        <v>0</v>
      </c>
      <c r="BC22" s="164">
        <f t="shared" si="23"/>
        <v>0</v>
      </c>
      <c r="BD22" s="166">
        <f>BCA_Model_Annual!Z22</f>
        <v>0</v>
      </c>
      <c r="BE22" s="73">
        <f t="shared" si="24"/>
        <v>0</v>
      </c>
      <c r="BF22" s="73">
        <f t="shared" si="24"/>
        <v>0</v>
      </c>
      <c r="BG22" s="73">
        <f t="shared" si="24"/>
        <v>0</v>
      </c>
      <c r="BH22" s="73">
        <f t="shared" si="24"/>
        <v>0</v>
      </c>
      <c r="BI22" s="166">
        <f>BCA_Model_Annual!AB22</f>
        <v>0</v>
      </c>
      <c r="BM22" s="1"/>
      <c r="BN22" s="5"/>
      <c r="BR22" s="531"/>
      <c r="BS22" s="531"/>
      <c r="BT22" s="531"/>
    </row>
    <row r="23" spans="1:72">
      <c r="A23" s="1" t="s">
        <v>416</v>
      </c>
      <c r="AF23" s="127">
        <f>$AJ$23</f>
        <v>0</v>
      </c>
      <c r="AG23" s="164">
        <f>$AJ$23</f>
        <v>0</v>
      </c>
      <c r="AH23" s="164">
        <f>$AJ$23</f>
        <v>0</v>
      </c>
      <c r="AI23" s="165">
        <f>$AJ$23</f>
        <v>0</v>
      </c>
      <c r="AJ23" s="166">
        <f>BCA_Model_Annual!W23</f>
        <v>0</v>
      </c>
      <c r="AK23" s="164">
        <f t="shared" si="25"/>
        <v>0</v>
      </c>
      <c r="AL23" s="164">
        <f t="shared" si="25"/>
        <v>0</v>
      </c>
      <c r="AM23" s="164">
        <f t="shared" si="25"/>
        <v>0</v>
      </c>
      <c r="AN23" s="164">
        <f t="shared" si="25"/>
        <v>0</v>
      </c>
      <c r="AO23" s="166">
        <f>BCA_Model_Annual!X23</f>
        <v>0</v>
      </c>
      <c r="AP23" s="164">
        <f t="shared" si="21"/>
        <v>0</v>
      </c>
      <c r="AQ23" s="164">
        <f t="shared" si="21"/>
        <v>0</v>
      </c>
      <c r="AR23" s="164">
        <f t="shared" si="21"/>
        <v>0</v>
      </c>
      <c r="AS23" s="164">
        <f t="shared" si="21"/>
        <v>0</v>
      </c>
      <c r="AT23" s="166">
        <f>BCA_Model_Annual!Y23</f>
        <v>0</v>
      </c>
      <c r="AU23" s="164">
        <f t="shared" si="22"/>
        <v>0</v>
      </c>
      <c r="AV23" s="164">
        <f t="shared" si="22"/>
        <v>0</v>
      </c>
      <c r="AW23" s="164">
        <f t="shared" si="22"/>
        <v>0</v>
      </c>
      <c r="AX23" s="164">
        <f t="shared" si="26"/>
        <v>0</v>
      </c>
      <c r="AY23" s="166">
        <f>BCA_Model_Annual!Z23</f>
        <v>0</v>
      </c>
      <c r="AZ23" s="164">
        <f t="shared" si="23"/>
        <v>0</v>
      </c>
      <c r="BA23" s="164">
        <f t="shared" si="23"/>
        <v>0</v>
      </c>
      <c r="BB23" s="164">
        <f t="shared" si="23"/>
        <v>0</v>
      </c>
      <c r="BC23" s="164">
        <f t="shared" si="23"/>
        <v>0</v>
      </c>
      <c r="BD23" s="166">
        <f>BCA_Model_Annual!Z23</f>
        <v>0</v>
      </c>
      <c r="BE23" s="73">
        <f t="shared" si="24"/>
        <v>0</v>
      </c>
      <c r="BF23" s="73">
        <f t="shared" si="24"/>
        <v>0</v>
      </c>
      <c r="BG23" s="73">
        <f t="shared" si="24"/>
        <v>0</v>
      </c>
      <c r="BH23" s="73">
        <f t="shared" si="24"/>
        <v>0</v>
      </c>
      <c r="BI23" s="166">
        <f>BCA_Model_Annual!AB23</f>
        <v>0</v>
      </c>
      <c r="BM23" s="1"/>
      <c r="BN23" s="5"/>
      <c r="BR23" s="532"/>
      <c r="BS23" s="532"/>
      <c r="BT23" s="532"/>
    </row>
    <row r="24" spans="1:72">
      <c r="A24" s="1" t="s">
        <v>417</v>
      </c>
      <c r="AF24" s="127">
        <f>$AJ$24</f>
        <v>0</v>
      </c>
      <c r="AG24" s="164">
        <f>$AJ$24</f>
        <v>0</v>
      </c>
      <c r="AH24" s="164">
        <f>$AJ$24</f>
        <v>0</v>
      </c>
      <c r="AI24" s="165">
        <f>$AJ$24</f>
        <v>0</v>
      </c>
      <c r="AJ24" s="166">
        <f>BCA_Model_Annual!W24</f>
        <v>0</v>
      </c>
      <c r="AK24" s="164">
        <f t="shared" si="25"/>
        <v>0</v>
      </c>
      <c r="AL24" s="164">
        <f t="shared" si="25"/>
        <v>0</v>
      </c>
      <c r="AM24" s="164">
        <f t="shared" si="25"/>
        <v>0</v>
      </c>
      <c r="AN24" s="164">
        <f t="shared" si="25"/>
        <v>0</v>
      </c>
      <c r="AO24" s="166">
        <f>BCA_Model_Annual!X24</f>
        <v>0</v>
      </c>
      <c r="AP24" s="164">
        <f t="shared" si="21"/>
        <v>0</v>
      </c>
      <c r="AQ24" s="164">
        <f t="shared" si="21"/>
        <v>0</v>
      </c>
      <c r="AR24" s="164">
        <f t="shared" si="21"/>
        <v>0</v>
      </c>
      <c r="AS24" s="164">
        <f t="shared" si="21"/>
        <v>0</v>
      </c>
      <c r="AT24" s="166">
        <f>BCA_Model_Annual!Y24</f>
        <v>0</v>
      </c>
      <c r="AU24" s="164">
        <f t="shared" si="22"/>
        <v>0</v>
      </c>
      <c r="AV24" s="164">
        <f t="shared" si="22"/>
        <v>0</v>
      </c>
      <c r="AW24" s="164">
        <f t="shared" si="22"/>
        <v>0</v>
      </c>
      <c r="AX24" s="164">
        <f t="shared" si="26"/>
        <v>0</v>
      </c>
      <c r="AY24" s="166">
        <f>BCA_Model_Annual!Z24</f>
        <v>0</v>
      </c>
      <c r="AZ24" s="164">
        <f t="shared" si="23"/>
        <v>0</v>
      </c>
      <c r="BA24" s="164">
        <f t="shared" si="23"/>
        <v>0</v>
      </c>
      <c r="BB24" s="164">
        <f t="shared" si="23"/>
        <v>0</v>
      </c>
      <c r="BC24" s="164">
        <f t="shared" si="23"/>
        <v>0</v>
      </c>
      <c r="BD24" s="166">
        <f>BCA_Model_Annual!Z24</f>
        <v>0</v>
      </c>
      <c r="BE24" s="73">
        <f t="shared" si="24"/>
        <v>0</v>
      </c>
      <c r="BF24" s="73">
        <f t="shared" si="24"/>
        <v>0</v>
      </c>
      <c r="BG24" s="73">
        <f t="shared" si="24"/>
        <v>0</v>
      </c>
      <c r="BH24" s="73">
        <f t="shared" si="24"/>
        <v>0</v>
      </c>
      <c r="BI24" s="166">
        <f>BCA_Model_Annual!AB24</f>
        <v>0</v>
      </c>
      <c r="BM24" s="1"/>
      <c r="BR24" s="533"/>
      <c r="BS24" s="533"/>
      <c r="BT24" s="533"/>
    </row>
    <row r="25" spans="1:72">
      <c r="A25" s="1"/>
      <c r="AF25" s="164"/>
      <c r="AG25" s="164"/>
      <c r="AH25" s="164"/>
      <c r="AI25" s="164"/>
      <c r="AJ25" s="164"/>
      <c r="AK25" s="164"/>
      <c r="AL25" s="164"/>
      <c r="AM25" s="164"/>
      <c r="AN25" s="164"/>
      <c r="AO25" s="164"/>
      <c r="AP25" s="164"/>
      <c r="AQ25" s="164"/>
      <c r="AR25" s="164"/>
      <c r="AS25" s="164"/>
      <c r="AT25" s="164"/>
      <c r="AU25" s="164"/>
      <c r="AV25" s="164"/>
      <c r="AW25" s="164"/>
      <c r="AX25" s="164"/>
      <c r="AY25" s="164"/>
      <c r="AZ25" s="164"/>
      <c r="BA25" s="164"/>
      <c r="BB25" s="164"/>
      <c r="BC25" s="164"/>
      <c r="BD25" s="164"/>
      <c r="BE25" s="164"/>
      <c r="BF25" s="164"/>
      <c r="BG25" s="164"/>
      <c r="BH25" s="164"/>
      <c r="BI25" s="164"/>
      <c r="BM25" s="1"/>
      <c r="BR25" s="533"/>
      <c r="BS25" s="533"/>
      <c r="BT25" s="533"/>
    </row>
    <row r="26" spans="1:72">
      <c r="A26" s="9" t="s">
        <v>636</v>
      </c>
      <c r="B26" s="59"/>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08"/>
      <c r="AG26" s="508"/>
      <c r="AH26" s="508"/>
      <c r="AI26" s="508"/>
      <c r="AJ26" s="508"/>
      <c r="AK26" s="508"/>
      <c r="AL26" s="508"/>
      <c r="AM26" s="508"/>
      <c r="AN26" s="508"/>
      <c r="AO26" s="508"/>
      <c r="AP26" s="508"/>
      <c r="AQ26" s="508"/>
      <c r="AR26" s="508"/>
      <c r="AS26" s="508"/>
      <c r="AT26" s="508"/>
      <c r="AU26" s="508"/>
      <c r="AV26" s="508"/>
      <c r="AW26" s="508"/>
      <c r="AX26" s="508"/>
      <c r="AY26" s="508"/>
      <c r="AZ26" s="508"/>
      <c r="BA26" s="508"/>
      <c r="BB26" s="508"/>
      <c r="BC26" s="508"/>
      <c r="BD26" s="508"/>
      <c r="BE26" s="508"/>
      <c r="BF26" s="508"/>
      <c r="BG26" s="508"/>
      <c r="BH26" s="508"/>
      <c r="BI26" s="508"/>
      <c r="BM26" s="1"/>
      <c r="BR26" s="533"/>
      <c r="BS26" s="533"/>
      <c r="BT26" s="533"/>
    </row>
    <row r="27" spans="1:72">
      <c r="A27" s="12" t="s">
        <v>636</v>
      </c>
      <c r="B27" s="74">
        <v>86</v>
      </c>
      <c r="C27" s="87">
        <v>115</v>
      </c>
      <c r="D27" s="87">
        <v>114</v>
      </c>
      <c r="E27" s="87">
        <v>98</v>
      </c>
      <c r="F27" s="87">
        <v>413</v>
      </c>
      <c r="G27" s="87">
        <v>64</v>
      </c>
      <c r="H27" s="87">
        <v>84</v>
      </c>
      <c r="I27" s="87">
        <v>63</v>
      </c>
      <c r="J27" s="87">
        <v>87</v>
      </c>
      <c r="K27" s="87">
        <v>298</v>
      </c>
      <c r="L27" s="87">
        <v>92</v>
      </c>
      <c r="M27" s="87">
        <v>72</v>
      </c>
      <c r="N27" s="87">
        <v>70</v>
      </c>
      <c r="O27" s="87">
        <v>73</v>
      </c>
      <c r="P27" s="87">
        <v>307</v>
      </c>
      <c r="Q27" s="87">
        <v>65</v>
      </c>
      <c r="R27" s="87">
        <v>72</v>
      </c>
      <c r="S27" s="87">
        <v>77</v>
      </c>
      <c r="T27" s="87">
        <v>60</v>
      </c>
      <c r="U27" s="87">
        <v>274</v>
      </c>
      <c r="V27" s="87">
        <v>66</v>
      </c>
      <c r="W27" s="87">
        <v>75</v>
      </c>
      <c r="X27" s="87">
        <v>66</v>
      </c>
      <c r="Y27" s="87">
        <v>37</v>
      </c>
      <c r="Z27" s="87">
        <v>244</v>
      </c>
      <c r="AA27" s="87">
        <v>65</v>
      </c>
      <c r="AB27" s="87">
        <v>69</v>
      </c>
      <c r="AC27" s="87">
        <v>71</v>
      </c>
      <c r="AD27" s="87">
        <v>56</v>
      </c>
      <c r="AE27" s="87">
        <v>261</v>
      </c>
      <c r="AF27" s="127">
        <v>60</v>
      </c>
      <c r="AG27" s="164">
        <v>78</v>
      </c>
      <c r="AH27" s="164">
        <v>71</v>
      </c>
      <c r="AI27" s="165">
        <v>63</v>
      </c>
      <c r="AJ27" s="166">
        <v>272</v>
      </c>
      <c r="AK27" s="164">
        <v>46</v>
      </c>
      <c r="AL27" s="164">
        <v>52</v>
      </c>
      <c r="AM27" s="164">
        <v>52</v>
      </c>
      <c r="AN27" s="164">
        <v>49</v>
      </c>
      <c r="AO27" s="166">
        <v>199</v>
      </c>
      <c r="AP27" s="509">
        <v>53</v>
      </c>
      <c r="AQ27" s="164">
        <v>52.52</v>
      </c>
      <c r="AR27" s="164">
        <v>52.52</v>
      </c>
      <c r="AS27" s="170">
        <f>AT27-SUM(AP27:AR27)</f>
        <v>46.95999999999998</v>
      </c>
      <c r="AT27" s="166">
        <f>+BCA_Model_Annual!Y27</f>
        <v>205</v>
      </c>
      <c r="AU27" s="509">
        <f>$AY27/4</f>
        <v>51.25</v>
      </c>
      <c r="AV27" s="509">
        <f t="shared" ref="AV27" si="27">$AY27/4</f>
        <v>51.25</v>
      </c>
      <c r="AW27" s="546">
        <v>116</v>
      </c>
      <c r="AX27" s="170">
        <f>AY27-SUM(AU27:AW27)</f>
        <v>-13.5</v>
      </c>
      <c r="AY27" s="166">
        <f>+BCA_Model_Annual!Z27</f>
        <v>205</v>
      </c>
      <c r="AZ27" s="553">
        <f>$BD27/4</f>
        <v>51.25</v>
      </c>
      <c r="BA27" s="553">
        <f t="shared" ref="BA27:BB27" si="28">$BD27/4</f>
        <v>51.25</v>
      </c>
      <c r="BB27" s="553">
        <f t="shared" si="28"/>
        <v>51.25</v>
      </c>
      <c r="BC27" s="170">
        <f>BD27-SUM(AZ27:BB27)</f>
        <v>51.25</v>
      </c>
      <c r="BD27" s="166">
        <f>+BCA_Model_Annual!Z27</f>
        <v>205</v>
      </c>
      <c r="BE27" s="570">
        <f>$BI27/4</f>
        <v>51.25</v>
      </c>
      <c r="BF27" s="570">
        <f t="shared" ref="BF27:BG27" si="29">$BI27/4</f>
        <v>51.25</v>
      </c>
      <c r="BG27" s="570">
        <f t="shared" si="29"/>
        <v>51.25</v>
      </c>
      <c r="BH27" s="170">
        <f>BI27-SUM(BE27:BG27)</f>
        <v>51.25</v>
      </c>
      <c r="BI27" s="166">
        <f>+BCA_Model_Annual!AB27</f>
        <v>205</v>
      </c>
      <c r="BM27" s="1"/>
      <c r="BR27" s="533"/>
      <c r="BS27" s="533"/>
      <c r="BT27" s="533"/>
    </row>
    <row r="28" spans="1:72">
      <c r="BM28" s="1"/>
      <c r="BR28" s="531"/>
      <c r="BS28" s="531"/>
      <c r="BT28" s="520"/>
    </row>
    <row r="29" spans="1:72">
      <c r="A29" s="9" t="s">
        <v>444</v>
      </c>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M29" s="1"/>
    </row>
    <row r="30" spans="1:72">
      <c r="A30" s="12" t="s">
        <v>444</v>
      </c>
      <c r="AF30" s="443">
        <f>SUMPRODUCT(AF4:AF12,AF16:AF24)</f>
        <v>4311</v>
      </c>
      <c r="AG30" s="438">
        <f>SUMPRODUCT(AG4:AG12,AG16:AG24)</f>
        <v>5716</v>
      </c>
      <c r="AH30" s="438">
        <f>SUMPRODUCT(AH4:AH12,AH16:AH24)</f>
        <v>4785</v>
      </c>
      <c r="AI30" s="439">
        <f>SUMPRODUCT(AI4:AI12,AI16:AI24)</f>
        <v>5140</v>
      </c>
      <c r="AJ30" s="184">
        <f>BCA_Model_Annual!W30</f>
        <v>19952</v>
      </c>
      <c r="AK30" s="443">
        <f>SUMPRODUCT(AK4:AK12,AK16:AK24)</f>
        <v>4475</v>
      </c>
      <c r="AL30" s="438">
        <f>SUMPRODUCT(AL4:AL12,AL16:AL24)</f>
        <v>6445</v>
      </c>
      <c r="AM30" s="438">
        <f>SUMPRODUCT(AM4:AM12,AM16:AM24)</f>
        <v>6262</v>
      </c>
      <c r="AN30" s="439">
        <f>AO30-SUM(AK32:AM32)</f>
        <v>9865</v>
      </c>
      <c r="AO30" s="184">
        <f>BCA_Model_Annual!X30</f>
        <v>26508</v>
      </c>
      <c r="AP30" s="443">
        <f>SUMPRODUCT(AP4:AP12,AP16:AP24)+AP27</f>
        <v>7356</v>
      </c>
      <c r="AQ30" s="438">
        <f>SUMPRODUCT(AQ4:AQ12,AQ16:AQ24)+AQ27</f>
        <v>8390.52</v>
      </c>
      <c r="AR30" s="438">
        <f t="shared" ref="AR30:AS30" si="30">SUMPRODUCT(AR4:AR12,AR16:AR24)+AR27</f>
        <v>7242.52</v>
      </c>
      <c r="AS30" s="439">
        <f t="shared" ca="1" si="30"/>
        <v>10201.959999999999</v>
      </c>
      <c r="AT30" s="184">
        <f ca="1">BCA_Model_Annual!Y30</f>
        <v>33191</v>
      </c>
      <c r="AU30" s="443">
        <f t="shared" ref="AU30:AW30" si="31">SUMPRODUCT(AU4:AU12,AU16:AU24)+AU27</f>
        <v>5137.3500000000004</v>
      </c>
      <c r="AV30" s="438">
        <f t="shared" si="31"/>
        <v>6127.25</v>
      </c>
      <c r="AW30" s="438">
        <f t="shared" si="31"/>
        <v>7399.6</v>
      </c>
      <c r="AX30" s="439">
        <f t="shared" ref="AX30" si="32">SUMPRODUCT(AX4:AX12,AX16:AX24)+AX27</f>
        <v>4305.3</v>
      </c>
      <c r="AY30" s="184">
        <f>BCA_Model_Annual!Z30</f>
        <v>22969.5</v>
      </c>
      <c r="AZ30" s="438">
        <f t="shared" ref="AZ30:BB30" si="33">SUMPRODUCT(AZ4:AZ12,AZ16:AZ24)+AZ27</f>
        <v>8242.75</v>
      </c>
      <c r="BA30" s="438">
        <f t="shared" si="33"/>
        <v>10829.45</v>
      </c>
      <c r="BB30" s="438">
        <f t="shared" si="33"/>
        <v>10785.55</v>
      </c>
      <c r="BC30" s="439">
        <f t="shared" ref="BC30" si="34">SUMPRODUCT(BC4:BC12,BC16:BC24)+BC27</f>
        <v>10787.35</v>
      </c>
      <c r="BD30" s="184">
        <f>BCA_Model_Annual!AA30</f>
        <v>41134</v>
      </c>
      <c r="BE30" s="438">
        <f t="shared" ref="BE30:BG30" si="35">SUMPRODUCT(BE4:BE12,BE16:BE24)+BE27</f>
        <v>12690.781690140844</v>
      </c>
      <c r="BF30" s="438">
        <f t="shared" si="35"/>
        <v>12690.781690140844</v>
      </c>
      <c r="BG30" s="438">
        <f t="shared" si="35"/>
        <v>12690.781690140844</v>
      </c>
      <c r="BH30" s="439">
        <f t="shared" ref="BH30" si="36">SUMPRODUCT(BH4:BH12,BH16:BH24)+BH27</f>
        <v>12690.781690140844</v>
      </c>
      <c r="BI30" s="184">
        <f>BCA_Model_Annual!AB30</f>
        <v>50763.126760563377</v>
      </c>
      <c r="BM30" s="1"/>
    </row>
    <row r="31" spans="1:72">
      <c r="A31" s="1" t="s">
        <v>445</v>
      </c>
      <c r="AF31" s="176">
        <f>AF30-BCA_Qtr!AF3</f>
        <v>42</v>
      </c>
      <c r="AG31" s="176">
        <f>AG30-BCA_Qtr!AG3</f>
        <v>-299</v>
      </c>
      <c r="AH31" s="176">
        <f>AH30-BCA_Qtr!AH3</f>
        <v>326</v>
      </c>
      <c r="AI31" s="436">
        <f>$AJ$31/4</f>
        <v>-114.75</v>
      </c>
      <c r="AJ31" s="166">
        <f>BCA_Model_Annual!W31</f>
        <v>-459</v>
      </c>
      <c r="AK31" s="176">
        <f>AK30-BCA_Qtr!AK3</f>
        <v>314</v>
      </c>
      <c r="AL31" s="74">
        <f>AL30-BCA_Qtr!AL3</f>
        <v>226</v>
      </c>
      <c r="AM31" s="74">
        <f>AM30-BCA_Qtr!AM3</f>
        <v>-1</v>
      </c>
      <c r="AN31" s="436">
        <f>AN30-BCA_Qtr!AN3</f>
        <v>641</v>
      </c>
      <c r="AO31" s="166">
        <f>BCA_Model_Annual!X31</f>
        <v>-641</v>
      </c>
      <c r="AP31" s="176">
        <f>AP30-BCA_Qtr!AP3</f>
        <v>652</v>
      </c>
      <c r="AQ31" s="74">
        <f>AQ30-BCA_Qtr!AQ3</f>
        <v>-449.47999999999956</v>
      </c>
      <c r="AR31" s="74">
        <f>AR30-BCA_Qtr!AR3</f>
        <v>-633.47999999999956</v>
      </c>
      <c r="AS31" s="436">
        <f ca="1">AS30-BCA_Qtr!AS3</f>
        <v>-279.04000000000087</v>
      </c>
      <c r="AT31" s="166">
        <f ca="1">BCA_Model_Annual!Y31</f>
        <v>710</v>
      </c>
      <c r="AU31" s="176">
        <f>AU30-BCA_Qtr!AU3</f>
        <v>484.35000000000036</v>
      </c>
      <c r="AV31" s="74">
        <f>AV30-BCA_Qtr!AV3</f>
        <v>124.25</v>
      </c>
      <c r="AW31" s="74">
        <f>AW30-BCA_Qtr!AW3</f>
        <v>-43.399999999999636</v>
      </c>
      <c r="AX31" s="436">
        <f>AX30-BCA_Qtr!AX3</f>
        <v>-456.69999999999982</v>
      </c>
      <c r="AY31" s="166">
        <f>BCA_Model_Annual!Z31</f>
        <v>-108.5</v>
      </c>
      <c r="AZ31" s="74">
        <f>AZ30-BCA_Qtr!AZ3</f>
        <v>95.75</v>
      </c>
      <c r="BA31" s="74">
        <f>BA30-BCA_Qtr!BA3</f>
        <v>-44.549999999999272</v>
      </c>
      <c r="BB31" s="74">
        <f>BB30-BCA_Qtr!BB3</f>
        <v>-308.45000000000073</v>
      </c>
      <c r="BC31" s="436">
        <f>BC30-BCA_Qtr!BC3</f>
        <v>-591.64999999999964</v>
      </c>
      <c r="BD31" s="166">
        <f>BCA_Model_Annual!AA31</f>
        <v>360</v>
      </c>
      <c r="BE31" s="74">
        <f>BE30-BCA_Qtr!BE3</f>
        <v>0</v>
      </c>
      <c r="BF31" s="74">
        <f>BF30-BCA_Qtr!BF3</f>
        <v>0</v>
      </c>
      <c r="BG31" s="74">
        <f>BG30-BCA_Qtr!BG3</f>
        <v>0</v>
      </c>
      <c r="BH31" s="436">
        <f>BH30-BCA_Qtr!BH3</f>
        <v>0</v>
      </c>
      <c r="BI31" s="166">
        <f>BCA_Model_Annual!AB31</f>
        <v>0</v>
      </c>
      <c r="BM31" s="14"/>
      <c r="BN31" s="534"/>
      <c r="BO31" s="535"/>
      <c r="BP31" s="535"/>
      <c r="BQ31" s="535"/>
    </row>
    <row r="32" spans="1:72">
      <c r="A32" s="12" t="s">
        <v>446</v>
      </c>
      <c r="AF32" s="122">
        <f>AF30-AF31</f>
        <v>4269</v>
      </c>
      <c r="AG32" s="77">
        <f>AG30-AG31</f>
        <v>6015</v>
      </c>
      <c r="AH32" s="77">
        <f>AH30-AH31</f>
        <v>4459</v>
      </c>
      <c r="AI32" s="437">
        <f>AI30-AI31</f>
        <v>5254.75</v>
      </c>
      <c r="AJ32" s="184">
        <f>BCA_Model_Annual!W32</f>
        <v>19493</v>
      </c>
      <c r="AK32" s="122">
        <f>AK30-AK31</f>
        <v>4161</v>
      </c>
      <c r="AL32" s="77">
        <f>AL30-AL31</f>
        <v>6219</v>
      </c>
      <c r="AM32" s="77">
        <f>AM30-AM31</f>
        <v>6263</v>
      </c>
      <c r="AN32" s="437">
        <f>AN30-AN31</f>
        <v>9224</v>
      </c>
      <c r="AO32" s="184">
        <f>BCA_Model_Annual!X32</f>
        <v>25867</v>
      </c>
      <c r="AP32" s="122">
        <f>AP30-AP31</f>
        <v>6704</v>
      </c>
      <c r="AQ32" s="77">
        <f>AQ30-AQ31</f>
        <v>8840</v>
      </c>
      <c r="AR32" s="77">
        <f>AR30-AR31</f>
        <v>7876</v>
      </c>
      <c r="AS32" s="437">
        <f ca="1">AS30-AS31</f>
        <v>10481</v>
      </c>
      <c r="AT32" s="184">
        <f>BCA_Model_Annual!Y32</f>
        <v>33901</v>
      </c>
      <c r="AU32" s="122">
        <f t="shared" ref="AU32:AW32" si="37">AU30-AU31</f>
        <v>4653</v>
      </c>
      <c r="AV32" s="77">
        <f t="shared" si="37"/>
        <v>6003</v>
      </c>
      <c r="AW32" s="77">
        <f t="shared" si="37"/>
        <v>7443</v>
      </c>
      <c r="AX32" s="437">
        <f>AX30-AX31</f>
        <v>4762</v>
      </c>
      <c r="AY32" s="184">
        <f>BCA_Model_Annual!Z32</f>
        <v>22861</v>
      </c>
      <c r="AZ32" s="77">
        <f t="shared" ref="AZ32:BB32" si="38">AZ30-AZ31</f>
        <v>8147</v>
      </c>
      <c r="BA32" s="77">
        <f t="shared" si="38"/>
        <v>10874</v>
      </c>
      <c r="BB32" s="77">
        <f t="shared" si="38"/>
        <v>11094</v>
      </c>
      <c r="BC32" s="437">
        <f>BC30-BC31</f>
        <v>11379</v>
      </c>
      <c r="BD32" s="184">
        <f>BCA_Model_Annual!AA32</f>
        <v>41494</v>
      </c>
      <c r="BE32" s="77">
        <f t="shared" ref="BE32:BG32" si="39">BE30-BE31</f>
        <v>12690.781690140844</v>
      </c>
      <c r="BF32" s="77">
        <f t="shared" si="39"/>
        <v>12690.781690140844</v>
      </c>
      <c r="BG32" s="77">
        <f t="shared" si="39"/>
        <v>12690.781690140844</v>
      </c>
      <c r="BH32" s="437">
        <f>BH30-BH31</f>
        <v>12690.781690140844</v>
      </c>
      <c r="BI32" s="184">
        <f>BCA_Model_Annual!AB32</f>
        <v>50763.126760563377</v>
      </c>
      <c r="BN32" s="1"/>
      <c r="BO32" s="520"/>
      <c r="BP32" s="520"/>
      <c r="BQ32" s="520"/>
    </row>
    <row r="33" spans="39:69">
      <c r="BN33" s="1"/>
      <c r="BO33" s="520"/>
      <c r="BP33" s="520"/>
      <c r="BQ33" s="520"/>
    </row>
    <row r="34" spans="39:69">
      <c r="BN34" s="1"/>
      <c r="BO34" s="520"/>
      <c r="BP34" s="520"/>
      <c r="BQ34" s="520"/>
    </row>
    <row r="35" spans="39:69">
      <c r="BN35" s="1"/>
      <c r="BO35" s="520"/>
      <c r="BP35" s="520"/>
      <c r="BQ35" s="520"/>
    </row>
    <row r="36" spans="39:69">
      <c r="BN36" s="1"/>
      <c r="BO36" s="520"/>
      <c r="BP36" s="520"/>
      <c r="BQ36" s="520"/>
    </row>
    <row r="37" spans="39:69">
      <c r="AM37" s="22"/>
      <c r="AN37" s="22"/>
      <c r="AR37" s="22"/>
      <c r="AS37" s="22"/>
      <c r="AW37" s="22"/>
      <c r="AX37" s="22"/>
      <c r="BB37" s="22"/>
      <c r="BC37" s="22"/>
      <c r="BG37" s="22"/>
      <c r="BH37" s="22"/>
      <c r="BN37" s="1"/>
      <c r="BO37" s="520"/>
      <c r="BP37" s="520"/>
      <c r="BQ37" s="520"/>
    </row>
    <row r="38" spans="39:69">
      <c r="AM38" s="22"/>
      <c r="AN38" s="22"/>
      <c r="AR38" s="22"/>
      <c r="AS38" s="22"/>
      <c r="AW38" s="22"/>
      <c r="AX38" s="22"/>
      <c r="BB38" s="22"/>
      <c r="BC38" s="22"/>
      <c r="BG38" s="22"/>
      <c r="BH38" s="22"/>
      <c r="BN38" s="1"/>
      <c r="BO38" s="520"/>
      <c r="BP38" s="520"/>
      <c r="BQ38" s="520"/>
    </row>
    <row r="39" spans="39:69">
      <c r="AM39" s="22"/>
      <c r="AN39" s="22"/>
      <c r="AR39" s="22"/>
      <c r="AS39" s="22"/>
      <c r="AW39" s="22"/>
      <c r="AX39" s="22"/>
      <c r="BB39" s="22"/>
      <c r="BC39" s="22"/>
      <c r="BG39" s="22"/>
      <c r="BH39" s="22"/>
      <c r="BN39" s="1"/>
      <c r="BO39" s="520"/>
      <c r="BP39" s="520"/>
      <c r="BQ39" s="520"/>
    </row>
    <row r="40" spans="39:69">
      <c r="AM40" s="22"/>
      <c r="AN40" s="22"/>
      <c r="AQ40" s="22"/>
      <c r="AS40" s="22"/>
      <c r="AV40" s="22"/>
      <c r="AX40" s="22"/>
      <c r="BA40" s="22"/>
      <c r="BC40" s="22"/>
      <c r="BF40" s="22"/>
      <c r="BH40" s="22"/>
      <c r="BN40" s="1"/>
      <c r="BO40" s="520"/>
      <c r="BP40" s="520"/>
      <c r="BQ40" s="520"/>
    </row>
    <row r="41" spans="39:69">
      <c r="AM41" s="22"/>
      <c r="AN41" s="22"/>
      <c r="AR41" s="22"/>
      <c r="AS41" s="22"/>
      <c r="AW41" s="22"/>
      <c r="AX41" s="22"/>
      <c r="BB41" s="22"/>
      <c r="BC41" s="22"/>
      <c r="BG41" s="22"/>
      <c r="BH41" s="22"/>
      <c r="BN41" s="14"/>
      <c r="BO41" s="520"/>
      <c r="BP41" s="520"/>
      <c r="BQ41" s="520"/>
    </row>
    <row r="42" spans="39:69">
      <c r="AM42" s="22"/>
      <c r="AN42" s="22"/>
      <c r="AR42" s="22"/>
      <c r="AS42" s="22"/>
      <c r="AW42" s="22"/>
      <c r="AX42" s="22"/>
      <c r="BB42" s="22"/>
      <c r="BC42" s="22"/>
      <c r="BG42" s="22"/>
      <c r="BH42" s="22"/>
    </row>
    <row r="43" spans="39:69">
      <c r="AM43" s="22"/>
      <c r="AN43" s="22"/>
      <c r="AR43" s="22"/>
      <c r="AS43" s="22"/>
      <c r="AW43" s="22"/>
      <c r="AX43" s="22"/>
      <c r="BB43" s="22"/>
      <c r="BC43" s="22"/>
      <c r="BG43" s="22"/>
      <c r="BH43" s="22"/>
      <c r="BN43" s="536"/>
      <c r="BO43" s="535"/>
      <c r="BP43" s="535"/>
      <c r="BQ43" s="535"/>
    </row>
    <row r="44" spans="39:69">
      <c r="AM44" s="22"/>
      <c r="AN44" s="22"/>
      <c r="AR44" s="22"/>
      <c r="AS44" s="22"/>
      <c r="AW44" s="22"/>
      <c r="AX44" s="22"/>
      <c r="BB44" s="22"/>
      <c r="BC44" s="22"/>
      <c r="BG44" s="22"/>
      <c r="BH44" s="22"/>
      <c r="BN44" s="5"/>
      <c r="BO44" s="532"/>
      <c r="BP44" s="532"/>
      <c r="BQ44" s="532"/>
    </row>
    <row r="45" spans="39:69">
      <c r="AM45" s="22"/>
      <c r="AN45" s="22"/>
      <c r="AR45" s="22"/>
      <c r="AS45" s="22"/>
      <c r="AW45" s="22"/>
      <c r="AX45" s="22"/>
      <c r="BB45" s="22"/>
      <c r="BC45" s="22"/>
      <c r="BG45" s="22"/>
      <c r="BH45" s="22"/>
      <c r="BO45" s="531"/>
      <c r="BP45" s="531"/>
      <c r="BQ45" s="531"/>
    </row>
    <row r="46" spans="39:69">
      <c r="BN46" s="5"/>
      <c r="BO46" s="532"/>
      <c r="BP46" s="532"/>
      <c r="BQ46" s="532"/>
    </row>
    <row r="47" spans="39:69">
      <c r="BO47" s="533"/>
      <c r="BP47" s="533"/>
      <c r="BQ47" s="533"/>
    </row>
    <row r="48" spans="39:69">
      <c r="BN48" s="5"/>
      <c r="BO48" s="531"/>
      <c r="BP48" s="531"/>
      <c r="BQ48" s="531"/>
    </row>
    <row r="49" spans="66:69">
      <c r="BN49" s="5"/>
      <c r="BO49" s="532"/>
      <c r="BP49" s="532"/>
      <c r="BQ49" s="532"/>
    </row>
    <row r="50" spans="66:69">
      <c r="BN50" s="5"/>
    </row>
  </sheetData>
  <pageMargins left="0.7" right="0.7" top="0.75" bottom="0.75" header="0.3" footer="0.3"/>
  <pageSetup orientation="portrait" horizontalDpi="300" verticalDpi="300"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
  <dimension ref="A1:BJ103"/>
  <sheetViews>
    <sheetView showGridLines="0" zoomScale="90" zoomScaleNormal="90" workbookViewId="0">
      <pane xSplit="1" ySplit="2" topLeftCell="Q60" activePane="bottomRight" state="frozen"/>
      <selection activeCell="AB9" sqref="AB9"/>
      <selection pane="topRight" activeCell="AB9" sqref="AB9"/>
      <selection pane="bottomLeft" activeCell="AB9" sqref="AB9"/>
      <selection pane="bottomRight" activeCell="AB36" sqref="AB36"/>
    </sheetView>
  </sheetViews>
  <sheetFormatPr defaultRowHeight="14.5"/>
  <cols>
    <col min="1" max="1" width="38.26953125" customWidth="1"/>
    <col min="2" max="21" width="12.1796875" style="26" customWidth="1"/>
    <col min="22" max="37" width="12.1796875" customWidth="1"/>
    <col min="41" max="41" width="38.7265625" customWidth="1"/>
    <col min="47" max="47" width="11.54296875" customWidth="1"/>
    <col min="48" max="48" width="10" customWidth="1"/>
    <col min="49" max="49" width="10.54296875" customWidth="1"/>
    <col min="50" max="50" width="7" customWidth="1"/>
    <col min="51" max="51" width="20.54296875" customWidth="1"/>
    <col min="52" max="52" width="6.26953125" customWidth="1"/>
    <col min="57" max="57" width="10.54296875" customWidth="1"/>
    <col min="61" max="62" width="10.54296875" customWidth="1"/>
  </cols>
  <sheetData>
    <row r="1" spans="1:62">
      <c r="A1" s="15" t="s">
        <v>442</v>
      </c>
      <c r="B1" s="68"/>
      <c r="C1" s="68"/>
      <c r="D1" s="68"/>
      <c r="E1" s="68"/>
      <c r="F1" s="68"/>
      <c r="G1" s="68"/>
      <c r="H1" s="68"/>
      <c r="I1" s="68"/>
      <c r="J1" s="68"/>
      <c r="K1" s="68"/>
      <c r="L1" s="68"/>
      <c r="M1" s="68"/>
      <c r="N1" s="68"/>
      <c r="O1" s="68"/>
      <c r="P1" s="68"/>
      <c r="Q1" s="68"/>
      <c r="R1" s="68"/>
      <c r="S1" s="68"/>
      <c r="T1" s="68"/>
      <c r="U1" s="90"/>
      <c r="V1" s="90"/>
      <c r="W1" s="90"/>
      <c r="X1" s="90"/>
      <c r="Y1" s="90"/>
      <c r="Z1" s="90"/>
      <c r="AA1" s="90"/>
      <c r="AB1" s="90"/>
      <c r="AC1" s="90"/>
      <c r="AD1" s="90"/>
      <c r="AE1" s="90"/>
      <c r="AF1" s="90"/>
      <c r="AL1" s="377" t="s">
        <v>549</v>
      </c>
      <c r="AM1" s="378"/>
      <c r="AN1" s="378"/>
      <c r="AO1" s="378"/>
      <c r="AP1" s="378"/>
      <c r="AQ1" s="379"/>
    </row>
    <row r="2" spans="1:62">
      <c r="B2" s="101" t="str">
        <f>Income_Statement_Annual!B2</f>
        <v>CY2000A</v>
      </c>
      <c r="C2" s="179" t="str">
        <f>Income_Statement_Annual!C2</f>
        <v>CY2001A</v>
      </c>
      <c r="D2" s="69" t="str">
        <f>Income_Statement_Annual!D2</f>
        <v>CY2002A</v>
      </c>
      <c r="E2" s="179" t="str">
        <f>Income_Statement_Annual!E2</f>
        <v>CY2003A</v>
      </c>
      <c r="F2" s="69" t="str">
        <f>Income_Statement_Annual!F2</f>
        <v>CY2004A</v>
      </c>
      <c r="G2" s="179" t="str">
        <f>Income_Statement_Annual!G2</f>
        <v>CY2005A</v>
      </c>
      <c r="H2" s="69" t="str">
        <f>Income_Statement_Annual!H2</f>
        <v>CY2006A</v>
      </c>
      <c r="I2" s="179" t="str">
        <f>Income_Statement_Annual!I2</f>
        <v>CY2007A</v>
      </c>
      <c r="J2" s="69" t="str">
        <f>Income_Statement_Annual!J2</f>
        <v>CY2008A</v>
      </c>
      <c r="K2" s="179" t="str">
        <f>Income_Statement_Annual!K2</f>
        <v>CY2009A</v>
      </c>
      <c r="L2" s="69" t="str">
        <f>Income_Statement_Annual!L2</f>
        <v>CY2010A</v>
      </c>
      <c r="M2" s="179" t="str">
        <f>Income_Statement_Annual!M2</f>
        <v>CY2011A</v>
      </c>
      <c r="N2" s="69" t="str">
        <f>Income_Statement_Annual!N2</f>
        <v>CY2012A</v>
      </c>
      <c r="O2" s="179" t="str">
        <f>Income_Statement_Annual!O2</f>
        <v>CY2013A</v>
      </c>
      <c r="P2" s="179" t="str">
        <f>Income_Statement_Annual!P2</f>
        <v>CY2014A</v>
      </c>
      <c r="Q2" s="179" t="str">
        <f>Income_Statement_Annual!Q2</f>
        <v>CY2015A</v>
      </c>
      <c r="R2" s="179" t="str">
        <f>Income_Statement_Annual!R2</f>
        <v>CY2016A</v>
      </c>
      <c r="S2" s="179" t="str">
        <f>Income_Statement_Annual!S2</f>
        <v>CY2017A</v>
      </c>
      <c r="T2" s="179" t="str">
        <f>Income_Statement_Annual!T2</f>
        <v>CY2018A</v>
      </c>
      <c r="U2" s="179" t="str">
        <f>Income_Statement_Annual!U2</f>
        <v>CY2019A</v>
      </c>
      <c r="V2" s="179" t="str">
        <f>Income_Statement_Annual!V2</f>
        <v>CY2020A</v>
      </c>
      <c r="W2" s="179" t="str">
        <f>Income_Statement_Annual!W2</f>
        <v>CY2021A</v>
      </c>
      <c r="X2" s="179" t="str">
        <f>Income_Statement_Annual!X2</f>
        <v>CY2022A</v>
      </c>
      <c r="Y2" s="179" t="str">
        <f>Income_Statement_Annual!Y2</f>
        <v>CY2023A</v>
      </c>
      <c r="Z2" s="179" t="str">
        <f>Income_Statement_Annual!Z2</f>
        <v>CY2024A</v>
      </c>
      <c r="AA2" s="179" t="str">
        <f>Income_Statement_Annual!AA2</f>
        <v>CY2025A</v>
      </c>
      <c r="AB2" s="179" t="str">
        <f>Income_Statement_Annual!AB2</f>
        <v>CY2026E</v>
      </c>
      <c r="AC2" s="179" t="str">
        <f>Income_Statement_Annual!AC2</f>
        <v>CY2027E</v>
      </c>
      <c r="AD2" s="179" t="str">
        <f>Income_Statement_Annual!AD2</f>
        <v>CY2028E</v>
      </c>
      <c r="AE2" s="179" t="str">
        <f>Income_Statement_Annual!AE2</f>
        <v>CY2029E</v>
      </c>
      <c r="AF2" s="179" t="str">
        <f>Income_Statement_Annual!AF2</f>
        <v>CY2030E</v>
      </c>
      <c r="AL2" s="380" t="str">
        <f t="shared" ref="AL2:AO2" si="0">V2</f>
        <v>CY2020A</v>
      </c>
      <c r="AM2" s="179" t="str">
        <f t="shared" si="0"/>
        <v>CY2021A</v>
      </c>
      <c r="AN2" s="179" t="str">
        <f t="shared" si="0"/>
        <v>CY2022A</v>
      </c>
      <c r="AO2" s="179" t="str">
        <f t="shared" si="0"/>
        <v>CY2023A</v>
      </c>
      <c r="AP2" s="179" t="str">
        <f>Z2</f>
        <v>CY2024A</v>
      </c>
      <c r="AQ2" s="381" t="str">
        <f>AA2</f>
        <v>CY2025A</v>
      </c>
      <c r="AS2" s="531" t="s">
        <v>208</v>
      </c>
      <c r="AT2" s="531" t="s">
        <v>595</v>
      </c>
      <c r="AU2" s="531" t="s">
        <v>626</v>
      </c>
      <c r="AV2" s="531" t="s">
        <v>646</v>
      </c>
      <c r="AW2" s="531" t="s">
        <v>647</v>
      </c>
      <c r="AY2" s="5"/>
    </row>
    <row r="3" spans="1:62">
      <c r="A3" s="9" t="s">
        <v>443</v>
      </c>
      <c r="B3" s="92"/>
      <c r="C3" s="92"/>
      <c r="D3" s="296">
        <f t="shared" ref="D3" si="1">D4/12</f>
        <v>18.583333333333332</v>
      </c>
      <c r="E3" s="296">
        <f t="shared" ref="E3" si="2">E4/12</f>
        <v>14.416666666666666</v>
      </c>
      <c r="F3" s="296">
        <f t="shared" ref="F3" si="3">F4/12</f>
        <v>16.833333333333332</v>
      </c>
      <c r="G3" s="296">
        <f t="shared" ref="G3" si="4">G4/12</f>
        <v>17.666666666666668</v>
      </c>
      <c r="H3" s="296">
        <f t="shared" ref="H3" si="5">H4/12</f>
        <v>25.166666666666668</v>
      </c>
      <c r="I3" s="296">
        <f t="shared" ref="I3" si="6">I4/12</f>
        <v>27.5</v>
      </c>
      <c r="J3" s="296">
        <f t="shared" ref="J3" si="7">J4/12</f>
        <v>24.166666666666668</v>
      </c>
      <c r="K3" s="296">
        <f t="shared" ref="K3" si="8">K4/12</f>
        <v>31</v>
      </c>
      <c r="L3" s="296">
        <f t="shared" ref="L3:Q3" si="9">L4/12</f>
        <v>31.333333333333332</v>
      </c>
      <c r="M3" s="296">
        <f t="shared" si="9"/>
        <v>31</v>
      </c>
      <c r="N3" s="296">
        <f t="shared" si="9"/>
        <v>34.583333333333336</v>
      </c>
      <c r="O3" s="296">
        <f t="shared" si="9"/>
        <v>36.666666666666664</v>
      </c>
      <c r="P3" s="296">
        <f t="shared" si="9"/>
        <v>40.416666666666664</v>
      </c>
      <c r="Q3" s="296">
        <f t="shared" si="9"/>
        <v>41.25</v>
      </c>
      <c r="R3" s="296">
        <f>R4/12</f>
        <v>40.833333333333336</v>
      </c>
      <c r="S3" s="296">
        <f>S4/12</f>
        <v>44.083333333333336</v>
      </c>
      <c r="T3" s="296">
        <f t="shared" ref="T3:X3" si="10">T4/12</f>
        <v>48.333333333333336</v>
      </c>
      <c r="U3" s="296">
        <f t="shared" si="10"/>
        <v>10.583333333333334</v>
      </c>
      <c r="V3" s="296">
        <f t="shared" si="10"/>
        <v>3.5833333333333335</v>
      </c>
      <c r="W3" s="296">
        <f t="shared" si="10"/>
        <v>21.916666666666668</v>
      </c>
      <c r="X3" s="296">
        <f t="shared" si="10"/>
        <v>32.25</v>
      </c>
      <c r="Y3" s="296">
        <f t="shared" ref="Y3:AF3" si="11">Y4/12</f>
        <v>33</v>
      </c>
      <c r="Z3" s="296">
        <f t="shared" si="11"/>
        <v>22.083333333333332</v>
      </c>
      <c r="AA3" s="296">
        <f t="shared" si="11"/>
        <v>37.25</v>
      </c>
      <c r="AB3" s="296">
        <f t="shared" si="11"/>
        <v>41.5</v>
      </c>
      <c r="AC3" s="296">
        <f t="shared" si="11"/>
        <v>48.25</v>
      </c>
      <c r="AD3" s="296">
        <f t="shared" si="11"/>
        <v>52</v>
      </c>
      <c r="AE3" s="296">
        <f t="shared" si="11"/>
        <v>52</v>
      </c>
      <c r="AF3" s="296">
        <f t="shared" si="11"/>
        <v>52</v>
      </c>
      <c r="AL3" s="393"/>
      <c r="AM3" s="296"/>
      <c r="AN3" s="296"/>
      <c r="AO3" s="296"/>
      <c r="AP3" s="296"/>
      <c r="AQ3" s="394"/>
      <c r="AS3" s="530">
        <v>36.25</v>
      </c>
      <c r="AT3" s="530">
        <v>40</v>
      </c>
      <c r="AU3" s="530">
        <v>49</v>
      </c>
      <c r="AV3" s="530">
        <v>52</v>
      </c>
      <c r="AW3" s="530">
        <v>52</v>
      </c>
      <c r="AX3" s="440"/>
      <c r="AY3" s="488"/>
      <c r="AZ3" s="488"/>
      <c r="BA3" s="488"/>
      <c r="BB3" s="488"/>
      <c r="BC3" s="488"/>
      <c r="BD3" s="488"/>
      <c r="BE3" s="434"/>
      <c r="BH3" s="435"/>
    </row>
    <row r="4" spans="1:62">
      <c r="A4" s="1">
        <v>737</v>
      </c>
      <c r="B4" s="38">
        <f>BCA_Deliveries_Annual!B5</f>
        <v>281</v>
      </c>
      <c r="C4" s="38">
        <f>BCA_Deliveries_Annual!C5</f>
        <v>299</v>
      </c>
      <c r="D4" s="38">
        <f>BCA_Deliveries_Annual!D5</f>
        <v>223</v>
      </c>
      <c r="E4" s="38">
        <f>BCA_Deliveries_Annual!E5</f>
        <v>173</v>
      </c>
      <c r="F4" s="38">
        <f>BCA_Deliveries_Annual!F5</f>
        <v>202</v>
      </c>
      <c r="G4" s="38">
        <f>BCA_Deliveries_Annual!G5</f>
        <v>212</v>
      </c>
      <c r="H4" s="38">
        <f>BCA_Deliveries_Annual!H5</f>
        <v>302</v>
      </c>
      <c r="I4" s="38">
        <f>BCA_Deliveries_Annual!I5</f>
        <v>330</v>
      </c>
      <c r="J4" s="38">
        <f>BCA_Deliveries_Annual!J5</f>
        <v>290</v>
      </c>
      <c r="K4" s="38">
        <f>BCA_Deliveries_Annual!K5</f>
        <v>372</v>
      </c>
      <c r="L4" s="38">
        <f>BCA_Deliveries_Annual!L5</f>
        <v>376</v>
      </c>
      <c r="M4" s="38">
        <f>BCA_Deliveries_Annual!M5</f>
        <v>372</v>
      </c>
      <c r="N4" s="38">
        <f>BCA_Deliveries_Annual!N5</f>
        <v>415</v>
      </c>
      <c r="O4" s="38">
        <f>BCA_Deliveries_Annual!O5</f>
        <v>440</v>
      </c>
      <c r="P4" s="38">
        <f>BCA_Deliveries_Annual!P5</f>
        <v>485</v>
      </c>
      <c r="Q4" s="38">
        <f>BCA_Deliveries_Annual!Q5</f>
        <v>495</v>
      </c>
      <c r="R4" s="38">
        <f>BCA_Deliveries_Annual!R5</f>
        <v>490</v>
      </c>
      <c r="S4" s="38">
        <f>BCA_Deliveries_Annual!S5</f>
        <v>529</v>
      </c>
      <c r="T4" s="38">
        <f>BCA_Deliveries_Annual!T5</f>
        <v>580</v>
      </c>
      <c r="U4" s="38">
        <f>BCA_Deliveries_Annual!U5</f>
        <v>127</v>
      </c>
      <c r="V4" s="38">
        <f>BCA_Deliveries_Annual!V5</f>
        <v>43</v>
      </c>
      <c r="W4" s="38">
        <f>BCA_Deliveries_Annual!W5</f>
        <v>263</v>
      </c>
      <c r="X4" s="38">
        <f>BCA_Deliveries_Annual!X5</f>
        <v>387</v>
      </c>
      <c r="Y4" s="38">
        <f>BCA_Deliveries_Annual!Y5</f>
        <v>396</v>
      </c>
      <c r="Z4" s="38">
        <f>BCA_Deliveries_Annual!Z5</f>
        <v>265</v>
      </c>
      <c r="AA4" s="38">
        <f>BCA_Deliveries_Annual!AA5</f>
        <v>447</v>
      </c>
      <c r="AB4" s="43">
        <f>40*3+42*9</f>
        <v>498</v>
      </c>
      <c r="AC4" s="43">
        <f>47*9+52*3</f>
        <v>579</v>
      </c>
      <c r="AD4" s="43">
        <f>52*12</f>
        <v>624</v>
      </c>
      <c r="AE4" s="43">
        <f>52*12</f>
        <v>624</v>
      </c>
      <c r="AF4" s="43">
        <f>52*12</f>
        <v>624</v>
      </c>
      <c r="AG4" s="109" t="s">
        <v>683</v>
      </c>
      <c r="AH4" s="109"/>
      <c r="AI4" s="109"/>
      <c r="AJ4" s="109"/>
      <c r="AK4" s="109"/>
      <c r="AL4" s="391"/>
      <c r="AM4" s="43"/>
      <c r="AN4" s="43">
        <v>500</v>
      </c>
      <c r="AO4" s="43"/>
      <c r="AP4" s="43"/>
      <c r="AQ4" s="392"/>
      <c r="AS4" s="530">
        <v>435</v>
      </c>
      <c r="AT4" s="530">
        <v>480</v>
      </c>
      <c r="AU4" s="530">
        <v>588</v>
      </c>
      <c r="AV4" s="530">
        <v>624</v>
      </c>
      <c r="AW4" s="530">
        <v>624</v>
      </c>
      <c r="AX4" s="441"/>
      <c r="AY4" s="489"/>
      <c r="AZ4" s="489"/>
      <c r="BA4" s="489"/>
      <c r="BB4" s="489"/>
      <c r="BC4" s="489"/>
      <c r="BD4" s="441"/>
      <c r="BE4" s="414"/>
      <c r="BF4" s="414"/>
      <c r="BI4" s="414"/>
    </row>
    <row r="5" spans="1:62">
      <c r="A5" s="1">
        <v>747</v>
      </c>
      <c r="B5" s="38">
        <f>BCA_Deliveries_Annual!B6</f>
        <v>25</v>
      </c>
      <c r="C5" s="38">
        <f>BCA_Deliveries_Annual!C6</f>
        <v>31</v>
      </c>
      <c r="D5" s="38">
        <f>BCA_Deliveries_Annual!D6</f>
        <v>27</v>
      </c>
      <c r="E5" s="38">
        <f>BCA_Deliveries_Annual!E6</f>
        <v>19</v>
      </c>
      <c r="F5" s="38">
        <f>BCA_Deliveries_Annual!F6</f>
        <v>15</v>
      </c>
      <c r="G5" s="38">
        <f>BCA_Deliveries_Annual!G6</f>
        <v>13</v>
      </c>
      <c r="H5" s="38">
        <f>BCA_Deliveries_Annual!H6</f>
        <v>14</v>
      </c>
      <c r="I5" s="38">
        <f>BCA_Deliveries_Annual!I6</f>
        <v>16</v>
      </c>
      <c r="J5" s="38">
        <f>BCA_Deliveries_Annual!J6</f>
        <v>14</v>
      </c>
      <c r="K5" s="38">
        <f>BCA_Deliveries_Annual!K6</f>
        <v>8</v>
      </c>
      <c r="L5" s="38">
        <f>BCA_Deliveries_Annual!L6</f>
        <v>0</v>
      </c>
      <c r="M5" s="38">
        <f>BCA_Deliveries_Annual!M6</f>
        <v>9</v>
      </c>
      <c r="N5" s="38">
        <f>BCA_Deliveries_Annual!N6</f>
        <v>31</v>
      </c>
      <c r="O5" s="38">
        <f>BCA_Deliveries_Annual!O6</f>
        <v>24</v>
      </c>
      <c r="P5" s="38">
        <f>BCA_Deliveries_Annual!P6</f>
        <v>19</v>
      </c>
      <c r="Q5" s="38">
        <f>BCA_Deliveries_Annual!Q6</f>
        <v>18</v>
      </c>
      <c r="R5" s="38">
        <f>BCA_Deliveries_Annual!R6</f>
        <v>9</v>
      </c>
      <c r="S5" s="38">
        <f>BCA_Deliveries_Annual!S6</f>
        <v>14</v>
      </c>
      <c r="T5" s="38">
        <f>BCA_Deliveries_Annual!T6</f>
        <v>6</v>
      </c>
      <c r="U5" s="38">
        <f>BCA_Deliveries_Annual!U6</f>
        <v>7</v>
      </c>
      <c r="V5" s="38">
        <f>BCA_Deliveries_Annual!V6</f>
        <v>5</v>
      </c>
      <c r="W5" s="38">
        <f>BCA_Deliveries_Annual!W6</f>
        <v>7</v>
      </c>
      <c r="X5" s="38">
        <f>BCA_Deliveries_Annual!X6</f>
        <v>5</v>
      </c>
      <c r="Y5" s="38">
        <f>BCA_Deliveries_Annual!Y6</f>
        <v>1</v>
      </c>
      <c r="Z5" s="38">
        <f>BCA_Deliveries_Annual!Z6</f>
        <v>0</v>
      </c>
      <c r="AA5" s="38">
        <f>BCA_Deliveries_Annual!AA6</f>
        <v>0</v>
      </c>
      <c r="AB5" s="43">
        <v>0</v>
      </c>
      <c r="AC5" s="43">
        <v>0</v>
      </c>
      <c r="AD5" s="43">
        <v>0</v>
      </c>
      <c r="AE5" s="43">
        <v>0</v>
      </c>
      <c r="AF5" s="43">
        <v>0</v>
      </c>
      <c r="AG5" s="109"/>
      <c r="AH5" s="109"/>
      <c r="AI5" s="109"/>
      <c r="AJ5" s="109"/>
      <c r="AK5" s="109"/>
      <c r="AL5" s="391"/>
      <c r="AM5" s="43"/>
      <c r="AN5" s="43"/>
      <c r="AO5" s="43"/>
      <c r="AP5" s="43"/>
      <c r="AQ5" s="392"/>
      <c r="AS5" s="530">
        <v>0</v>
      </c>
      <c r="AT5" s="530">
        <v>0</v>
      </c>
      <c r="AU5" s="530">
        <v>0</v>
      </c>
      <c r="AV5" s="530">
        <v>0</v>
      </c>
      <c r="AW5" s="530">
        <v>0</v>
      </c>
      <c r="AX5" s="441"/>
      <c r="AY5" s="489"/>
      <c r="AZ5" s="489"/>
      <c r="BA5" s="489"/>
      <c r="BB5" s="489"/>
      <c r="BC5" s="489"/>
      <c r="BD5" s="441"/>
      <c r="BE5" s="414"/>
      <c r="BF5" s="414"/>
      <c r="BI5" s="414"/>
    </row>
    <row r="6" spans="1:62">
      <c r="A6" s="1">
        <v>767</v>
      </c>
      <c r="B6" s="38">
        <f>BCA_Deliveries_Annual!B7</f>
        <v>44</v>
      </c>
      <c r="C6" s="38">
        <f>BCA_Deliveries_Annual!C7</f>
        <v>40</v>
      </c>
      <c r="D6" s="38">
        <f>BCA_Deliveries_Annual!D7</f>
        <v>35</v>
      </c>
      <c r="E6" s="38">
        <f>BCA_Deliveries_Annual!E7</f>
        <v>24</v>
      </c>
      <c r="F6" s="38">
        <f>BCA_Deliveries_Annual!F7</f>
        <v>9</v>
      </c>
      <c r="G6" s="38">
        <f>BCA_Deliveries_Annual!G7</f>
        <v>10</v>
      </c>
      <c r="H6" s="38">
        <f>BCA_Deliveries_Annual!H7</f>
        <v>12</v>
      </c>
      <c r="I6" s="38">
        <f>BCA_Deliveries_Annual!I7</f>
        <v>12</v>
      </c>
      <c r="J6" s="38">
        <f>BCA_Deliveries_Annual!J7</f>
        <v>10</v>
      </c>
      <c r="K6" s="38">
        <f>BCA_Deliveries_Annual!K7</f>
        <v>13</v>
      </c>
      <c r="L6" s="38">
        <f>BCA_Deliveries_Annual!L7</f>
        <v>12</v>
      </c>
      <c r="M6" s="38">
        <f>BCA_Deliveries_Annual!M7</f>
        <v>20</v>
      </c>
      <c r="N6" s="38">
        <f>BCA_Deliveries_Annual!N7</f>
        <v>26</v>
      </c>
      <c r="O6" s="38">
        <f>BCA_Deliveries_Annual!O7</f>
        <v>21</v>
      </c>
      <c r="P6" s="38">
        <f>BCA_Deliveries_Annual!P7</f>
        <v>6</v>
      </c>
      <c r="Q6" s="38">
        <f>BCA_Deliveries_Annual!Q7</f>
        <v>16</v>
      </c>
      <c r="R6" s="38">
        <f>BCA_Deliveries_Annual!R7</f>
        <v>13</v>
      </c>
      <c r="S6" s="38">
        <f>BCA_Deliveries_Annual!S7</f>
        <v>10</v>
      </c>
      <c r="T6" s="38">
        <f>BCA_Deliveries_Annual!T7</f>
        <v>27</v>
      </c>
      <c r="U6" s="38">
        <f>BCA_Deliveries_Annual!U7</f>
        <v>43</v>
      </c>
      <c r="V6" s="38">
        <f>BCA_Deliveries_Annual!V7</f>
        <v>30</v>
      </c>
      <c r="W6" s="38">
        <f>BCA_Deliveries_Annual!W7</f>
        <v>32</v>
      </c>
      <c r="X6" s="38">
        <f>BCA_Deliveries_Annual!X7</f>
        <v>33</v>
      </c>
      <c r="Y6" s="38">
        <f>BCA_Deliveries_Annual!Y7</f>
        <v>32</v>
      </c>
      <c r="Z6" s="38">
        <f>BCA_Deliveries_Annual!Z7</f>
        <v>18</v>
      </c>
      <c r="AA6" s="38">
        <f>BCA_Deliveries_Annual!AA7</f>
        <v>30</v>
      </c>
      <c r="AB6" s="43">
        <f>3*12</f>
        <v>36</v>
      </c>
      <c r="AC6" s="43">
        <v>0</v>
      </c>
      <c r="AD6" s="43">
        <v>0</v>
      </c>
      <c r="AE6" s="43">
        <v>0</v>
      </c>
      <c r="AF6" s="43">
        <v>0</v>
      </c>
      <c r="AG6" s="109"/>
      <c r="AH6" s="109"/>
      <c r="AI6" s="109"/>
      <c r="AJ6" s="109"/>
      <c r="AK6" s="109"/>
      <c r="AL6" s="391"/>
      <c r="AM6" s="43"/>
      <c r="AN6" s="43"/>
      <c r="AO6" s="43"/>
      <c r="AP6" s="43"/>
      <c r="AQ6" s="392"/>
      <c r="AS6" s="530">
        <v>30</v>
      </c>
      <c r="AT6" s="530">
        <v>36</v>
      </c>
      <c r="AU6" s="530">
        <v>0</v>
      </c>
      <c r="AV6" s="530">
        <v>0</v>
      </c>
      <c r="AW6" s="530">
        <v>0</v>
      </c>
      <c r="AX6" s="441"/>
      <c r="AY6" s="489"/>
      <c r="AZ6" s="489"/>
      <c r="BA6" s="489"/>
      <c r="BB6" s="489"/>
      <c r="BC6" s="489"/>
      <c r="BD6" s="441"/>
      <c r="BE6" s="414"/>
      <c r="BF6" s="414"/>
      <c r="BI6" s="414"/>
    </row>
    <row r="7" spans="1:62">
      <c r="A7" s="1">
        <v>777</v>
      </c>
      <c r="B7" s="38">
        <f>BCA_Deliveries_Annual!B8</f>
        <v>55</v>
      </c>
      <c r="C7" s="38">
        <f>BCA_Deliveries_Annual!C8</f>
        <v>61</v>
      </c>
      <c r="D7" s="38">
        <f>BCA_Deliveries_Annual!D8</f>
        <v>47</v>
      </c>
      <c r="E7" s="38">
        <f>BCA_Deliveries_Annual!E8</f>
        <v>39</v>
      </c>
      <c r="F7" s="38">
        <f>BCA_Deliveries_Annual!F8</f>
        <v>36</v>
      </c>
      <c r="G7" s="38">
        <f>BCA_Deliveries_Annual!G8</f>
        <v>40</v>
      </c>
      <c r="H7" s="38">
        <f>BCA_Deliveries_Annual!H8</f>
        <v>65</v>
      </c>
      <c r="I7" s="38">
        <f>BCA_Deliveries_Annual!I8</f>
        <v>83</v>
      </c>
      <c r="J7" s="38">
        <f>BCA_Deliveries_Annual!J8</f>
        <v>61</v>
      </c>
      <c r="K7" s="38">
        <f>BCA_Deliveries_Annual!K8</f>
        <v>88</v>
      </c>
      <c r="L7" s="38">
        <f>BCA_Deliveries_Annual!L8</f>
        <v>74</v>
      </c>
      <c r="M7" s="38">
        <f>BCA_Deliveries_Annual!M8</f>
        <v>73</v>
      </c>
      <c r="N7" s="38">
        <f>BCA_Deliveries_Annual!N8</f>
        <v>83</v>
      </c>
      <c r="O7" s="38">
        <f>BCA_Deliveries_Annual!O8</f>
        <v>98</v>
      </c>
      <c r="P7" s="38">
        <f>BCA_Deliveries_Annual!P8</f>
        <v>99</v>
      </c>
      <c r="Q7" s="38">
        <f>BCA_Deliveries_Annual!Q8</f>
        <v>98</v>
      </c>
      <c r="R7" s="38">
        <f>BCA_Deliveries_Annual!R8</f>
        <v>99</v>
      </c>
      <c r="S7" s="38">
        <f>BCA_Deliveries_Annual!S8</f>
        <v>74</v>
      </c>
      <c r="T7" s="38">
        <f>BCA_Deliveries_Annual!T8</f>
        <v>48</v>
      </c>
      <c r="U7" s="38">
        <f>BCA_Deliveries_Annual!U8</f>
        <v>45</v>
      </c>
      <c r="V7" s="38">
        <f>BCA_Deliveries_Annual!V8</f>
        <v>26</v>
      </c>
      <c r="W7" s="38">
        <f>BCA_Deliveries_Annual!W8</f>
        <v>24</v>
      </c>
      <c r="X7" s="38">
        <f>BCA_Deliveries_Annual!X8</f>
        <v>24</v>
      </c>
      <c r="Y7" s="38">
        <f>BCA_Deliveries_Annual!Y8</f>
        <v>26</v>
      </c>
      <c r="Z7" s="38">
        <f>BCA_Deliveries_Annual!Z8</f>
        <v>14</v>
      </c>
      <c r="AA7" s="38">
        <f>BCA_Deliveries_Annual!AA8</f>
        <v>35</v>
      </c>
      <c r="AB7" s="43">
        <f>3*12</f>
        <v>36</v>
      </c>
      <c r="AC7" s="43">
        <f>4*12</f>
        <v>48</v>
      </c>
      <c r="AD7" s="43">
        <f>4*12</f>
        <v>48</v>
      </c>
      <c r="AE7" s="43">
        <f>4*12</f>
        <v>48</v>
      </c>
      <c r="AF7" s="43">
        <f>4*12</f>
        <v>48</v>
      </c>
      <c r="AG7" s="109"/>
      <c r="AH7" s="109"/>
      <c r="AI7" s="109"/>
      <c r="AJ7" s="109"/>
      <c r="AK7" s="109"/>
      <c r="AL7" s="391"/>
      <c r="AM7" s="43"/>
      <c r="AN7" s="43"/>
      <c r="AO7" s="43"/>
      <c r="AP7" s="43"/>
      <c r="AQ7" s="392"/>
      <c r="AS7" s="530">
        <v>32</v>
      </c>
      <c r="AT7" s="530">
        <v>36</v>
      </c>
      <c r="AU7" s="530">
        <v>48</v>
      </c>
      <c r="AV7" s="530">
        <v>48</v>
      </c>
      <c r="AW7" s="530">
        <v>48</v>
      </c>
      <c r="AX7" s="441"/>
      <c r="AY7" s="489"/>
      <c r="AZ7" s="489"/>
      <c r="BA7" s="489"/>
      <c r="BB7" s="489"/>
      <c r="BC7" s="489"/>
      <c r="BD7" s="441"/>
      <c r="BE7" s="414"/>
      <c r="BF7" s="414"/>
      <c r="BI7" s="414"/>
    </row>
    <row r="8" spans="1:62">
      <c r="A8" s="1">
        <v>787</v>
      </c>
      <c r="B8" s="38">
        <f>BCA_Deliveries_Annual!B9</f>
        <v>0</v>
      </c>
      <c r="C8" s="38">
        <f>BCA_Deliveries_Annual!C9</f>
        <v>0</v>
      </c>
      <c r="D8" s="38">
        <f>BCA_Deliveries_Annual!D9</f>
        <v>0</v>
      </c>
      <c r="E8" s="38">
        <f>BCA_Deliveries_Annual!E9</f>
        <v>0</v>
      </c>
      <c r="F8" s="38">
        <f>BCA_Deliveries_Annual!F9</f>
        <v>0</v>
      </c>
      <c r="G8" s="38">
        <f>BCA_Deliveries_Annual!G9</f>
        <v>0</v>
      </c>
      <c r="H8" s="38">
        <f>BCA_Deliveries_Annual!H9</f>
        <v>0</v>
      </c>
      <c r="I8" s="38">
        <f>BCA_Deliveries_Annual!I9</f>
        <v>0</v>
      </c>
      <c r="J8" s="38">
        <f>BCA_Deliveries_Annual!J9</f>
        <v>0</v>
      </c>
      <c r="K8" s="38">
        <f>BCA_Deliveries_Annual!K9</f>
        <v>0</v>
      </c>
      <c r="L8" s="38">
        <f>BCA_Deliveries_Annual!L9</f>
        <v>0</v>
      </c>
      <c r="M8" s="38">
        <f>BCA_Deliveries_Annual!M9</f>
        <v>3</v>
      </c>
      <c r="N8" s="38">
        <f>BCA_Deliveries_Annual!N9</f>
        <v>46</v>
      </c>
      <c r="O8" s="38">
        <f>BCA_Deliveries_Annual!O9</f>
        <v>65</v>
      </c>
      <c r="P8" s="38">
        <f>BCA_Deliveries_Annual!P9</f>
        <v>114</v>
      </c>
      <c r="Q8" s="38">
        <f>BCA_Deliveries_Annual!Q9</f>
        <v>135</v>
      </c>
      <c r="R8" s="38">
        <f>BCA_Deliveries_Annual!R9</f>
        <v>137</v>
      </c>
      <c r="S8" s="38">
        <f>BCA_Deliveries_Annual!S9</f>
        <v>136</v>
      </c>
      <c r="T8" s="38">
        <f>BCA_Deliveries_Annual!T9</f>
        <v>145</v>
      </c>
      <c r="U8" s="38">
        <f>BCA_Deliveries_Annual!U9</f>
        <v>158</v>
      </c>
      <c r="V8" s="38">
        <f>BCA_Deliveries_Annual!V9</f>
        <v>53</v>
      </c>
      <c r="W8" s="38">
        <f>BCA_Deliveries_Annual!W9</f>
        <v>14</v>
      </c>
      <c r="X8" s="38">
        <f>BCA_Deliveries_Annual!X9</f>
        <v>31</v>
      </c>
      <c r="Y8" s="38">
        <f>BCA_Deliveries_Annual!Y9</f>
        <v>73</v>
      </c>
      <c r="Z8" s="38">
        <f>BCA_Deliveries_Annual!Z9</f>
        <v>51</v>
      </c>
      <c r="AA8" s="38">
        <f>BCA_Deliveries_Annual!AA9</f>
        <v>88</v>
      </c>
      <c r="AB8" s="43">
        <f>8*12+(5)</f>
        <v>101</v>
      </c>
      <c r="AC8" s="43">
        <f>10*12</f>
        <v>120</v>
      </c>
      <c r="AD8" s="43">
        <f>10*12</f>
        <v>120</v>
      </c>
      <c r="AE8" s="43">
        <f>10*12</f>
        <v>120</v>
      </c>
      <c r="AF8" s="43">
        <f>10*12</f>
        <v>120</v>
      </c>
      <c r="AG8" s="109" t="s">
        <v>684</v>
      </c>
      <c r="AH8" s="109"/>
      <c r="AI8" s="109"/>
      <c r="AJ8" s="109"/>
      <c r="AK8" s="109"/>
      <c r="AL8" s="391"/>
      <c r="AM8" s="43"/>
      <c r="AN8" s="43"/>
      <c r="AO8" s="43"/>
      <c r="AP8" s="43"/>
      <c r="AQ8" s="392"/>
      <c r="AS8" s="530">
        <v>84</v>
      </c>
      <c r="AT8" s="530">
        <v>103</v>
      </c>
      <c r="AU8" s="530">
        <v>120</v>
      </c>
      <c r="AV8" s="530">
        <v>120</v>
      </c>
      <c r="AW8" s="530">
        <v>120</v>
      </c>
      <c r="AX8" s="441"/>
      <c r="AY8" s="489"/>
      <c r="AZ8" s="489"/>
      <c r="BA8" s="489"/>
      <c r="BB8" s="489"/>
      <c r="BC8" s="489"/>
      <c r="BD8" s="441"/>
      <c r="BE8" s="414"/>
      <c r="BF8" s="414"/>
      <c r="BI8" s="414"/>
    </row>
    <row r="9" spans="1:62">
      <c r="A9" s="1">
        <v>717</v>
      </c>
      <c r="B9" s="38">
        <f>BCA_Deliveries_Annual!B10</f>
        <v>32</v>
      </c>
      <c r="C9" s="38">
        <f>BCA_Deliveries_Annual!C10</f>
        <v>49</v>
      </c>
      <c r="D9" s="38">
        <f>BCA_Deliveries_Annual!D10</f>
        <v>20</v>
      </c>
      <c r="E9" s="38">
        <f>BCA_Deliveries_Annual!E10</f>
        <v>12</v>
      </c>
      <c r="F9" s="38">
        <f>BCA_Deliveries_Annual!F10</f>
        <v>12</v>
      </c>
      <c r="G9" s="38">
        <f>BCA_Deliveries_Annual!G10</f>
        <v>13</v>
      </c>
      <c r="H9" s="38">
        <f>BCA_Deliveries_Annual!H10</f>
        <v>5</v>
      </c>
      <c r="I9" s="38">
        <f>BCA_Deliveries_Annual!I10</f>
        <v>0</v>
      </c>
      <c r="J9" s="38">
        <f>BCA_Deliveries_Annual!J10</f>
        <v>0</v>
      </c>
      <c r="K9" s="38">
        <f>BCA_Deliveries_Annual!K10</f>
        <v>0</v>
      </c>
      <c r="L9" s="38">
        <f>BCA_Deliveries_Annual!L10</f>
        <v>0</v>
      </c>
      <c r="M9" s="38">
        <f>BCA_Deliveries_Annual!M10</f>
        <v>0</v>
      </c>
      <c r="N9" s="38">
        <f>BCA_Deliveries_Annual!N10</f>
        <v>0</v>
      </c>
      <c r="O9" s="38">
        <f>BCA_Deliveries_Annual!O10</f>
        <v>0</v>
      </c>
      <c r="P9" s="38">
        <f>BCA_Deliveries_Annual!P10</f>
        <v>0</v>
      </c>
      <c r="Q9" s="38">
        <f>BCA_Deliveries_Annual!Q10</f>
        <v>0</v>
      </c>
      <c r="R9" s="38">
        <f>BCA_Deliveries_Annual!R10</f>
        <v>0</v>
      </c>
      <c r="S9" s="38">
        <f>BCA_Deliveries_Annual!S10</f>
        <v>0</v>
      </c>
      <c r="T9" s="38">
        <f>BCA_Deliveries_Annual!T10</f>
        <v>0</v>
      </c>
      <c r="U9" s="38">
        <f>BCA_Deliveries_Annual!U10</f>
        <v>0</v>
      </c>
      <c r="V9" s="38">
        <f>BCA_Deliveries_Annual!V10</f>
        <v>0</v>
      </c>
      <c r="W9" s="38">
        <f>BCA_Deliveries_Annual!W10</f>
        <v>0</v>
      </c>
      <c r="X9" s="38">
        <f>BCA_Deliveries_Annual!X10</f>
        <v>0</v>
      </c>
      <c r="Y9" s="38">
        <f ca="1">BCA_Deliveries_Annual!Y10</f>
        <v>0</v>
      </c>
      <c r="Z9" s="38">
        <f>BCA_Deliveries_Annual!Z10</f>
        <v>0</v>
      </c>
      <c r="AA9" s="38">
        <f>BCA_Deliveries_Annual!AA10</f>
        <v>0</v>
      </c>
      <c r="AB9" s="43">
        <v>0</v>
      </c>
      <c r="AC9" s="43">
        <v>0</v>
      </c>
      <c r="AD9" s="43">
        <v>0</v>
      </c>
      <c r="AE9" s="43">
        <v>0</v>
      </c>
      <c r="AF9" s="43">
        <v>0</v>
      </c>
      <c r="AG9" s="109"/>
      <c r="AH9" s="109"/>
      <c r="AI9" s="109"/>
      <c r="AJ9" s="109"/>
      <c r="AK9" s="109"/>
      <c r="AL9" s="391"/>
      <c r="AM9" s="43"/>
      <c r="AN9" s="43"/>
      <c r="AO9" s="43"/>
      <c r="AP9" s="43"/>
      <c r="AQ9" s="392"/>
      <c r="AS9" s="530">
        <v>0</v>
      </c>
      <c r="AT9" s="530">
        <v>0</v>
      </c>
      <c r="AU9" s="530">
        <v>0</v>
      </c>
      <c r="AV9" s="530">
        <v>0</v>
      </c>
      <c r="AW9" s="530">
        <v>0</v>
      </c>
      <c r="AX9" s="441"/>
      <c r="AY9" s="489"/>
      <c r="AZ9" s="489"/>
      <c r="BA9" s="489"/>
      <c r="BB9" s="489"/>
      <c r="BC9" s="489"/>
      <c r="BD9" s="441"/>
      <c r="BE9" s="414"/>
      <c r="BF9" s="414"/>
      <c r="BI9" s="414"/>
    </row>
    <row r="10" spans="1:62">
      <c r="A10" s="1">
        <v>757</v>
      </c>
      <c r="B10" s="38">
        <f>BCA_Deliveries_Annual!B11</f>
        <v>45</v>
      </c>
      <c r="C10" s="38">
        <f>BCA_Deliveries_Annual!C11</f>
        <v>45</v>
      </c>
      <c r="D10" s="38">
        <f>BCA_Deliveries_Annual!D11</f>
        <v>29</v>
      </c>
      <c r="E10" s="38">
        <f>BCA_Deliveries_Annual!E11</f>
        <v>14</v>
      </c>
      <c r="F10" s="38">
        <f>BCA_Deliveries_Annual!F11</f>
        <v>11</v>
      </c>
      <c r="G10" s="38">
        <f>BCA_Deliveries_Annual!G11</f>
        <v>2</v>
      </c>
      <c r="H10" s="38">
        <f>BCA_Deliveries_Annual!H11</f>
        <v>0</v>
      </c>
      <c r="I10" s="38">
        <f>BCA_Deliveries_Annual!I11</f>
        <v>0</v>
      </c>
      <c r="J10" s="38">
        <f>BCA_Deliveries_Annual!J11</f>
        <v>0</v>
      </c>
      <c r="K10" s="38">
        <f>BCA_Deliveries_Annual!K11</f>
        <v>0</v>
      </c>
      <c r="L10" s="38">
        <f>BCA_Deliveries_Annual!L11</f>
        <v>0</v>
      </c>
      <c r="M10" s="38">
        <f>BCA_Deliveries_Annual!M11</f>
        <v>0</v>
      </c>
      <c r="N10" s="38">
        <f>BCA_Deliveries_Annual!N11</f>
        <v>0</v>
      </c>
      <c r="O10" s="38">
        <f>BCA_Deliveries_Annual!O11</f>
        <v>0</v>
      </c>
      <c r="P10" s="38">
        <f>BCA_Deliveries_Annual!P11</f>
        <v>0</v>
      </c>
      <c r="Q10" s="38">
        <f>BCA_Deliveries_Annual!Q11</f>
        <v>0</v>
      </c>
      <c r="R10" s="38">
        <f>BCA_Deliveries_Annual!R11</f>
        <v>0</v>
      </c>
      <c r="S10" s="38">
        <f>BCA_Deliveries_Annual!S11</f>
        <v>0</v>
      </c>
      <c r="T10" s="38">
        <f>BCA_Deliveries_Annual!T11</f>
        <v>0</v>
      </c>
      <c r="U10" s="38">
        <f>BCA_Deliveries_Annual!U11</f>
        <v>0</v>
      </c>
      <c r="V10" s="38">
        <f>BCA_Deliveries_Annual!V11</f>
        <v>0</v>
      </c>
      <c r="W10" s="38">
        <f>BCA_Deliveries_Annual!W11</f>
        <v>0</v>
      </c>
      <c r="X10" s="38">
        <f>BCA_Deliveries_Annual!X11</f>
        <v>0</v>
      </c>
      <c r="Y10" s="38">
        <f ca="1">BCA_Deliveries_Annual!Y11</f>
        <v>0</v>
      </c>
      <c r="Z10" s="38">
        <f>BCA_Deliveries_Annual!Z11</f>
        <v>0</v>
      </c>
      <c r="AA10" s="38">
        <f>BCA_Deliveries_Annual!AA11</f>
        <v>0</v>
      </c>
      <c r="AB10" s="43">
        <v>0</v>
      </c>
      <c r="AC10" s="43">
        <v>0</v>
      </c>
      <c r="AD10" s="43">
        <v>0</v>
      </c>
      <c r="AE10" s="43">
        <v>0</v>
      </c>
      <c r="AF10" s="43">
        <v>0</v>
      </c>
      <c r="AG10" s="109"/>
      <c r="AH10" s="109"/>
      <c r="AI10" s="109"/>
      <c r="AJ10" s="109"/>
      <c r="AK10" s="109"/>
      <c r="AL10" s="391"/>
      <c r="AM10" s="43"/>
      <c r="AN10" s="43"/>
      <c r="AO10" s="43"/>
      <c r="AP10" s="43"/>
      <c r="AQ10" s="392"/>
      <c r="AS10" s="530">
        <v>0</v>
      </c>
      <c r="AT10" s="530">
        <v>0</v>
      </c>
      <c r="AU10" s="530">
        <v>0</v>
      </c>
      <c r="AV10" s="530">
        <v>0</v>
      </c>
      <c r="AW10" s="530">
        <v>0</v>
      </c>
      <c r="AX10" s="441"/>
      <c r="AY10" s="489"/>
      <c r="AZ10" s="489"/>
      <c r="BA10" s="489"/>
      <c r="BB10" s="489"/>
      <c r="BC10" s="489"/>
      <c r="BD10" s="441"/>
      <c r="BE10" s="414"/>
      <c r="BF10" s="414"/>
      <c r="BI10" s="414"/>
    </row>
    <row r="11" spans="1:62">
      <c r="A11" s="1" t="s">
        <v>416</v>
      </c>
      <c r="B11" s="38">
        <f>BCA_Deliveries_Annual!B12</f>
        <v>4</v>
      </c>
      <c r="C11" s="38">
        <f>BCA_Deliveries_Annual!C12</f>
        <v>2</v>
      </c>
      <c r="D11" s="38">
        <f>BCA_Deliveries_Annual!D12</f>
        <v>0</v>
      </c>
      <c r="E11" s="38">
        <f>BCA_Deliveries_Annual!E12</f>
        <v>0</v>
      </c>
      <c r="F11" s="38">
        <f>BCA_Deliveries_Annual!F12</f>
        <v>0</v>
      </c>
      <c r="G11" s="38">
        <f>BCA_Deliveries_Annual!G12</f>
        <v>0</v>
      </c>
      <c r="H11" s="38">
        <f>BCA_Deliveries_Annual!H12</f>
        <v>0</v>
      </c>
      <c r="I11" s="38">
        <f>BCA_Deliveries_Annual!I12</f>
        <v>0</v>
      </c>
      <c r="J11" s="38">
        <f>BCA_Deliveries_Annual!J12</f>
        <v>0</v>
      </c>
      <c r="K11" s="38">
        <f>BCA_Deliveries_Annual!K12</f>
        <v>0</v>
      </c>
      <c r="L11" s="38">
        <f>BCA_Deliveries_Annual!L12</f>
        <v>0</v>
      </c>
      <c r="M11" s="38">
        <f>BCA_Deliveries_Annual!M12</f>
        <v>0</v>
      </c>
      <c r="N11" s="38">
        <f>BCA_Deliveries_Annual!N12</f>
        <v>0</v>
      </c>
      <c r="O11" s="38">
        <f>BCA_Deliveries_Annual!O12</f>
        <v>0</v>
      </c>
      <c r="P11" s="38">
        <f>BCA_Deliveries_Annual!P12</f>
        <v>0</v>
      </c>
      <c r="Q11" s="38">
        <f>BCA_Deliveries_Annual!Q12</f>
        <v>0</v>
      </c>
      <c r="R11" s="38">
        <f>BCA_Deliveries_Annual!R12</f>
        <v>0</v>
      </c>
      <c r="S11" s="38">
        <f>BCA_Deliveries_Annual!S12</f>
        <v>0</v>
      </c>
      <c r="T11" s="38">
        <f>BCA_Deliveries_Annual!T12</f>
        <v>0</v>
      </c>
      <c r="U11" s="38">
        <f>BCA_Deliveries_Annual!U12</f>
        <v>0</v>
      </c>
      <c r="V11" s="38">
        <f>BCA_Deliveries_Annual!V12</f>
        <v>0</v>
      </c>
      <c r="W11" s="38">
        <f>BCA_Deliveries_Annual!W12</f>
        <v>0</v>
      </c>
      <c r="X11" s="38">
        <f>BCA_Deliveries_Annual!X12</f>
        <v>0</v>
      </c>
      <c r="Y11" s="38">
        <f ca="1">BCA_Deliveries_Annual!Y12</f>
        <v>0</v>
      </c>
      <c r="Z11" s="38">
        <f>BCA_Deliveries_Annual!Z12</f>
        <v>0</v>
      </c>
      <c r="AA11" s="38">
        <f>BCA_Deliveries_Annual!AA12</f>
        <v>0</v>
      </c>
      <c r="AB11" s="43">
        <v>0</v>
      </c>
      <c r="AC11" s="43">
        <v>0</v>
      </c>
      <c r="AD11" s="43">
        <v>0</v>
      </c>
      <c r="AE11" s="43">
        <v>0</v>
      </c>
      <c r="AF11" s="43">
        <v>0</v>
      </c>
      <c r="AG11" s="109"/>
      <c r="AH11" s="109"/>
      <c r="AI11" s="109"/>
      <c r="AJ11" s="109"/>
      <c r="AK11" s="109"/>
      <c r="AL11" s="391"/>
      <c r="AM11" s="43"/>
      <c r="AN11" s="43"/>
      <c r="AO11" s="43"/>
      <c r="AP11" s="43"/>
      <c r="AQ11" s="392"/>
      <c r="AS11" s="530">
        <v>0</v>
      </c>
      <c r="AT11" s="530">
        <v>0</v>
      </c>
      <c r="AU11" s="530">
        <v>0</v>
      </c>
      <c r="AV11" s="530">
        <v>0</v>
      </c>
      <c r="AW11" s="530">
        <v>0</v>
      </c>
      <c r="AX11" s="441"/>
      <c r="AY11" s="489"/>
      <c r="AZ11" s="489"/>
      <c r="BA11" s="489"/>
      <c r="BB11" s="489"/>
      <c r="BC11" s="489"/>
      <c r="BD11" s="441"/>
      <c r="BE11" s="414"/>
      <c r="BF11" s="414"/>
      <c r="BI11" s="414"/>
    </row>
    <row r="12" spans="1:62">
      <c r="A12" s="1" t="s">
        <v>417</v>
      </c>
      <c r="B12" s="38">
        <f>BCA_Deliveries_Annual!B13</f>
        <v>3</v>
      </c>
      <c r="C12" s="38">
        <f>BCA_Deliveries_Annual!C13</f>
        <v>0</v>
      </c>
      <c r="D12" s="38">
        <f>BCA_Deliveries_Annual!D13</f>
        <v>0</v>
      </c>
      <c r="E12" s="38">
        <f>BCA_Deliveries_Annual!E13</f>
        <v>0</v>
      </c>
      <c r="F12" s="38">
        <f>BCA_Deliveries_Annual!F13</f>
        <v>0</v>
      </c>
      <c r="G12" s="38">
        <f>BCA_Deliveries_Annual!G13</f>
        <v>0</v>
      </c>
      <c r="H12" s="38">
        <f>BCA_Deliveries_Annual!H13</f>
        <v>0</v>
      </c>
      <c r="I12" s="38">
        <f>BCA_Deliveries_Annual!I13</f>
        <v>0</v>
      </c>
      <c r="J12" s="38">
        <f>BCA_Deliveries_Annual!J13</f>
        <v>0</v>
      </c>
      <c r="K12" s="38">
        <f>BCA_Deliveries_Annual!K13</f>
        <v>0</v>
      </c>
      <c r="L12" s="38">
        <f>BCA_Deliveries_Annual!L13</f>
        <v>0</v>
      </c>
      <c r="M12" s="38">
        <f>BCA_Deliveries_Annual!M13</f>
        <v>0</v>
      </c>
      <c r="N12" s="38">
        <f>BCA_Deliveries_Annual!N13</f>
        <v>0</v>
      </c>
      <c r="O12" s="38">
        <f>BCA_Deliveries_Annual!O13</f>
        <v>0</v>
      </c>
      <c r="P12" s="38">
        <f>BCA_Deliveries_Annual!P13</f>
        <v>0</v>
      </c>
      <c r="Q12" s="38">
        <f>BCA_Deliveries_Annual!Q13</f>
        <v>0</v>
      </c>
      <c r="R12" s="38">
        <f>BCA_Deliveries_Annual!R13</f>
        <v>0</v>
      </c>
      <c r="S12" s="38">
        <f>BCA_Deliveries_Annual!S13</f>
        <v>0</v>
      </c>
      <c r="T12" s="38">
        <f>BCA_Deliveries_Annual!T13</f>
        <v>0</v>
      </c>
      <c r="U12" s="38">
        <f>BCA_Deliveries_Annual!U13</f>
        <v>0</v>
      </c>
      <c r="V12" s="38">
        <f>BCA_Deliveries_Annual!V13</f>
        <v>0</v>
      </c>
      <c r="W12" s="38">
        <f>BCA_Deliveries_Annual!W13</f>
        <v>0</v>
      </c>
      <c r="X12" s="38">
        <f>BCA_Deliveries_Annual!X13</f>
        <v>0</v>
      </c>
      <c r="Y12" s="38">
        <f ca="1">BCA_Deliveries_Annual!Y13</f>
        <v>0</v>
      </c>
      <c r="Z12" s="38">
        <f>BCA_Deliveries_Annual!Z13</f>
        <v>0</v>
      </c>
      <c r="AA12" s="38">
        <f>BCA_Deliveries_Annual!AA13</f>
        <v>0</v>
      </c>
      <c r="AB12" s="43">
        <v>0</v>
      </c>
      <c r="AC12" s="43">
        <v>0</v>
      </c>
      <c r="AD12" s="43">
        <v>0</v>
      </c>
      <c r="AE12" s="43">
        <v>0</v>
      </c>
      <c r="AF12" s="43">
        <v>0</v>
      </c>
      <c r="AG12" s="109"/>
      <c r="AH12" s="109"/>
      <c r="AI12" s="109"/>
      <c r="AJ12" s="109"/>
      <c r="AK12" s="109"/>
      <c r="AL12" s="391"/>
      <c r="AM12" s="43"/>
      <c r="AN12" s="43"/>
      <c r="AO12" s="43"/>
      <c r="AP12" s="43"/>
      <c r="AQ12" s="392"/>
      <c r="AS12" s="530">
        <v>0</v>
      </c>
      <c r="AT12" s="530">
        <v>0</v>
      </c>
      <c r="AU12" s="530">
        <v>0</v>
      </c>
      <c r="AV12" s="530">
        <v>0</v>
      </c>
      <c r="AW12" s="530">
        <v>0</v>
      </c>
      <c r="AX12" s="441"/>
      <c r="AY12" s="489"/>
      <c r="AZ12" s="489"/>
      <c r="BA12" s="489"/>
      <c r="BB12" s="489"/>
      <c r="BC12" s="489"/>
      <c r="BD12" s="441"/>
      <c r="BE12" s="414"/>
      <c r="BF12" s="414"/>
      <c r="BI12" s="414"/>
    </row>
    <row r="13" spans="1:62">
      <c r="A13" s="14" t="s">
        <v>11</v>
      </c>
      <c r="B13" s="40">
        <f t="shared" ref="B13:K13" si="12">SUM(B4:B12)</f>
        <v>489</v>
      </c>
      <c r="C13" s="40">
        <f t="shared" si="12"/>
        <v>527</v>
      </c>
      <c r="D13" s="40">
        <f t="shared" si="12"/>
        <v>381</v>
      </c>
      <c r="E13" s="40">
        <f t="shared" si="12"/>
        <v>281</v>
      </c>
      <c r="F13" s="40">
        <f t="shared" si="12"/>
        <v>285</v>
      </c>
      <c r="G13" s="40">
        <f t="shared" si="12"/>
        <v>290</v>
      </c>
      <c r="H13" s="40">
        <f t="shared" si="12"/>
        <v>398</v>
      </c>
      <c r="I13" s="40">
        <f t="shared" si="12"/>
        <v>441</v>
      </c>
      <c r="J13" s="40">
        <f t="shared" si="12"/>
        <v>375</v>
      </c>
      <c r="K13" s="40">
        <f t="shared" si="12"/>
        <v>481</v>
      </c>
      <c r="L13" s="40">
        <f>SUM(L4:L12)</f>
        <v>462</v>
      </c>
      <c r="M13" s="40">
        <f t="shared" ref="M13:Z13" si="13">SUM(M4:M12)</f>
        <v>477</v>
      </c>
      <c r="N13" s="40">
        <f t="shared" si="13"/>
        <v>601</v>
      </c>
      <c r="O13" s="40">
        <f t="shared" si="13"/>
        <v>648</v>
      </c>
      <c r="P13" s="40">
        <f t="shared" si="13"/>
        <v>723</v>
      </c>
      <c r="Q13" s="40">
        <f t="shared" si="13"/>
        <v>762</v>
      </c>
      <c r="R13" s="40">
        <f t="shared" si="13"/>
        <v>748</v>
      </c>
      <c r="S13" s="40">
        <f t="shared" si="13"/>
        <v>763</v>
      </c>
      <c r="T13" s="40">
        <f t="shared" si="13"/>
        <v>806</v>
      </c>
      <c r="U13" s="40">
        <f t="shared" si="13"/>
        <v>380</v>
      </c>
      <c r="V13" s="40">
        <f>SUM(V4:V12)</f>
        <v>157</v>
      </c>
      <c r="W13" s="40">
        <f t="shared" si="13"/>
        <v>340</v>
      </c>
      <c r="X13" s="40">
        <f t="shared" si="13"/>
        <v>480</v>
      </c>
      <c r="Y13" s="40">
        <f t="shared" ca="1" si="13"/>
        <v>528</v>
      </c>
      <c r="Z13" s="40">
        <f t="shared" si="13"/>
        <v>348</v>
      </c>
      <c r="AA13" s="40">
        <f t="shared" ref="AA13" si="14">SUM(AA4:AA12)</f>
        <v>600</v>
      </c>
      <c r="AB13" s="40">
        <f>SUM(AB4:AB12)</f>
        <v>671</v>
      </c>
      <c r="AC13" s="40">
        <f>SUM(AC4:AC12)</f>
        <v>747</v>
      </c>
      <c r="AD13" s="40">
        <f>SUM(AD4:AD12)</f>
        <v>792</v>
      </c>
      <c r="AE13" s="40">
        <f>SUM(AE4:AE12)</f>
        <v>792</v>
      </c>
      <c r="AF13" s="40">
        <f>SUM(AF4:AF12)</f>
        <v>792</v>
      </c>
      <c r="AG13" s="109" t="s">
        <v>682</v>
      </c>
      <c r="AH13" s="109"/>
      <c r="AI13" s="109"/>
      <c r="AJ13" s="109"/>
      <c r="AK13" s="109"/>
      <c r="AL13" s="395">
        <f t="shared" ref="AL13:AQ13" si="15">SUM(AL4:AL12)</f>
        <v>0</v>
      </c>
      <c r="AM13" s="396">
        <f t="shared" si="15"/>
        <v>0</v>
      </c>
      <c r="AN13" s="396">
        <f t="shared" si="15"/>
        <v>500</v>
      </c>
      <c r="AO13" s="396">
        <f t="shared" si="15"/>
        <v>0</v>
      </c>
      <c r="AP13" s="396">
        <f t="shared" si="15"/>
        <v>0</v>
      </c>
      <c r="AQ13" s="397">
        <f t="shared" si="15"/>
        <v>0</v>
      </c>
      <c r="AS13" s="109"/>
      <c r="AW13" s="414"/>
      <c r="AX13" s="442"/>
      <c r="AY13" s="441"/>
      <c r="AZ13" s="441"/>
      <c r="BA13" s="441"/>
      <c r="BB13" s="441"/>
      <c r="BC13" s="441"/>
      <c r="BE13" s="414"/>
      <c r="BF13" s="414"/>
      <c r="BI13" s="414"/>
    </row>
    <row r="14" spans="1:62">
      <c r="Y14" s="43"/>
      <c r="Z14" s="43"/>
      <c r="AA14" s="43"/>
      <c r="AB14" s="300"/>
      <c r="BI14" s="414"/>
      <c r="BJ14" s="414"/>
    </row>
    <row r="15" spans="1:62">
      <c r="A15" s="9" t="s">
        <v>475</v>
      </c>
      <c r="B15" s="92"/>
      <c r="C15" s="92"/>
      <c r="D15" s="92"/>
      <c r="E15" s="92"/>
      <c r="F15" s="92"/>
      <c r="G15" s="92"/>
      <c r="H15" s="92"/>
      <c r="I15" s="92"/>
      <c r="J15" s="92"/>
      <c r="K15" s="92"/>
      <c r="L15" s="92"/>
      <c r="M15" s="92"/>
      <c r="N15" s="92"/>
      <c r="O15" s="92"/>
      <c r="P15" s="92"/>
      <c r="Q15" s="296"/>
      <c r="R15" s="296"/>
      <c r="S15" s="296"/>
      <c r="T15" s="296"/>
      <c r="U15" s="296"/>
      <c r="V15" s="296"/>
      <c r="W15" s="296"/>
      <c r="X15" s="296"/>
      <c r="Y15" s="296"/>
      <c r="Z15" s="296"/>
      <c r="AA15" s="296"/>
      <c r="AB15" s="296"/>
      <c r="AC15" s="296"/>
      <c r="AD15" s="296"/>
      <c r="AE15" s="296"/>
      <c r="AF15" s="296"/>
      <c r="AW15" s="414"/>
    </row>
    <row r="16" spans="1:62">
      <c r="A16" s="1">
        <f>A4</f>
        <v>737</v>
      </c>
      <c r="B16" s="75">
        <v>38.857142857142854</v>
      </c>
      <c r="C16" s="75">
        <v>42.768456375838923</v>
      </c>
      <c r="D16" s="75">
        <v>41.243243243243242</v>
      </c>
      <c r="E16" s="75">
        <v>41.786127167630056</v>
      </c>
      <c r="F16" s="75">
        <v>41.504950495049506</v>
      </c>
      <c r="G16" s="75">
        <v>42.900943396226417</v>
      </c>
      <c r="H16" s="75">
        <v>40.834437086092713</v>
      </c>
      <c r="I16" s="75">
        <v>39.783132530120483</v>
      </c>
      <c r="J16" s="75">
        <v>40.727586206896554</v>
      </c>
      <c r="K16" s="75">
        <v>40.43010752688172</v>
      </c>
      <c r="L16" s="75">
        <v>41.492021276595743</v>
      </c>
      <c r="M16" s="75">
        <v>43.524193548387096</v>
      </c>
      <c r="N16" s="75">
        <v>45.2289156626506</v>
      </c>
      <c r="O16" s="75">
        <v>45.918181818181822</v>
      </c>
      <c r="P16" s="75">
        <v>46.317525773195875</v>
      </c>
      <c r="Q16" s="75">
        <v>45.474323232323236</v>
      </c>
      <c r="R16" s="75">
        <v>45.978163265306129</v>
      </c>
      <c r="S16" s="75">
        <v>46.520604914933841</v>
      </c>
      <c r="T16" s="75">
        <v>50.711724137931036</v>
      </c>
      <c r="U16" s="75">
        <v>51.377952755905511</v>
      </c>
      <c r="V16" s="75">
        <v>53.325217391304342</v>
      </c>
      <c r="W16" s="75">
        <v>40</v>
      </c>
      <c r="X16" s="75">
        <v>40</v>
      </c>
      <c r="Y16" s="424">
        <v>46</v>
      </c>
      <c r="Z16" s="75">
        <f>Y16*1.05</f>
        <v>48.300000000000004</v>
      </c>
      <c r="AA16" s="75">
        <v>49</v>
      </c>
      <c r="AB16" s="75">
        <v>55.12676056338028</v>
      </c>
      <c r="AC16" s="75">
        <v>55.12676056338028</v>
      </c>
      <c r="AD16" s="75">
        <v>55.12676056338028</v>
      </c>
      <c r="AE16" s="75">
        <f>AD16*1.03</f>
        <v>56.780563380281691</v>
      </c>
      <c r="AF16" s="75">
        <f>AE16*1.03</f>
        <v>58.483980281690144</v>
      </c>
      <c r="AW16" s="414"/>
    </row>
    <row r="17" spans="1:37">
      <c r="A17" s="1">
        <f t="shared" ref="A17:A24" si="16">A5</f>
        <v>747</v>
      </c>
      <c r="B17" s="75">
        <v>156</v>
      </c>
      <c r="C17" s="75">
        <v>158</v>
      </c>
      <c r="D17" s="75">
        <v>160</v>
      </c>
      <c r="E17" s="75">
        <v>164</v>
      </c>
      <c r="F17" s="75">
        <v>166</v>
      </c>
      <c r="G17" s="75">
        <v>168</v>
      </c>
      <c r="H17" s="75">
        <v>164</v>
      </c>
      <c r="I17" s="75">
        <v>158</v>
      </c>
      <c r="J17" s="75">
        <v>158</v>
      </c>
      <c r="K17" s="75">
        <v>158</v>
      </c>
      <c r="L17" s="75">
        <v>158</v>
      </c>
      <c r="M17" s="75">
        <v>180</v>
      </c>
      <c r="N17" s="75">
        <v>178</v>
      </c>
      <c r="O17" s="75">
        <v>178</v>
      </c>
      <c r="P17" s="75">
        <v>180</v>
      </c>
      <c r="Q17" s="75">
        <v>179</v>
      </c>
      <c r="R17" s="75">
        <v>179</v>
      </c>
      <c r="S17" s="75">
        <v>178</v>
      </c>
      <c r="T17" s="75">
        <v>180</v>
      </c>
      <c r="U17" s="75">
        <v>180</v>
      </c>
      <c r="V17" s="75">
        <v>180</v>
      </c>
      <c r="W17" s="75">
        <v>180</v>
      </c>
      <c r="X17" s="75">
        <v>180</v>
      </c>
      <c r="Y17" s="75">
        <v>180</v>
      </c>
      <c r="Z17" s="75">
        <v>180</v>
      </c>
      <c r="AA17" s="75">
        <v>180</v>
      </c>
      <c r="AB17" s="75">
        <v>180</v>
      </c>
      <c r="AC17" s="75">
        <v>180</v>
      </c>
      <c r="AD17" s="75">
        <v>180</v>
      </c>
      <c r="AE17" s="75">
        <v>180</v>
      </c>
      <c r="AF17" s="75">
        <v>180</v>
      </c>
    </row>
    <row r="18" spans="1:37">
      <c r="A18" s="1">
        <f t="shared" si="16"/>
        <v>767</v>
      </c>
      <c r="B18" s="75">
        <v>84.38636363636364</v>
      </c>
      <c r="C18" s="75">
        <v>85.95</v>
      </c>
      <c r="D18" s="75">
        <v>90.6</v>
      </c>
      <c r="E18" s="75">
        <v>88</v>
      </c>
      <c r="F18" s="75">
        <v>88</v>
      </c>
      <c r="G18" s="75">
        <v>82.5</v>
      </c>
      <c r="H18" s="75">
        <v>86.166666666666671</v>
      </c>
      <c r="I18" s="75">
        <v>86.083333333333329</v>
      </c>
      <c r="J18" s="75">
        <v>80.8</v>
      </c>
      <c r="K18" s="75">
        <v>82.384615384615387</v>
      </c>
      <c r="L18" s="75">
        <v>82</v>
      </c>
      <c r="M18" s="75">
        <v>83</v>
      </c>
      <c r="N18" s="75">
        <v>81</v>
      </c>
      <c r="O18" s="75">
        <v>81</v>
      </c>
      <c r="P18" s="75">
        <v>81</v>
      </c>
      <c r="Q18" s="75">
        <v>80</v>
      </c>
      <c r="R18" s="75">
        <v>79</v>
      </c>
      <c r="S18" s="75">
        <v>80</v>
      </c>
      <c r="T18" s="75">
        <v>80</v>
      </c>
      <c r="U18" s="75">
        <v>80</v>
      </c>
      <c r="V18" s="75">
        <v>80</v>
      </c>
      <c r="W18" s="75">
        <v>75</v>
      </c>
      <c r="X18" s="75">
        <v>75</v>
      </c>
      <c r="Y18" s="75">
        <v>75</v>
      </c>
      <c r="Z18" s="75">
        <v>75</v>
      </c>
      <c r="AA18" s="75">
        <v>75</v>
      </c>
      <c r="AB18" s="75">
        <v>75</v>
      </c>
      <c r="AC18" s="75">
        <v>75</v>
      </c>
      <c r="AD18" s="75">
        <v>75</v>
      </c>
      <c r="AE18" s="75">
        <v>75</v>
      </c>
      <c r="AF18" s="75">
        <v>75</v>
      </c>
    </row>
    <row r="19" spans="1:37">
      <c r="A19" s="1">
        <f t="shared" si="16"/>
        <v>777</v>
      </c>
      <c r="B19" s="75">
        <v>125.94545454545455</v>
      </c>
      <c r="C19" s="75">
        <v>130.63934426229508</v>
      </c>
      <c r="D19" s="75">
        <v>133.78723404255319</v>
      </c>
      <c r="E19" s="75">
        <v>141.69230769230768</v>
      </c>
      <c r="F19" s="75">
        <v>145</v>
      </c>
      <c r="G19" s="75">
        <v>153.4</v>
      </c>
      <c r="H19" s="75">
        <v>150.61538461538461</v>
      </c>
      <c r="I19" s="75">
        <v>147.21686746987953</v>
      </c>
      <c r="J19" s="75">
        <v>150.86885245901638</v>
      </c>
      <c r="K19" s="75">
        <v>146.04545454545453</v>
      </c>
      <c r="L19" s="75">
        <v>147.64864864864865</v>
      </c>
      <c r="M19" s="75">
        <v>156.53424657534248</v>
      </c>
      <c r="N19" s="75">
        <v>154.28915662650601</v>
      </c>
      <c r="O19" s="75">
        <v>155.70408163265307</v>
      </c>
      <c r="P19" s="75">
        <v>157.09090909090909</v>
      </c>
      <c r="Q19" s="75">
        <v>158.12244897959184</v>
      </c>
      <c r="R19" s="75">
        <v>159.77777777777777</v>
      </c>
      <c r="S19" s="75">
        <v>160.44594594594594</v>
      </c>
      <c r="T19" s="75">
        <v>156</v>
      </c>
      <c r="U19" s="75">
        <v>150.86666666666667</v>
      </c>
      <c r="V19" s="75">
        <v>162.375</v>
      </c>
      <c r="W19" s="75">
        <v>160</v>
      </c>
      <c r="X19" s="75">
        <v>160</v>
      </c>
      <c r="Y19" s="75">
        <v>160</v>
      </c>
      <c r="Z19" s="75">
        <v>160</v>
      </c>
      <c r="AA19" s="75">
        <v>160</v>
      </c>
      <c r="AB19" s="75">
        <v>160</v>
      </c>
      <c r="AC19" s="75">
        <v>160</v>
      </c>
      <c r="AD19" s="75">
        <v>160</v>
      </c>
      <c r="AE19" s="75">
        <v>160</v>
      </c>
      <c r="AF19" s="75">
        <v>160</v>
      </c>
    </row>
    <row r="20" spans="1:37">
      <c r="A20" s="1">
        <f t="shared" si="16"/>
        <v>787</v>
      </c>
      <c r="B20" s="75">
        <v>0</v>
      </c>
      <c r="C20" s="75">
        <v>0</v>
      </c>
      <c r="D20" s="75">
        <v>0</v>
      </c>
      <c r="E20" s="75">
        <v>0</v>
      </c>
      <c r="F20" s="75">
        <v>0</v>
      </c>
      <c r="G20" s="75">
        <v>0</v>
      </c>
      <c r="H20" s="75">
        <v>0</v>
      </c>
      <c r="I20" s="75">
        <v>0</v>
      </c>
      <c r="J20" s="75">
        <v>0</v>
      </c>
      <c r="K20" s="75">
        <v>0</v>
      </c>
      <c r="L20" s="75">
        <f>M20</f>
        <v>140.30000000000001</v>
      </c>
      <c r="M20" s="75">
        <v>140.30000000000001</v>
      </c>
      <c r="N20" s="75">
        <v>115</v>
      </c>
      <c r="O20" s="75">
        <v>115</v>
      </c>
      <c r="P20" s="75">
        <v>117.01754385964912</v>
      </c>
      <c r="Q20" s="75">
        <v>125.9037037037037</v>
      </c>
      <c r="R20" s="75">
        <v>131.63503649635035</v>
      </c>
      <c r="S20" s="75">
        <v>133.1764705882353</v>
      </c>
      <c r="T20" s="75">
        <v>137.86206896551724</v>
      </c>
      <c r="U20" s="75">
        <v>140.31645569620252</v>
      </c>
      <c r="V20" s="75">
        <v>142.41666666666666</v>
      </c>
      <c r="W20" s="75">
        <v>138</v>
      </c>
      <c r="X20" s="75">
        <v>123</v>
      </c>
      <c r="Y20" s="424">
        <v>110</v>
      </c>
      <c r="Z20" s="424">
        <v>125</v>
      </c>
      <c r="AA20" s="75">
        <v>127</v>
      </c>
      <c r="AB20" s="75">
        <v>145</v>
      </c>
      <c r="AC20" s="75">
        <v>145</v>
      </c>
      <c r="AD20" s="75">
        <v>145</v>
      </c>
      <c r="AE20" s="75">
        <f t="shared" ref="AE20:AF20" si="17">AD20*1.03</f>
        <v>149.35</v>
      </c>
      <c r="AF20" s="75">
        <f t="shared" si="17"/>
        <v>153.8305</v>
      </c>
    </row>
    <row r="21" spans="1:37">
      <c r="A21" s="1">
        <f t="shared" si="16"/>
        <v>717</v>
      </c>
      <c r="B21" s="75">
        <v>24</v>
      </c>
      <c r="C21" s="75">
        <v>25.5</v>
      </c>
      <c r="D21" s="75">
        <v>25</v>
      </c>
      <c r="E21" s="75">
        <v>25</v>
      </c>
      <c r="F21" s="75">
        <v>25</v>
      </c>
      <c r="G21" s="75">
        <v>25</v>
      </c>
      <c r="H21" s="75">
        <v>25</v>
      </c>
      <c r="I21" s="75">
        <v>0</v>
      </c>
      <c r="J21" s="75">
        <v>0</v>
      </c>
      <c r="K21" s="75">
        <v>0</v>
      </c>
      <c r="L21" s="75">
        <v>0</v>
      </c>
      <c r="M21" s="75">
        <v>0</v>
      </c>
      <c r="N21" s="75">
        <v>0</v>
      </c>
      <c r="O21" s="75">
        <v>0</v>
      </c>
      <c r="P21" s="75">
        <v>0</v>
      </c>
      <c r="Q21" s="75">
        <v>0</v>
      </c>
      <c r="R21" s="75">
        <v>0</v>
      </c>
      <c r="S21" s="75">
        <v>0</v>
      </c>
      <c r="T21" s="75">
        <v>0</v>
      </c>
      <c r="U21" s="75">
        <v>0</v>
      </c>
      <c r="V21" s="75">
        <v>0</v>
      </c>
      <c r="W21" s="75">
        <v>0</v>
      </c>
      <c r="X21" s="75">
        <v>0</v>
      </c>
      <c r="Y21" s="75">
        <v>0</v>
      </c>
      <c r="Z21" s="75">
        <v>0</v>
      </c>
      <c r="AA21" s="75">
        <v>0</v>
      </c>
      <c r="AB21" s="75">
        <v>0</v>
      </c>
      <c r="AC21" s="75">
        <v>0</v>
      </c>
      <c r="AD21" s="75">
        <v>0</v>
      </c>
      <c r="AE21" s="75">
        <v>0</v>
      </c>
      <c r="AF21" s="75">
        <v>0</v>
      </c>
    </row>
    <row r="22" spans="1:37">
      <c r="A22" s="1">
        <f t="shared" si="16"/>
        <v>757</v>
      </c>
      <c r="B22" s="75">
        <v>54.444444444444443</v>
      </c>
      <c r="C22" s="75">
        <v>56.8</v>
      </c>
      <c r="D22" s="75">
        <v>59.068965517241381</v>
      </c>
      <c r="E22" s="75">
        <v>60.142857142857146</v>
      </c>
      <c r="F22" s="75">
        <v>58.81818181818182</v>
      </c>
      <c r="G22" s="75">
        <v>58</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5">
        <v>0</v>
      </c>
      <c r="Z22" s="75">
        <v>0</v>
      </c>
      <c r="AA22" s="75">
        <v>0</v>
      </c>
      <c r="AB22" s="75">
        <v>0</v>
      </c>
      <c r="AC22" s="75">
        <v>0</v>
      </c>
      <c r="AD22" s="75">
        <v>0</v>
      </c>
      <c r="AE22" s="75">
        <v>0</v>
      </c>
      <c r="AF22" s="75">
        <v>0</v>
      </c>
    </row>
    <row r="23" spans="1:37">
      <c r="A23" s="1" t="str">
        <f t="shared" si="16"/>
        <v>MD-11</v>
      </c>
      <c r="B23" s="75">
        <v>104</v>
      </c>
      <c r="C23" s="75">
        <v>104</v>
      </c>
      <c r="D23" s="75">
        <v>0</v>
      </c>
      <c r="E23" s="75">
        <v>0</v>
      </c>
      <c r="F23" s="75">
        <v>0</v>
      </c>
      <c r="G23" s="75">
        <v>0</v>
      </c>
      <c r="H23" s="75">
        <v>0</v>
      </c>
      <c r="I23" s="75">
        <v>0</v>
      </c>
      <c r="J23" s="75">
        <v>0</v>
      </c>
      <c r="K23" s="75">
        <v>0</v>
      </c>
      <c r="L23" s="75">
        <v>0</v>
      </c>
      <c r="M23" s="75">
        <v>0</v>
      </c>
      <c r="N23" s="75">
        <v>0</v>
      </c>
      <c r="O23" s="75">
        <v>0</v>
      </c>
      <c r="P23" s="75">
        <v>0</v>
      </c>
      <c r="Q23" s="75">
        <v>0</v>
      </c>
      <c r="R23" s="75">
        <v>0</v>
      </c>
      <c r="S23" s="75">
        <v>0</v>
      </c>
      <c r="T23" s="75">
        <v>0</v>
      </c>
      <c r="U23" s="75">
        <v>0</v>
      </c>
      <c r="V23" s="75">
        <v>0</v>
      </c>
      <c r="W23" s="75">
        <v>0</v>
      </c>
      <c r="X23" s="75">
        <v>0</v>
      </c>
      <c r="Y23" s="75">
        <v>0</v>
      </c>
      <c r="Z23" s="75">
        <v>0</v>
      </c>
      <c r="AA23" s="75">
        <v>0</v>
      </c>
      <c r="AB23" s="75">
        <v>0</v>
      </c>
      <c r="AC23" s="75">
        <v>0</v>
      </c>
      <c r="AD23" s="75">
        <v>0</v>
      </c>
      <c r="AE23" s="75">
        <v>0</v>
      </c>
      <c r="AF23" s="75">
        <v>0</v>
      </c>
    </row>
    <row r="24" spans="1:37">
      <c r="A24" s="1" t="str">
        <f t="shared" si="16"/>
        <v xml:space="preserve">MD-90 </v>
      </c>
      <c r="B24" s="75">
        <v>34</v>
      </c>
      <c r="C24" s="75">
        <v>0</v>
      </c>
      <c r="D24" s="75">
        <v>0</v>
      </c>
      <c r="E24" s="75">
        <v>0</v>
      </c>
      <c r="F24" s="75">
        <v>0</v>
      </c>
      <c r="G24" s="75">
        <v>0</v>
      </c>
      <c r="H24" s="75">
        <v>0</v>
      </c>
      <c r="I24" s="75">
        <v>0</v>
      </c>
      <c r="J24" s="75">
        <v>0</v>
      </c>
      <c r="K24" s="75">
        <v>0</v>
      </c>
      <c r="L24" s="75">
        <v>0</v>
      </c>
      <c r="M24" s="75">
        <v>0</v>
      </c>
      <c r="N24" s="75">
        <v>0</v>
      </c>
      <c r="O24" s="75">
        <v>0</v>
      </c>
      <c r="P24" s="75">
        <v>0</v>
      </c>
      <c r="Q24" s="75">
        <v>0</v>
      </c>
      <c r="R24" s="75">
        <v>0</v>
      </c>
      <c r="S24" s="75">
        <v>0</v>
      </c>
      <c r="T24" s="75">
        <v>0</v>
      </c>
      <c r="U24" s="75">
        <v>0</v>
      </c>
      <c r="V24" s="75">
        <v>0</v>
      </c>
      <c r="W24" s="75">
        <v>0</v>
      </c>
      <c r="X24" s="75">
        <v>0</v>
      </c>
      <c r="Y24" s="75">
        <v>0</v>
      </c>
      <c r="Z24" s="75">
        <v>0</v>
      </c>
      <c r="AA24" s="75">
        <v>0</v>
      </c>
      <c r="AB24" s="75">
        <v>0</v>
      </c>
      <c r="AC24" s="75">
        <v>0</v>
      </c>
      <c r="AD24" s="75">
        <v>0</v>
      </c>
      <c r="AE24" s="75">
        <v>0</v>
      </c>
      <c r="AF24" s="75">
        <v>0</v>
      </c>
    </row>
    <row r="25" spans="1:37">
      <c r="A25" s="1"/>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row>
    <row r="26" spans="1:37">
      <c r="A26" s="9" t="s">
        <v>636</v>
      </c>
      <c r="B26" s="507"/>
      <c r="C26" s="507"/>
      <c r="D26" s="507"/>
      <c r="E26" s="507"/>
      <c r="F26" s="507"/>
      <c r="G26" s="507"/>
      <c r="H26" s="507"/>
      <c r="I26" s="507"/>
      <c r="J26" s="507"/>
      <c r="K26" s="507"/>
      <c r="L26" s="507"/>
      <c r="M26" s="507"/>
      <c r="N26" s="507"/>
      <c r="O26" s="507"/>
      <c r="P26" s="507"/>
      <c r="Q26" s="507"/>
      <c r="R26" s="507"/>
      <c r="S26" s="507"/>
      <c r="T26" s="507"/>
      <c r="U26" s="507"/>
      <c r="V26" s="507"/>
      <c r="W26" s="507"/>
      <c r="X26" s="507"/>
      <c r="Y26" s="507"/>
      <c r="Z26" s="507"/>
      <c r="AA26" s="507"/>
      <c r="AB26" s="507"/>
      <c r="AC26" s="507"/>
      <c r="AD26" s="507"/>
      <c r="AE26" s="507"/>
      <c r="AF26" s="507"/>
    </row>
    <row r="27" spans="1:37">
      <c r="A27" s="1" t="s">
        <v>636</v>
      </c>
      <c r="B27" s="164">
        <v>728</v>
      </c>
      <c r="C27" s="164">
        <v>815</v>
      </c>
      <c r="D27" s="164">
        <v>994</v>
      </c>
      <c r="E27" s="164">
        <v>991</v>
      </c>
      <c r="F27" s="164">
        <v>959</v>
      </c>
      <c r="G27" s="164">
        <v>966</v>
      </c>
      <c r="H27" s="164">
        <v>1025</v>
      </c>
      <c r="I27" s="164">
        <v>815</v>
      </c>
      <c r="J27" s="164">
        <v>703</v>
      </c>
      <c r="K27" s="164">
        <v>660</v>
      </c>
      <c r="L27" s="164">
        <v>639</v>
      </c>
      <c r="M27" s="164">
        <v>520</v>
      </c>
      <c r="N27" s="164">
        <v>468</v>
      </c>
      <c r="O27" s="164">
        <v>408</v>
      </c>
      <c r="P27" s="164">
        <v>416</v>
      </c>
      <c r="Q27" s="164">
        <v>413</v>
      </c>
      <c r="R27" s="164">
        <v>298</v>
      </c>
      <c r="S27" s="164">
        <v>307</v>
      </c>
      <c r="T27" s="164">
        <v>274</v>
      </c>
      <c r="U27" s="164">
        <v>244</v>
      </c>
      <c r="V27" s="164">
        <v>261</v>
      </c>
      <c r="W27" s="164">
        <v>272</v>
      </c>
      <c r="X27" s="164">
        <v>199</v>
      </c>
      <c r="Y27" s="73">
        <v>205</v>
      </c>
      <c r="Z27" s="73">
        <v>205</v>
      </c>
      <c r="AA27" s="73">
        <v>205</v>
      </c>
      <c r="AB27" s="73">
        <v>205</v>
      </c>
      <c r="AC27" s="73">
        <v>205</v>
      </c>
      <c r="AD27" s="73">
        <v>205</v>
      </c>
      <c r="AE27" s="73">
        <v>205</v>
      </c>
      <c r="AF27" s="73">
        <v>205</v>
      </c>
    </row>
    <row r="29" spans="1:37">
      <c r="A29" s="9" t="s">
        <v>444</v>
      </c>
      <c r="B29" s="92"/>
      <c r="C29" s="92"/>
      <c r="D29" s="92"/>
      <c r="E29" s="92"/>
      <c r="F29" s="92"/>
      <c r="G29" s="92"/>
      <c r="H29" s="92"/>
      <c r="I29" s="92"/>
      <c r="J29" s="92"/>
      <c r="K29" s="92"/>
      <c r="L29" s="92"/>
      <c r="M29" s="92"/>
      <c r="N29" s="92"/>
      <c r="O29" s="92"/>
      <c r="P29" s="92"/>
      <c r="Q29" s="296"/>
      <c r="R29" s="296"/>
      <c r="S29" s="296"/>
      <c r="T29" s="296"/>
      <c r="U29" s="24"/>
      <c r="V29" s="296"/>
      <c r="W29" s="296"/>
      <c r="X29" s="296"/>
      <c r="Y29" s="296"/>
      <c r="Z29" s="296"/>
      <c r="AA29" s="296"/>
      <c r="AB29" s="296"/>
      <c r="AC29" s="296"/>
      <c r="AD29" s="296"/>
      <c r="AE29" s="296"/>
      <c r="AF29" s="296"/>
    </row>
    <row r="30" spans="1:37">
      <c r="A30" s="12" t="s">
        <v>444</v>
      </c>
      <c r="B30" s="299">
        <f t="shared" ref="B30:K30" si="18">SUMPRODUCT(B4:B12,B16:B24)</f>
        <v>29194.857142857141</v>
      </c>
      <c r="C30" s="299">
        <f t="shared" si="18"/>
        <v>33106.268456375838</v>
      </c>
      <c r="D30" s="299">
        <f t="shared" si="18"/>
        <v>25189.243243243243</v>
      </c>
      <c r="E30" s="299">
        <f t="shared" si="18"/>
        <v>19125</v>
      </c>
      <c r="F30" s="299">
        <f t="shared" si="18"/>
        <v>17833</v>
      </c>
      <c r="G30" s="299">
        <f t="shared" si="18"/>
        <v>18681</v>
      </c>
      <c r="H30" s="299">
        <f t="shared" si="18"/>
        <v>25577</v>
      </c>
      <c r="I30" s="299">
        <f t="shared" si="18"/>
        <v>28908.433734939761</v>
      </c>
      <c r="J30" s="299">
        <f t="shared" si="18"/>
        <v>24034</v>
      </c>
      <c r="K30" s="299">
        <f t="shared" si="18"/>
        <v>30227</v>
      </c>
      <c r="L30" s="299">
        <f>SUMPRODUCT(L4:L12,L16:L24)</f>
        <v>27511</v>
      </c>
      <c r="M30" s="299">
        <f t="shared" ref="M30:X30" si="19">SUMPRODUCT(M4:M12,M16:M24)</f>
        <v>31318.9</v>
      </c>
      <c r="N30" s="299">
        <f t="shared" si="19"/>
        <v>44490</v>
      </c>
      <c r="O30" s="299">
        <f t="shared" si="19"/>
        <v>48911</v>
      </c>
      <c r="P30" s="299">
        <f t="shared" si="19"/>
        <v>55262</v>
      </c>
      <c r="Q30" s="299">
        <f t="shared" si="19"/>
        <v>59504.79</v>
      </c>
      <c r="R30" s="299">
        <f t="shared" si="19"/>
        <v>59019.3</v>
      </c>
      <c r="S30" s="299">
        <f t="shared" si="19"/>
        <v>57886.400000000001</v>
      </c>
      <c r="T30" s="299">
        <f t="shared" si="19"/>
        <v>60130.8</v>
      </c>
      <c r="U30" s="299">
        <f t="shared" si="19"/>
        <v>40184</v>
      </c>
      <c r="V30" s="299">
        <f>SUMPRODUCT(V4:V12,V16:V24)</f>
        <v>17362.81768115942</v>
      </c>
      <c r="W30" s="299">
        <f>SUMPRODUCT(W4:W12,W16:W24)</f>
        <v>19952</v>
      </c>
      <c r="X30" s="299">
        <f t="shared" si="19"/>
        <v>26508</v>
      </c>
      <c r="Y30" s="299">
        <f ca="1">SUMPRODUCT(Y4:Y12,Y16:Y24)+Y27</f>
        <v>33191</v>
      </c>
      <c r="Z30" s="299">
        <f t="shared" ref="Z30:AC30" si="20">SUMPRODUCT(Z4:Z12,Z16:Z24)+Z27</f>
        <v>22969.5</v>
      </c>
      <c r="AA30" s="299">
        <f t="shared" si="20"/>
        <v>41134</v>
      </c>
      <c r="AB30" s="299">
        <f t="shared" si="20"/>
        <v>50763.126760563377</v>
      </c>
      <c r="AC30" s="299">
        <f t="shared" si="20"/>
        <v>57203.394366197186</v>
      </c>
      <c r="AD30" s="299">
        <f t="shared" ref="AD30:AE30" si="21">SUMPRODUCT(AD4:AD12,AD16:AD24)+AD27</f>
        <v>59684.098591549293</v>
      </c>
      <c r="AE30" s="299">
        <f t="shared" si="21"/>
        <v>61238.071549295775</v>
      </c>
      <c r="AF30" s="299">
        <f t="shared" ref="AF30" si="22">SUMPRODUCT(AF4:AF12,AF16:AF24)+AF27</f>
        <v>62838.663695774652</v>
      </c>
    </row>
    <row r="31" spans="1:37">
      <c r="A31" s="1" t="s">
        <v>445</v>
      </c>
      <c r="B31" s="303">
        <f>B32-B30</f>
        <v>1976.1428571428587</v>
      </c>
      <c r="C31" s="303">
        <f t="shared" ref="C31:U31" si="23">C32-C30</f>
        <v>1949.7315436241624</v>
      </c>
      <c r="D31" s="303">
        <f t="shared" si="23"/>
        <v>3197.7567567567567</v>
      </c>
      <c r="E31" s="303">
        <f t="shared" si="23"/>
        <v>3283</v>
      </c>
      <c r="F31" s="303">
        <f t="shared" si="23"/>
        <v>3204</v>
      </c>
      <c r="G31" s="303">
        <f t="shared" si="23"/>
        <v>2684</v>
      </c>
      <c r="H31" s="303">
        <f t="shared" si="23"/>
        <v>2888</v>
      </c>
      <c r="I31" s="303">
        <f t="shared" si="23"/>
        <v>4477.5662650602389</v>
      </c>
      <c r="J31" s="303">
        <f t="shared" si="23"/>
        <v>4229</v>
      </c>
      <c r="K31" s="303">
        <f t="shared" si="23"/>
        <v>3824</v>
      </c>
      <c r="L31" s="303">
        <f t="shared" si="23"/>
        <v>4323</v>
      </c>
      <c r="M31" s="303">
        <f t="shared" si="23"/>
        <v>4852.0999999999985</v>
      </c>
      <c r="N31" s="303">
        <f t="shared" si="23"/>
        <v>4637</v>
      </c>
      <c r="O31" s="303">
        <f t="shared" si="23"/>
        <v>4070</v>
      </c>
      <c r="P31" s="303">
        <f t="shared" si="23"/>
        <v>4728</v>
      </c>
      <c r="Q31" s="303">
        <f t="shared" si="23"/>
        <v>6543.2099999999991</v>
      </c>
      <c r="R31" s="303">
        <f t="shared" si="23"/>
        <v>-1007.3000000000029</v>
      </c>
      <c r="S31" s="303">
        <f t="shared" si="23"/>
        <v>127.59999999999854</v>
      </c>
      <c r="T31" s="303">
        <f t="shared" si="23"/>
        <v>-2631.8000000000029</v>
      </c>
      <c r="U31" s="303">
        <f t="shared" si="23"/>
        <v>-7929</v>
      </c>
      <c r="V31" s="303">
        <f>V32-V30</f>
        <v>-1200.8176811594203</v>
      </c>
      <c r="W31" s="303">
        <f>W32-W30</f>
        <v>-459</v>
      </c>
      <c r="X31" s="303">
        <f t="shared" ref="X31:Y31" si="24">X32-X30</f>
        <v>-641</v>
      </c>
      <c r="Y31" s="303">
        <f t="shared" ca="1" si="24"/>
        <v>710</v>
      </c>
      <c r="Z31" s="303">
        <f t="shared" ref="Z31:AA31" si="25">Z32-Z30</f>
        <v>-108.5</v>
      </c>
      <c r="AA31" s="303">
        <f t="shared" si="25"/>
        <v>360</v>
      </c>
      <c r="AB31" s="75">
        <v>0</v>
      </c>
      <c r="AC31" s="75">
        <v>0</v>
      </c>
      <c r="AD31" s="75">
        <v>0</v>
      </c>
      <c r="AE31" s="75">
        <v>0</v>
      </c>
      <c r="AF31" s="75">
        <v>0</v>
      </c>
    </row>
    <row r="32" spans="1:37">
      <c r="A32" s="12" t="s">
        <v>446</v>
      </c>
      <c r="B32" s="213">
        <v>31171</v>
      </c>
      <c r="C32" s="213">
        <v>35056</v>
      </c>
      <c r="D32" s="213">
        <v>28387</v>
      </c>
      <c r="E32" s="213">
        <v>22408</v>
      </c>
      <c r="F32" s="213">
        <v>21037</v>
      </c>
      <c r="G32" s="213">
        <v>21365</v>
      </c>
      <c r="H32" s="213">
        <v>28465</v>
      </c>
      <c r="I32" s="213">
        <v>33386</v>
      </c>
      <c r="J32" s="213">
        <v>28263</v>
      </c>
      <c r="K32" s="213">
        <v>34051</v>
      </c>
      <c r="L32" s="213">
        <v>31834</v>
      </c>
      <c r="M32" s="213">
        <v>36171</v>
      </c>
      <c r="N32" s="213">
        <v>49127</v>
      </c>
      <c r="O32" s="213">
        <v>52981</v>
      </c>
      <c r="P32" s="213">
        <v>59990</v>
      </c>
      <c r="Q32" s="213">
        <v>66048</v>
      </c>
      <c r="R32" s="213">
        <f>BCA_Annual!R3</f>
        <v>58012</v>
      </c>
      <c r="S32" s="213">
        <f>BCA_Annual!S3</f>
        <v>58014</v>
      </c>
      <c r="T32" s="213">
        <f>BCA_Annual!T3</f>
        <v>57499</v>
      </c>
      <c r="U32" s="213">
        <f>BCA_Annual!U3</f>
        <v>32255</v>
      </c>
      <c r="V32" s="213">
        <f>BCA_Annual!V3</f>
        <v>16162</v>
      </c>
      <c r="W32" s="213">
        <f>BCA_Annual!W3</f>
        <v>19493</v>
      </c>
      <c r="X32" s="213">
        <f>BCA_Annual!X3</f>
        <v>25867</v>
      </c>
      <c r="Y32" s="213">
        <f>BCA_Annual!Y3</f>
        <v>33901</v>
      </c>
      <c r="Z32" s="213">
        <f>BCA_Annual!Z3</f>
        <v>22861</v>
      </c>
      <c r="AA32" s="213">
        <f>BCA_Annual!AA3</f>
        <v>41494</v>
      </c>
      <c r="AB32" s="95">
        <f t="shared" ref="AB32:AC32" si="26">AB30+AB31</f>
        <v>50763.126760563377</v>
      </c>
      <c r="AC32" s="95">
        <f t="shared" si="26"/>
        <v>57203.394366197186</v>
      </c>
      <c r="AD32" s="95">
        <f t="shared" ref="AD32:AE32" si="27">AD30+AD31</f>
        <v>59684.098591549293</v>
      </c>
      <c r="AE32" s="95">
        <f t="shared" si="27"/>
        <v>61238.071549295775</v>
      </c>
      <c r="AF32" s="95">
        <f t="shared" ref="AF32" si="28">AF30+AF31</f>
        <v>62838.663695774652</v>
      </c>
      <c r="AG32" s="297"/>
      <c r="AH32" s="297"/>
      <c r="AI32" s="297"/>
      <c r="AJ32" s="297"/>
      <c r="AK32" s="297"/>
    </row>
    <row r="33" spans="1:51">
      <c r="A33" s="12"/>
      <c r="B33" s="213"/>
      <c r="C33" s="213"/>
      <c r="D33" s="213"/>
      <c r="E33" s="213"/>
      <c r="F33" s="213"/>
      <c r="G33" s="213"/>
      <c r="H33" s="213"/>
      <c r="I33" s="213"/>
      <c r="J33" s="213"/>
      <c r="K33" s="213"/>
      <c r="L33" s="213"/>
      <c r="M33" s="213"/>
      <c r="N33" s="213"/>
      <c r="O33" s="213"/>
      <c r="P33" s="213"/>
      <c r="Q33" s="213"/>
      <c r="R33" s="213"/>
      <c r="S33" s="213"/>
      <c r="T33" s="213"/>
      <c r="U33" s="213"/>
      <c r="V33" s="95"/>
      <c r="W33" s="95"/>
      <c r="X33" s="95">
        <f t="shared" ref="X33:AC33" si="29">X8*X20</f>
        <v>3813</v>
      </c>
      <c r="Y33" s="95">
        <f t="shared" si="29"/>
        <v>8030</v>
      </c>
      <c r="Z33" s="95">
        <f t="shared" si="29"/>
        <v>6375</v>
      </c>
      <c r="AA33" s="95">
        <f t="shared" si="29"/>
        <v>11176</v>
      </c>
      <c r="AB33" s="95">
        <f t="shared" si="29"/>
        <v>14645</v>
      </c>
      <c r="AC33" s="95">
        <f t="shared" si="29"/>
        <v>17400</v>
      </c>
      <c r="AD33" s="95">
        <f t="shared" ref="AD33:AE33" si="30">AD8*AD20</f>
        <v>17400</v>
      </c>
      <c r="AE33" s="95">
        <f t="shared" si="30"/>
        <v>17922</v>
      </c>
      <c r="AF33" s="95">
        <f t="shared" ref="AF33" si="31">AF8*AF20</f>
        <v>18459.66</v>
      </c>
      <c r="AG33" s="297"/>
      <c r="AH33" s="297"/>
      <c r="AI33" s="297"/>
      <c r="AJ33" s="297"/>
      <c r="AK33" s="297"/>
    </row>
    <row r="34" spans="1:51">
      <c r="A34" s="9" t="s">
        <v>465</v>
      </c>
      <c r="B34" s="92"/>
      <c r="C34" s="92"/>
      <c r="D34" s="92"/>
      <c r="E34" s="92"/>
      <c r="F34" s="92"/>
      <c r="G34" s="92"/>
      <c r="H34" s="92"/>
      <c r="I34" s="92"/>
      <c r="J34" s="92"/>
      <c r="K34" s="92"/>
      <c r="L34" s="92"/>
      <c r="M34" s="92"/>
      <c r="N34" s="92"/>
      <c r="O34" s="92"/>
      <c r="P34" s="92"/>
      <c r="Q34" s="296"/>
      <c r="R34" s="296"/>
      <c r="S34" s="296"/>
      <c r="T34" s="296"/>
      <c r="U34" s="24"/>
      <c r="V34" s="296"/>
      <c r="W34" s="296"/>
      <c r="X34" s="296"/>
      <c r="Y34" s="296"/>
      <c r="Z34" s="296"/>
      <c r="AA34" s="564">
        <f>BCA_Qtr!BC3</f>
        <v>11379</v>
      </c>
      <c r="AB34" s="548"/>
      <c r="AC34" s="548"/>
      <c r="AD34" s="296"/>
      <c r="AE34" s="296"/>
      <c r="AF34" s="296"/>
    </row>
    <row r="35" spans="1:51">
      <c r="A35" s="1">
        <f t="shared" ref="A35:A44" si="32">A4</f>
        <v>737</v>
      </c>
      <c r="B35" s="398">
        <v>0.12482625078501151</v>
      </c>
      <c r="C35" s="398">
        <v>8.5193910393084799E-2</v>
      </c>
      <c r="D35" s="398">
        <v>8.5000000000000006E-2</v>
      </c>
      <c r="E35" s="398">
        <v>1.4999999999999999E-2</v>
      </c>
      <c r="F35" s="398">
        <v>7.0000000000000007E-2</v>
      </c>
      <c r="G35" s="398">
        <v>7.0000000000000007E-2</v>
      </c>
      <c r="H35" s="398">
        <v>0.13</v>
      </c>
      <c r="I35" s="398">
        <v>0.15</v>
      </c>
      <c r="J35" s="398">
        <v>0.15</v>
      </c>
      <c r="K35" s="398">
        <v>0.15</v>
      </c>
      <c r="L35" s="398">
        <v>0.15</v>
      </c>
      <c r="M35" s="398">
        <v>0.15</v>
      </c>
      <c r="N35" s="398">
        <v>0.18</v>
      </c>
      <c r="O35" s="398">
        <v>0.22</v>
      </c>
      <c r="P35" s="398">
        <v>0.23</v>
      </c>
      <c r="Q35" s="398">
        <v>0.22</v>
      </c>
      <c r="R35" s="200">
        <v>0.22</v>
      </c>
      <c r="S35" s="200">
        <v>0.22</v>
      </c>
      <c r="T35" s="200">
        <v>0.22</v>
      </c>
      <c r="U35" s="212">
        <v>0.18</v>
      </c>
      <c r="V35" s="212">
        <v>0.1</v>
      </c>
      <c r="W35" s="399">
        <v>0.05</v>
      </c>
      <c r="X35" s="399">
        <v>2.5000000000000001E-2</v>
      </c>
      <c r="Y35" s="399">
        <v>0.01</v>
      </c>
      <c r="Z35" s="399">
        <v>-0.14000000000000001</v>
      </c>
      <c r="AA35" s="399">
        <v>-5.5E-2</v>
      </c>
      <c r="AB35" s="399">
        <v>-4.4999999999999998E-2</v>
      </c>
      <c r="AC35" s="399">
        <v>0.13720000000000002</v>
      </c>
      <c r="AD35" s="399">
        <v>0.17</v>
      </c>
      <c r="AE35" s="399">
        <v>0.17</v>
      </c>
      <c r="AF35" s="399">
        <v>0.17</v>
      </c>
      <c r="AG35" s="297"/>
      <c r="AH35" s="297"/>
      <c r="AI35" s="297"/>
      <c r="AJ35" s="297"/>
      <c r="AK35" s="297"/>
    </row>
    <row r="36" spans="1:51">
      <c r="A36" s="1">
        <f t="shared" si="32"/>
        <v>747</v>
      </c>
      <c r="B36" s="200">
        <v>0.08</v>
      </c>
      <c r="C36" s="200">
        <v>0.08</v>
      </c>
      <c r="D36" s="200">
        <v>0.08</v>
      </c>
      <c r="E36" s="200">
        <v>0.08</v>
      </c>
      <c r="F36" s="200">
        <v>0.08</v>
      </c>
      <c r="G36" s="200">
        <v>0.08</v>
      </c>
      <c r="H36" s="200">
        <v>0.08</v>
      </c>
      <c r="I36" s="200">
        <v>7.0000000000000007E-2</v>
      </c>
      <c r="J36" s="200">
        <v>0.06</v>
      </c>
      <c r="K36" s="200">
        <v>0.05</v>
      </c>
      <c r="L36" s="200">
        <v>0.04</v>
      </c>
      <c r="M36" s="200">
        <v>0.03</v>
      </c>
      <c r="N36" s="200">
        <v>0.02</v>
      </c>
      <c r="O36" s="200">
        <v>0.01</v>
      </c>
      <c r="P36" s="200">
        <v>0.01</v>
      </c>
      <c r="Q36" s="200">
        <v>0.01</v>
      </c>
      <c r="R36" s="200">
        <v>0</v>
      </c>
      <c r="S36" s="200">
        <v>0</v>
      </c>
      <c r="T36" s="200">
        <v>0</v>
      </c>
      <c r="U36" s="200">
        <v>0</v>
      </c>
      <c r="V36" s="200">
        <v>0</v>
      </c>
      <c r="W36" s="200">
        <v>0</v>
      </c>
      <c r="X36" s="200">
        <v>0</v>
      </c>
      <c r="Y36" s="200">
        <v>0</v>
      </c>
      <c r="Z36" s="200">
        <v>0</v>
      </c>
      <c r="AA36" s="200">
        <v>0</v>
      </c>
      <c r="AB36" s="200">
        <v>0</v>
      </c>
      <c r="AC36" s="200">
        <v>0</v>
      </c>
      <c r="AD36" s="200">
        <v>0</v>
      </c>
      <c r="AE36" s="200">
        <v>0</v>
      </c>
      <c r="AF36" s="200">
        <v>0</v>
      </c>
      <c r="AG36" s="297"/>
      <c r="AH36" s="297"/>
      <c r="AI36" s="297"/>
      <c r="AJ36" s="297"/>
      <c r="AK36" s="297"/>
    </row>
    <row r="37" spans="1:51">
      <c r="A37" s="1">
        <f t="shared" si="32"/>
        <v>767</v>
      </c>
      <c r="B37" s="200">
        <v>0.08</v>
      </c>
      <c r="C37" s="200">
        <v>0.08</v>
      </c>
      <c r="D37" s="200">
        <v>0.08</v>
      </c>
      <c r="E37" s="200">
        <v>0.08</v>
      </c>
      <c r="F37" s="200">
        <v>0.08</v>
      </c>
      <c r="G37" s="200">
        <v>0.08</v>
      </c>
      <c r="H37" s="200">
        <v>0.08</v>
      </c>
      <c r="I37" s="200">
        <v>0.08</v>
      </c>
      <c r="J37" s="200">
        <v>0.08</v>
      </c>
      <c r="K37" s="200">
        <v>0.08</v>
      </c>
      <c r="L37" s="200">
        <v>0.08</v>
      </c>
      <c r="M37" s="200">
        <v>0.08</v>
      </c>
      <c r="N37" s="200">
        <v>0.08</v>
      </c>
      <c r="O37" s="200">
        <v>0.08</v>
      </c>
      <c r="P37" s="200">
        <v>0.08</v>
      </c>
      <c r="Q37" s="200">
        <v>0.08</v>
      </c>
      <c r="R37" s="200">
        <v>0.08</v>
      </c>
      <c r="S37" s="200">
        <v>0.08</v>
      </c>
      <c r="T37" s="200">
        <v>0.08</v>
      </c>
      <c r="U37" s="200">
        <v>0.08</v>
      </c>
      <c r="V37" s="200">
        <v>0.08</v>
      </c>
      <c r="W37" s="200">
        <v>0.06</v>
      </c>
      <c r="X37" s="200">
        <v>0.02</v>
      </c>
      <c r="Y37" s="200">
        <v>0.08</v>
      </c>
      <c r="Z37" s="200">
        <v>0.08</v>
      </c>
      <c r="AA37" s="200">
        <v>0.08</v>
      </c>
      <c r="AB37" s="200">
        <v>0.08</v>
      </c>
      <c r="AC37" s="200">
        <v>0.08</v>
      </c>
      <c r="AD37" s="200">
        <v>0.08</v>
      </c>
      <c r="AE37" s="200">
        <v>0.08</v>
      </c>
      <c r="AF37" s="200">
        <v>0.08</v>
      </c>
      <c r="AG37" s="297"/>
      <c r="AH37" s="297"/>
      <c r="AI37" s="297"/>
      <c r="AJ37" s="297"/>
      <c r="AK37" s="297"/>
      <c r="AP37">
        <f>113+67+120+120</f>
        <v>420</v>
      </c>
      <c r="AQ37">
        <f>113+60+7+93+27+105+29</f>
        <v>434</v>
      </c>
    </row>
    <row r="38" spans="1:51">
      <c r="A38" s="1">
        <f t="shared" si="32"/>
        <v>777</v>
      </c>
      <c r="B38" s="200">
        <v>0.08</v>
      </c>
      <c r="C38" s="200">
        <v>0.08</v>
      </c>
      <c r="D38" s="200">
        <v>0.08</v>
      </c>
      <c r="E38" s="200">
        <v>0.08</v>
      </c>
      <c r="F38" s="200">
        <v>0.08</v>
      </c>
      <c r="G38" s="200">
        <v>0.08</v>
      </c>
      <c r="H38" s="200">
        <v>0.08</v>
      </c>
      <c r="I38" s="200">
        <v>0.08</v>
      </c>
      <c r="J38" s="200">
        <v>0.08</v>
      </c>
      <c r="K38" s="200">
        <v>0.08</v>
      </c>
      <c r="L38" s="200">
        <v>0.08</v>
      </c>
      <c r="M38" s="200">
        <v>0.08</v>
      </c>
      <c r="N38" s="200">
        <v>0.08</v>
      </c>
      <c r="O38" s="200">
        <v>0.08</v>
      </c>
      <c r="P38" s="200">
        <v>0.08</v>
      </c>
      <c r="Q38" s="200">
        <v>0.08</v>
      </c>
      <c r="R38" s="200">
        <v>0.08</v>
      </c>
      <c r="S38" s="200">
        <v>0.06</v>
      </c>
      <c r="T38" s="200">
        <v>0.06</v>
      </c>
      <c r="U38" s="200">
        <v>0.04</v>
      </c>
      <c r="V38" s="200">
        <v>0.03</v>
      </c>
      <c r="W38" s="200">
        <v>0</v>
      </c>
      <c r="X38" s="200">
        <v>0</v>
      </c>
      <c r="Y38" s="200">
        <v>0</v>
      </c>
      <c r="Z38" s="200">
        <v>0</v>
      </c>
      <c r="AA38" s="200">
        <v>0</v>
      </c>
      <c r="AB38" s="200">
        <v>0</v>
      </c>
      <c r="AC38" s="200">
        <v>0</v>
      </c>
      <c r="AD38" s="200">
        <v>0</v>
      </c>
      <c r="AE38" s="200">
        <v>0</v>
      </c>
      <c r="AF38" s="200">
        <v>0</v>
      </c>
      <c r="AG38" s="297"/>
      <c r="AH38" s="297"/>
      <c r="AI38" s="297"/>
      <c r="AJ38" s="297"/>
      <c r="AK38" s="297"/>
      <c r="AW38" s="595"/>
      <c r="AX38" s="595"/>
      <c r="AY38" s="529"/>
    </row>
    <row r="39" spans="1:51">
      <c r="A39" s="1">
        <f t="shared" si="32"/>
        <v>787</v>
      </c>
      <c r="B39" s="306">
        <v>0</v>
      </c>
      <c r="C39" s="306">
        <v>0</v>
      </c>
      <c r="D39" s="306">
        <v>0</v>
      </c>
      <c r="E39" s="306">
        <v>0</v>
      </c>
      <c r="F39" s="306">
        <v>0</v>
      </c>
      <c r="G39" s="306">
        <v>0</v>
      </c>
      <c r="H39" s="306">
        <v>0</v>
      </c>
      <c r="I39" s="306">
        <v>0</v>
      </c>
      <c r="J39" s="306">
        <v>0</v>
      </c>
      <c r="K39" s="306">
        <v>0</v>
      </c>
      <c r="L39" s="306">
        <v>0</v>
      </c>
      <c r="M39" s="200">
        <v>0</v>
      </c>
      <c r="N39" s="200">
        <v>0</v>
      </c>
      <c r="O39" s="200">
        <v>0</v>
      </c>
      <c r="P39" s="200">
        <v>0</v>
      </c>
      <c r="Q39" s="200">
        <v>0</v>
      </c>
      <c r="R39" s="200">
        <v>0</v>
      </c>
      <c r="S39" s="200">
        <v>0.01</v>
      </c>
      <c r="T39" s="200">
        <v>0.02</v>
      </c>
      <c r="U39" s="200">
        <v>0.03</v>
      </c>
      <c r="V39" s="212">
        <v>0.01</v>
      </c>
      <c r="W39" s="212">
        <v>0</v>
      </c>
      <c r="X39" s="212">
        <v>0</v>
      </c>
      <c r="Y39" s="212">
        <v>0</v>
      </c>
      <c r="Z39" s="212">
        <v>0</v>
      </c>
      <c r="AA39" s="212">
        <v>0</v>
      </c>
      <c r="AB39" s="212">
        <v>0</v>
      </c>
      <c r="AC39" s="212">
        <v>0</v>
      </c>
      <c r="AD39" s="212">
        <v>0</v>
      </c>
      <c r="AE39" s="212">
        <v>0</v>
      </c>
      <c r="AF39" s="212">
        <v>0</v>
      </c>
      <c r="AG39" s="297"/>
      <c r="AH39" s="297"/>
      <c r="AI39" s="297"/>
      <c r="AJ39" s="297"/>
      <c r="AK39" s="297"/>
      <c r="AO39" s="43">
        <f>26*3+31*9+131</f>
        <v>488</v>
      </c>
      <c r="AX39" s="520"/>
      <c r="AY39" s="530"/>
    </row>
    <row r="40" spans="1:51">
      <c r="A40" s="1">
        <f t="shared" si="32"/>
        <v>717</v>
      </c>
      <c r="B40" s="200">
        <v>0.08</v>
      </c>
      <c r="C40" s="200">
        <v>0.08</v>
      </c>
      <c r="D40" s="200">
        <v>0.08</v>
      </c>
      <c r="E40" s="200">
        <v>0.08</v>
      </c>
      <c r="F40" s="200">
        <v>0.08</v>
      </c>
      <c r="G40" s="200">
        <v>0.08</v>
      </c>
      <c r="H40" s="200">
        <v>0.08</v>
      </c>
      <c r="I40" s="306">
        <v>0</v>
      </c>
      <c r="J40" s="306">
        <v>0</v>
      </c>
      <c r="K40" s="306">
        <v>0</v>
      </c>
      <c r="L40" s="306">
        <v>0</v>
      </c>
      <c r="M40" s="306">
        <v>0</v>
      </c>
      <c r="N40" s="306">
        <v>0</v>
      </c>
      <c r="O40" s="306">
        <v>0</v>
      </c>
      <c r="P40" s="306">
        <v>0</v>
      </c>
      <c r="Q40" s="306">
        <v>0</v>
      </c>
      <c r="R40" s="306">
        <v>0</v>
      </c>
      <c r="S40" s="306">
        <v>0</v>
      </c>
      <c r="T40" s="306">
        <v>0</v>
      </c>
      <c r="U40" s="306">
        <v>0</v>
      </c>
      <c r="V40" s="306">
        <v>0</v>
      </c>
      <c r="W40" s="306">
        <v>0</v>
      </c>
      <c r="X40" s="306">
        <v>0</v>
      </c>
      <c r="Y40" s="306">
        <v>0</v>
      </c>
      <c r="Z40" s="306">
        <v>0</v>
      </c>
      <c r="AA40" s="306">
        <v>0</v>
      </c>
      <c r="AB40" s="306">
        <v>0</v>
      </c>
      <c r="AC40" s="306">
        <v>0</v>
      </c>
      <c r="AD40" s="306">
        <v>0</v>
      </c>
      <c r="AE40" s="306">
        <v>0</v>
      </c>
      <c r="AF40" s="306">
        <v>0</v>
      </c>
      <c r="AG40" s="297"/>
      <c r="AH40" s="297"/>
      <c r="AI40" s="297"/>
      <c r="AJ40" s="297"/>
      <c r="AK40" s="297"/>
      <c r="AM40" s="491"/>
      <c r="AX40" s="531"/>
      <c r="AY40" s="530"/>
    </row>
    <row r="41" spans="1:51">
      <c r="A41" s="1">
        <f t="shared" si="32"/>
        <v>757</v>
      </c>
      <c r="B41" s="200">
        <v>0.05</v>
      </c>
      <c r="C41" s="200">
        <v>0.05</v>
      </c>
      <c r="D41" s="200">
        <v>0.05</v>
      </c>
      <c r="E41" s="200">
        <v>0.05</v>
      </c>
      <c r="F41" s="200">
        <v>0.05</v>
      </c>
      <c r="G41" s="200">
        <v>0.05</v>
      </c>
      <c r="H41" s="306">
        <v>0</v>
      </c>
      <c r="I41" s="306">
        <v>0</v>
      </c>
      <c r="J41" s="306">
        <v>0</v>
      </c>
      <c r="K41" s="306">
        <v>0</v>
      </c>
      <c r="L41" s="306">
        <v>0</v>
      </c>
      <c r="M41" s="306">
        <v>0</v>
      </c>
      <c r="N41" s="306">
        <v>0</v>
      </c>
      <c r="O41" s="306">
        <v>0</v>
      </c>
      <c r="P41" s="306">
        <v>0</v>
      </c>
      <c r="Q41" s="306">
        <v>0</v>
      </c>
      <c r="R41" s="306">
        <v>0</v>
      </c>
      <c r="S41" s="306">
        <v>0</v>
      </c>
      <c r="T41" s="306">
        <v>0</v>
      </c>
      <c r="U41" s="306">
        <v>0</v>
      </c>
      <c r="V41" s="306">
        <v>0</v>
      </c>
      <c r="W41" s="306">
        <v>0</v>
      </c>
      <c r="X41" s="306">
        <v>0</v>
      </c>
      <c r="Y41" s="306">
        <v>0</v>
      </c>
      <c r="Z41" s="306">
        <v>0</v>
      </c>
      <c r="AA41" s="306">
        <v>0</v>
      </c>
      <c r="AB41" s="306">
        <v>0</v>
      </c>
      <c r="AC41" s="306">
        <v>0</v>
      </c>
      <c r="AD41" s="306">
        <v>0</v>
      </c>
      <c r="AE41" s="306">
        <v>0</v>
      </c>
      <c r="AF41" s="306">
        <v>0</v>
      </c>
      <c r="AG41" s="297"/>
      <c r="AH41" s="297"/>
      <c r="AI41" s="297"/>
      <c r="AJ41" s="297"/>
      <c r="AK41" s="297"/>
      <c r="AX41" s="520"/>
      <c r="AY41" s="530"/>
    </row>
    <row r="42" spans="1:51">
      <c r="A42" s="1" t="str">
        <f t="shared" si="32"/>
        <v>MD-11</v>
      </c>
      <c r="B42" s="200">
        <v>0.05</v>
      </c>
      <c r="C42" s="200">
        <v>0.05</v>
      </c>
      <c r="D42" s="306">
        <v>0</v>
      </c>
      <c r="E42" s="306">
        <v>0</v>
      </c>
      <c r="F42" s="306">
        <v>0</v>
      </c>
      <c r="G42" s="306">
        <v>0</v>
      </c>
      <c r="H42" s="306">
        <v>0</v>
      </c>
      <c r="I42" s="306">
        <v>0</v>
      </c>
      <c r="J42" s="306">
        <v>0</v>
      </c>
      <c r="K42" s="306">
        <v>0</v>
      </c>
      <c r="L42" s="306">
        <v>0</v>
      </c>
      <c r="M42" s="306">
        <v>0</v>
      </c>
      <c r="N42" s="306">
        <v>0</v>
      </c>
      <c r="O42" s="306">
        <v>0</v>
      </c>
      <c r="P42" s="306">
        <v>0</v>
      </c>
      <c r="Q42" s="306">
        <v>0</v>
      </c>
      <c r="R42" s="306">
        <v>0</v>
      </c>
      <c r="S42" s="306">
        <v>0</v>
      </c>
      <c r="T42" s="306">
        <v>0</v>
      </c>
      <c r="U42" s="306">
        <v>0</v>
      </c>
      <c r="V42" s="306">
        <v>0</v>
      </c>
      <c r="W42" s="306">
        <v>0</v>
      </c>
      <c r="X42" s="306">
        <v>0</v>
      </c>
      <c r="Y42" s="306">
        <v>0</v>
      </c>
      <c r="Z42" s="306">
        <v>0</v>
      </c>
      <c r="AA42" s="306">
        <v>0</v>
      </c>
      <c r="AB42" s="306">
        <v>0</v>
      </c>
      <c r="AC42" s="306">
        <v>0</v>
      </c>
      <c r="AD42" s="306">
        <v>0</v>
      </c>
      <c r="AE42" s="306">
        <v>0</v>
      </c>
      <c r="AF42" s="306">
        <v>0</v>
      </c>
      <c r="AG42" s="297"/>
      <c r="AH42" s="297"/>
      <c r="AI42" s="297"/>
      <c r="AJ42" s="297"/>
      <c r="AK42" s="297"/>
      <c r="AX42" s="520"/>
      <c r="AY42" s="530"/>
    </row>
    <row r="43" spans="1:51">
      <c r="A43" s="1" t="str">
        <f t="shared" si="32"/>
        <v xml:space="preserve">MD-90 </v>
      </c>
      <c r="B43" s="200">
        <v>0.05</v>
      </c>
      <c r="C43" s="306">
        <v>0</v>
      </c>
      <c r="D43" s="306">
        <v>0</v>
      </c>
      <c r="E43" s="306">
        <v>0</v>
      </c>
      <c r="F43" s="306">
        <v>0</v>
      </c>
      <c r="G43" s="306">
        <v>0</v>
      </c>
      <c r="H43" s="306">
        <v>0</v>
      </c>
      <c r="I43" s="306">
        <v>0</v>
      </c>
      <c r="J43" s="306">
        <v>0</v>
      </c>
      <c r="K43" s="306">
        <v>0</v>
      </c>
      <c r="L43" s="306">
        <v>0</v>
      </c>
      <c r="M43" s="306">
        <v>0</v>
      </c>
      <c r="N43" s="306">
        <v>0</v>
      </c>
      <c r="O43" s="306">
        <v>0</v>
      </c>
      <c r="P43" s="306">
        <v>0</v>
      </c>
      <c r="Q43" s="306">
        <v>0</v>
      </c>
      <c r="R43" s="306">
        <v>0</v>
      </c>
      <c r="S43" s="306">
        <v>0</v>
      </c>
      <c r="T43" s="306">
        <v>0</v>
      </c>
      <c r="U43" s="306">
        <v>0</v>
      </c>
      <c r="V43" s="306">
        <v>0</v>
      </c>
      <c r="W43" s="306">
        <v>0</v>
      </c>
      <c r="X43" s="306">
        <v>0</v>
      </c>
      <c r="Y43" s="306">
        <v>0</v>
      </c>
      <c r="Z43" s="306">
        <v>0</v>
      </c>
      <c r="AA43" s="306">
        <v>0</v>
      </c>
      <c r="AB43" s="306">
        <v>0</v>
      </c>
      <c r="AC43" s="306">
        <v>0</v>
      </c>
      <c r="AD43" s="306">
        <v>0</v>
      </c>
      <c r="AE43" s="306">
        <v>0</v>
      </c>
      <c r="AF43" s="306">
        <v>0</v>
      </c>
      <c r="AG43" s="297"/>
      <c r="AH43" s="297"/>
      <c r="AI43" s="297"/>
      <c r="AJ43" s="297"/>
      <c r="AK43" s="297"/>
      <c r="AX43" s="520"/>
      <c r="AY43" s="530"/>
    </row>
    <row r="44" spans="1:51">
      <c r="A44" s="14" t="str">
        <f t="shared" si="32"/>
        <v>Total</v>
      </c>
      <c r="B44" s="302">
        <f>SUMPRODUCT(B4:B12,B16:B24,B35:B43)/B30</f>
        <v>9.3715135738192637E-2</v>
      </c>
      <c r="C44" s="302">
        <f>SUMPRODUCT(C4:C12,C16:C24,C35:C43)/C30</f>
        <v>7.9501560360636492E-2</v>
      </c>
      <c r="D44" s="302">
        <f t="shared" ref="D44:AA44" si="33">SUMPRODUCT(D4:D12,D16:D24,D35:D43)/D30</f>
        <v>7.9785472563363616E-2</v>
      </c>
      <c r="E44" s="302">
        <f t="shared" si="33"/>
        <v>5.4110065359477127E-2</v>
      </c>
      <c r="F44" s="302">
        <f t="shared" si="33"/>
        <v>7.4210172152750525E-2</v>
      </c>
      <c r="G44" s="302">
        <f t="shared" si="33"/>
        <v>7.4945131416947697E-2</v>
      </c>
      <c r="H44" s="302">
        <f t="shared" si="33"/>
        <v>0.10410759666888221</v>
      </c>
      <c r="I44" s="302">
        <f t="shared" si="33"/>
        <v>0.11091521213636742</v>
      </c>
      <c r="J44" s="302">
        <f t="shared" si="33"/>
        <v>0.11255929100441042</v>
      </c>
      <c r="K44" s="302">
        <f t="shared" si="33"/>
        <v>0.11357528037846956</v>
      </c>
      <c r="L44" s="302">
        <f t="shared" si="33"/>
        <v>0.11969575806041219</v>
      </c>
      <c r="M44" s="302">
        <f t="shared" si="33"/>
        <v>0.11252662130534598</v>
      </c>
      <c r="N44" s="302">
        <f t="shared" si="33"/>
        <v>0.10523533378287256</v>
      </c>
      <c r="O44" s="302">
        <f t="shared" si="33"/>
        <v>0.11949050315879864</v>
      </c>
      <c r="P44" s="302">
        <f t="shared" si="33"/>
        <v>0.11733125836922298</v>
      </c>
      <c r="Q44" s="302">
        <f t="shared" si="33"/>
        <v>0.10631839554429148</v>
      </c>
      <c r="R44" s="302">
        <f t="shared" si="33"/>
        <v>0.10681329666736135</v>
      </c>
      <c r="S44" s="302">
        <f t="shared" si="33"/>
        <v>0.11007020647336853</v>
      </c>
      <c r="T44" s="302">
        <f t="shared" si="33"/>
        <v>0.12460662422585429</v>
      </c>
      <c r="U44" s="302">
        <f t="shared" si="33"/>
        <v>5.938582520406132E-2</v>
      </c>
      <c r="V44" s="302">
        <f>SUMPRODUCT(V4:V12,V16:V24,V35:V43)/V30</f>
        <v>3.590614032608512E-2</v>
      </c>
      <c r="W44" s="302">
        <f t="shared" si="33"/>
        <v>3.3580593424218125E-2</v>
      </c>
      <c r="X44" s="302">
        <f t="shared" si="33"/>
        <v>1.646672702580353E-2</v>
      </c>
      <c r="Y44" s="302">
        <f t="shared" ca="1" si="33"/>
        <v>1.1272935434304479E-2</v>
      </c>
      <c r="Z44" s="302">
        <f t="shared" si="33"/>
        <v>-7.3311565336642098E-2</v>
      </c>
      <c r="AA44" s="302">
        <f t="shared" si="33"/>
        <v>-2.4910414742062525E-2</v>
      </c>
      <c r="AB44" s="302">
        <f>SUMPRODUCT(AB4:AB12,AB16:AB24,AB35:AB43)/AB30</f>
        <v>-2.0081322197380708E-2</v>
      </c>
      <c r="AC44" s="302">
        <f>SUMPRODUCT(AC4:AC12,AC16:AC24,AC35:AC43)/AC30</f>
        <v>7.6554962438208515E-2</v>
      </c>
      <c r="AD44" s="302">
        <f>SUMPRODUCT(AD4:AD12,AD16:AD24,AD35:AD43)/AD30</f>
        <v>9.7979979568483935E-2</v>
      </c>
      <c r="AE44" s="302">
        <f>SUMPRODUCT(AE4:AE12,AE16:AE24,AE35:AE43)/AE30</f>
        <v>9.8358455957118535E-2</v>
      </c>
      <c r="AF44" s="302">
        <f>SUMPRODUCT(AF4:AF12,AF16:AF24,AF35:AF43)/AF30</f>
        <v>9.8728716739067982E-2</v>
      </c>
      <c r="AG44" s="297"/>
      <c r="AH44" s="297"/>
      <c r="AI44" s="297"/>
      <c r="AJ44" s="297"/>
      <c r="AK44" s="297"/>
      <c r="AL44" s="505" t="s">
        <v>668</v>
      </c>
      <c r="AM44" t="s">
        <v>661</v>
      </c>
      <c r="AN44" t="s">
        <v>666</v>
      </c>
      <c r="AX44" s="531"/>
      <c r="AY44" s="530"/>
    </row>
    <row r="45" spans="1:51">
      <c r="A45" s="14"/>
      <c r="B45" s="473"/>
      <c r="C45" s="473"/>
      <c r="D45" s="473"/>
      <c r="E45" s="473"/>
      <c r="F45" s="473"/>
      <c r="G45" s="473"/>
      <c r="H45" s="473"/>
      <c r="I45" s="473"/>
      <c r="J45" s="473"/>
      <c r="K45" s="473"/>
      <c r="L45" s="473"/>
      <c r="M45" s="473"/>
      <c r="N45" s="473"/>
      <c r="O45" s="473"/>
      <c r="P45" s="473"/>
      <c r="Q45" s="473"/>
      <c r="R45" s="473"/>
      <c r="S45" s="473"/>
      <c r="T45" s="473"/>
      <c r="U45" s="473"/>
      <c r="V45" s="473"/>
      <c r="W45" s="473"/>
      <c r="X45" s="473"/>
      <c r="Y45" s="473"/>
      <c r="Z45" s="473"/>
      <c r="AA45" s="473"/>
      <c r="AB45" s="473"/>
      <c r="AC45" s="473"/>
      <c r="AD45" s="473"/>
      <c r="AE45" s="473"/>
      <c r="AF45" s="473"/>
      <c r="AG45" s="297"/>
      <c r="AH45" s="297"/>
      <c r="AI45" s="297"/>
      <c r="AJ45" s="297"/>
      <c r="AK45" s="297"/>
      <c r="AL45" s="510">
        <v>55</v>
      </c>
      <c r="AM45">
        <v>30</v>
      </c>
      <c r="AN45">
        <v>20</v>
      </c>
      <c r="AX45" s="531"/>
      <c r="AY45" s="530"/>
    </row>
    <row r="46" spans="1:51">
      <c r="A46" s="9" t="s">
        <v>639</v>
      </c>
      <c r="B46" s="456"/>
      <c r="C46" s="456"/>
      <c r="D46" s="456"/>
      <c r="E46" s="456"/>
      <c r="F46" s="456"/>
      <c r="G46" s="456"/>
      <c r="H46" s="456"/>
      <c r="I46" s="456"/>
      <c r="J46" s="456"/>
      <c r="K46" s="456"/>
      <c r="L46" s="456"/>
      <c r="M46" s="456"/>
      <c r="N46" s="456"/>
      <c r="O46" s="456"/>
      <c r="P46" s="456"/>
      <c r="Q46" s="456"/>
      <c r="R46" s="456"/>
      <c r="S46" s="456"/>
      <c r="T46" s="456"/>
      <c r="U46" s="456"/>
      <c r="V46" s="456"/>
      <c r="W46" s="456"/>
      <c r="X46" s="456"/>
      <c r="Y46" s="456"/>
      <c r="Z46" s="456"/>
      <c r="AA46" s="456"/>
      <c r="AB46" s="456"/>
      <c r="AC46" s="456"/>
      <c r="AD46" s="456"/>
      <c r="AE46" s="456"/>
      <c r="AF46" s="456"/>
      <c r="AG46" s="297"/>
      <c r="AH46" s="297"/>
      <c r="AI46" s="297"/>
      <c r="AJ46" s="297"/>
      <c r="AK46" s="297"/>
      <c r="AL46" s="510"/>
      <c r="AX46" s="531"/>
      <c r="AY46" s="530"/>
    </row>
    <row r="47" spans="1:51">
      <c r="A47" s="13" t="s">
        <v>637</v>
      </c>
      <c r="B47" s="385">
        <v>516</v>
      </c>
      <c r="C47" s="385">
        <v>562</v>
      </c>
      <c r="D47" s="385">
        <v>72</v>
      </c>
      <c r="E47" s="385">
        <v>91</v>
      </c>
      <c r="F47" s="385">
        <v>183</v>
      </c>
      <c r="G47" s="385">
        <v>232</v>
      </c>
      <c r="H47" s="385">
        <v>291</v>
      </c>
      <c r="I47" s="385">
        <v>234</v>
      </c>
      <c r="J47" s="385">
        <v>162</v>
      </c>
      <c r="K47" s="385">
        <v>126</v>
      </c>
      <c r="L47" s="385">
        <v>152</v>
      </c>
      <c r="M47" s="385">
        <v>113</v>
      </c>
      <c r="N47" s="385">
        <v>88</v>
      </c>
      <c r="O47" s="385">
        <v>107</v>
      </c>
      <c r="P47" s="385">
        <v>92</v>
      </c>
      <c r="Q47" s="385">
        <v>50</v>
      </c>
      <c r="R47" s="385">
        <v>59</v>
      </c>
      <c r="S47" s="385">
        <v>114</v>
      </c>
      <c r="T47" s="385">
        <v>79</v>
      </c>
      <c r="U47" s="385">
        <v>28</v>
      </c>
      <c r="V47" s="385">
        <v>63</v>
      </c>
      <c r="W47" s="385">
        <v>106</v>
      </c>
      <c r="X47" s="385">
        <v>29</v>
      </c>
      <c r="Y47" s="512">
        <v>24.1188</v>
      </c>
      <c r="Z47" s="512">
        <v>24.359988000000001</v>
      </c>
      <c r="AA47" s="512">
        <v>24.603587880000003</v>
      </c>
      <c r="AB47" s="512">
        <v>24.849623758800004</v>
      </c>
      <c r="AC47" s="512">
        <v>25.098119996388007</v>
      </c>
      <c r="AD47" s="512">
        <v>25.098119996388007</v>
      </c>
      <c r="AE47" s="512">
        <v>25.098119996388007</v>
      </c>
      <c r="AF47" s="512">
        <v>25.098119996388007</v>
      </c>
      <c r="AG47" s="297"/>
      <c r="AH47" s="297"/>
      <c r="AI47" s="297"/>
      <c r="AJ47" s="297"/>
      <c r="AK47" s="297"/>
      <c r="AL47" s="510"/>
      <c r="AX47" s="531"/>
      <c r="AY47" s="530"/>
    </row>
    <row r="48" spans="1:51">
      <c r="A48" s="13" t="s">
        <v>638</v>
      </c>
      <c r="B48" s="511">
        <f>B47/B27</f>
        <v>0.70879120879120883</v>
      </c>
      <c r="C48" s="511">
        <f t="shared" ref="C48:AC48" si="34">C47/C27</f>
        <v>0.68957055214723928</v>
      </c>
      <c r="D48" s="511">
        <f t="shared" si="34"/>
        <v>7.2434607645875254E-2</v>
      </c>
      <c r="E48" s="511">
        <f t="shared" si="34"/>
        <v>9.1826437941473257E-2</v>
      </c>
      <c r="F48" s="511">
        <f t="shared" si="34"/>
        <v>0.19082377476538059</v>
      </c>
      <c r="G48" s="511">
        <f t="shared" si="34"/>
        <v>0.2401656314699793</v>
      </c>
      <c r="H48" s="511">
        <f t="shared" si="34"/>
        <v>0.28390243902439022</v>
      </c>
      <c r="I48" s="511">
        <f t="shared" si="34"/>
        <v>0.28711656441717792</v>
      </c>
      <c r="J48" s="511">
        <f t="shared" si="34"/>
        <v>0.23044096728307253</v>
      </c>
      <c r="K48" s="511">
        <f t="shared" si="34"/>
        <v>0.19090909090909092</v>
      </c>
      <c r="L48" s="511">
        <f t="shared" si="34"/>
        <v>0.23787167449139279</v>
      </c>
      <c r="M48" s="511">
        <f t="shared" si="34"/>
        <v>0.21730769230769231</v>
      </c>
      <c r="N48" s="511">
        <f t="shared" si="34"/>
        <v>0.18803418803418803</v>
      </c>
      <c r="O48" s="511">
        <f t="shared" si="34"/>
        <v>0.26225490196078433</v>
      </c>
      <c r="P48" s="511">
        <f t="shared" si="34"/>
        <v>0.22115384615384615</v>
      </c>
      <c r="Q48" s="511">
        <f t="shared" si="34"/>
        <v>0.12106537530266344</v>
      </c>
      <c r="R48" s="511">
        <f t="shared" si="34"/>
        <v>0.19798657718120805</v>
      </c>
      <c r="S48" s="511">
        <f t="shared" si="34"/>
        <v>0.37133550488599348</v>
      </c>
      <c r="T48" s="511">
        <f t="shared" si="34"/>
        <v>0.28832116788321166</v>
      </c>
      <c r="U48" s="511">
        <f t="shared" si="34"/>
        <v>0.11475409836065574</v>
      </c>
      <c r="V48" s="511">
        <f t="shared" si="34"/>
        <v>0.2413793103448276</v>
      </c>
      <c r="W48" s="511">
        <f t="shared" si="34"/>
        <v>0.38970588235294118</v>
      </c>
      <c r="X48" s="511">
        <f t="shared" si="34"/>
        <v>0.14572864321608039</v>
      </c>
      <c r="Y48" s="511">
        <f t="shared" si="34"/>
        <v>0.11765268292682927</v>
      </c>
      <c r="Z48" s="511">
        <f t="shared" si="34"/>
        <v>0.11882920975609756</v>
      </c>
      <c r="AA48" s="511">
        <f t="shared" si="34"/>
        <v>0.12001750185365855</v>
      </c>
      <c r="AB48" s="511">
        <f t="shared" si="34"/>
        <v>0.12121767687219515</v>
      </c>
      <c r="AC48" s="511">
        <f t="shared" si="34"/>
        <v>0.1224298536409171</v>
      </c>
      <c r="AD48" s="511">
        <f t="shared" ref="AD48:AE48" si="35">AD47/AD27</f>
        <v>0.1224298536409171</v>
      </c>
      <c r="AE48" s="511">
        <f t="shared" si="35"/>
        <v>0.1224298536409171</v>
      </c>
      <c r="AF48" s="511">
        <f t="shared" ref="AF48" si="36">AF47/AF27</f>
        <v>0.1224298536409171</v>
      </c>
      <c r="AP48" s="560"/>
      <c r="AX48" s="520"/>
      <c r="AY48" s="530"/>
    </row>
    <row r="49" spans="1:52">
      <c r="A49" s="14"/>
      <c r="AP49" s="560"/>
      <c r="AX49" s="520"/>
      <c r="AY49" s="530"/>
    </row>
    <row r="50" spans="1:52">
      <c r="A50" s="9" t="s">
        <v>466</v>
      </c>
      <c r="B50" s="92"/>
      <c r="C50" s="92"/>
      <c r="D50" s="92"/>
      <c r="E50" s="92"/>
      <c r="F50" s="92"/>
      <c r="G50" s="92"/>
      <c r="H50" s="92"/>
      <c r="I50" s="92"/>
      <c r="J50" s="92"/>
      <c r="K50" s="92"/>
      <c r="L50" s="92"/>
      <c r="M50" s="92"/>
      <c r="N50" s="92"/>
      <c r="O50" s="92"/>
      <c r="P50" s="92"/>
      <c r="Q50" s="296"/>
      <c r="R50" s="296"/>
      <c r="S50" s="296"/>
      <c r="T50" s="296"/>
      <c r="U50" s="24"/>
      <c r="V50" s="296"/>
      <c r="W50" s="296"/>
      <c r="X50" s="296"/>
      <c r="Y50" s="296"/>
      <c r="Z50" s="296"/>
      <c r="AA50" s="296"/>
      <c r="AB50" s="296"/>
      <c r="AC50" s="296"/>
      <c r="AD50" s="296"/>
      <c r="AE50" s="296"/>
      <c r="AF50" s="296"/>
      <c r="AP50" s="560"/>
      <c r="AX50" s="531"/>
      <c r="AY50" s="530"/>
    </row>
    <row r="51" spans="1:52">
      <c r="A51" s="1">
        <f t="shared" ref="A51:A59" si="37">A4</f>
        <v>737</v>
      </c>
      <c r="B51" s="303">
        <f>B4*B16*B35</f>
        <v>1362.9599999999998</v>
      </c>
      <c r="C51" s="303">
        <f t="shared" ref="C51:AA51" si="38">C4*C16*C35</f>
        <v>1089.4399999999994</v>
      </c>
      <c r="D51" s="303">
        <f t="shared" si="38"/>
        <v>781.76567567567577</v>
      </c>
      <c r="E51" s="303">
        <f t="shared" si="38"/>
        <v>108.435</v>
      </c>
      <c r="F51" s="303">
        <f t="shared" si="38"/>
        <v>586.88000000000011</v>
      </c>
      <c r="G51" s="303">
        <f t="shared" si="38"/>
        <v>636.65000000000009</v>
      </c>
      <c r="H51" s="303">
        <f t="shared" si="38"/>
        <v>1603.16</v>
      </c>
      <c r="I51" s="303">
        <f t="shared" si="38"/>
        <v>1969.2650602409637</v>
      </c>
      <c r="J51" s="303">
        <f t="shared" si="38"/>
        <v>1771.6499999999999</v>
      </c>
      <c r="K51" s="303">
        <f t="shared" si="38"/>
        <v>2256</v>
      </c>
      <c r="L51" s="303">
        <f t="shared" si="38"/>
        <v>2340.15</v>
      </c>
      <c r="M51" s="303">
        <f t="shared" si="38"/>
        <v>2428.65</v>
      </c>
      <c r="N51" s="303">
        <f t="shared" si="38"/>
        <v>3378.6</v>
      </c>
      <c r="O51" s="303">
        <f t="shared" si="38"/>
        <v>4444.88</v>
      </c>
      <c r="P51" s="303">
        <f t="shared" si="38"/>
        <v>5166.72</v>
      </c>
      <c r="Q51" s="303">
        <f t="shared" si="38"/>
        <v>4952.1538</v>
      </c>
      <c r="R51" s="303">
        <f t="shared" si="38"/>
        <v>4956.4460000000008</v>
      </c>
      <c r="S51" s="303">
        <f t="shared" si="38"/>
        <v>5414.0680000000002</v>
      </c>
      <c r="T51" s="303">
        <f t="shared" si="38"/>
        <v>6470.8159999999998</v>
      </c>
      <c r="U51" s="303">
        <f t="shared" si="38"/>
        <v>1174.5</v>
      </c>
      <c r="V51" s="303">
        <f t="shared" si="38"/>
        <v>229.29843478260869</v>
      </c>
      <c r="W51" s="303">
        <f t="shared" si="38"/>
        <v>526</v>
      </c>
      <c r="X51" s="303">
        <f t="shared" si="38"/>
        <v>387</v>
      </c>
      <c r="Y51" s="303">
        <f t="shared" si="38"/>
        <v>182.16</v>
      </c>
      <c r="Z51" s="303">
        <f t="shared" si="38"/>
        <v>-1791.9300000000005</v>
      </c>
      <c r="AA51" s="303">
        <f t="shared" si="38"/>
        <v>-1204.665</v>
      </c>
      <c r="AB51" s="303">
        <f t="shared" ref="AB51:AC59" si="39">AB4*AB16*AB35</f>
        <v>-1235.390704225352</v>
      </c>
      <c r="AC51" s="303">
        <f t="shared" si="39"/>
        <v>4379.2037070422539</v>
      </c>
      <c r="AD51" s="303">
        <f t="shared" ref="AD51:AE51" si="40">AD4*AD16*AD35</f>
        <v>5847.8467605633805</v>
      </c>
      <c r="AE51" s="303">
        <f t="shared" si="40"/>
        <v>6023.2821633802823</v>
      </c>
      <c r="AF51" s="303">
        <f t="shared" ref="AF51" si="41">AF4*AF16*AF35</f>
        <v>6203.9806282816908</v>
      </c>
      <c r="AX51" s="520"/>
      <c r="AY51" s="530"/>
    </row>
    <row r="52" spans="1:52">
      <c r="A52" s="1">
        <f t="shared" si="37"/>
        <v>747</v>
      </c>
      <c r="B52" s="303">
        <f t="shared" ref="B52:AA52" si="42">B5*B17*B36</f>
        <v>312</v>
      </c>
      <c r="C52" s="303">
        <f t="shared" si="42"/>
        <v>391.84000000000003</v>
      </c>
      <c r="D52" s="303">
        <f t="shared" si="42"/>
        <v>345.6</v>
      </c>
      <c r="E52" s="303">
        <f t="shared" si="42"/>
        <v>249.28</v>
      </c>
      <c r="F52" s="303">
        <f t="shared" si="42"/>
        <v>199.20000000000002</v>
      </c>
      <c r="G52" s="303">
        <f t="shared" si="42"/>
        <v>174.72</v>
      </c>
      <c r="H52" s="303">
        <f t="shared" si="42"/>
        <v>183.68</v>
      </c>
      <c r="I52" s="303">
        <f t="shared" si="42"/>
        <v>176.96</v>
      </c>
      <c r="J52" s="303">
        <f t="shared" si="42"/>
        <v>132.72</v>
      </c>
      <c r="K52" s="303">
        <f t="shared" si="42"/>
        <v>63.2</v>
      </c>
      <c r="L52" s="303">
        <f t="shared" si="42"/>
        <v>0</v>
      </c>
      <c r="M52" s="303">
        <f t="shared" si="42"/>
        <v>48.6</v>
      </c>
      <c r="N52" s="303">
        <f t="shared" si="42"/>
        <v>110.36</v>
      </c>
      <c r="O52" s="303">
        <f t="shared" si="42"/>
        <v>42.72</v>
      </c>
      <c r="P52" s="303">
        <f t="shared" si="42"/>
        <v>34.200000000000003</v>
      </c>
      <c r="Q52" s="303">
        <f t="shared" si="42"/>
        <v>32.22</v>
      </c>
      <c r="R52" s="303">
        <f t="shared" si="42"/>
        <v>0</v>
      </c>
      <c r="S52" s="303">
        <f t="shared" si="42"/>
        <v>0</v>
      </c>
      <c r="T52" s="303">
        <f t="shared" si="42"/>
        <v>0</v>
      </c>
      <c r="U52" s="303">
        <f t="shared" si="42"/>
        <v>0</v>
      </c>
      <c r="V52" s="303">
        <f t="shared" si="42"/>
        <v>0</v>
      </c>
      <c r="W52" s="303">
        <f t="shared" si="42"/>
        <v>0</v>
      </c>
      <c r="X52" s="303">
        <f t="shared" si="42"/>
        <v>0</v>
      </c>
      <c r="Y52" s="303">
        <f t="shared" si="42"/>
        <v>0</v>
      </c>
      <c r="Z52" s="303">
        <f t="shared" si="42"/>
        <v>0</v>
      </c>
      <c r="AA52" s="303">
        <f t="shared" si="42"/>
        <v>0</v>
      </c>
      <c r="AB52" s="303">
        <f t="shared" si="39"/>
        <v>0</v>
      </c>
      <c r="AC52" s="303">
        <f t="shared" si="39"/>
        <v>0</v>
      </c>
      <c r="AD52" s="303">
        <f t="shared" ref="AD52:AE52" si="43">AD5*AD17*AD36</f>
        <v>0</v>
      </c>
      <c r="AE52" s="303">
        <f t="shared" si="43"/>
        <v>0</v>
      </c>
      <c r="AF52" s="303">
        <f t="shared" ref="AF52" si="44">AF5*AF17*AF36</f>
        <v>0</v>
      </c>
    </row>
    <row r="53" spans="1:52">
      <c r="A53" s="1">
        <f t="shared" si="37"/>
        <v>767</v>
      </c>
      <c r="B53" s="303">
        <f t="shared" ref="B53:AA53" si="45">B6*B18*B37</f>
        <v>297.04000000000002</v>
      </c>
      <c r="C53" s="303">
        <f t="shared" si="45"/>
        <v>275.04000000000002</v>
      </c>
      <c r="D53" s="303">
        <f t="shared" si="45"/>
        <v>253.68</v>
      </c>
      <c r="E53" s="303">
        <f t="shared" si="45"/>
        <v>168.96</v>
      </c>
      <c r="F53" s="303">
        <f t="shared" si="45"/>
        <v>63.36</v>
      </c>
      <c r="G53" s="303">
        <f t="shared" si="45"/>
        <v>66</v>
      </c>
      <c r="H53" s="303">
        <f t="shared" si="45"/>
        <v>82.72</v>
      </c>
      <c r="I53" s="303">
        <f t="shared" si="45"/>
        <v>82.64</v>
      </c>
      <c r="J53" s="303">
        <f t="shared" si="45"/>
        <v>64.64</v>
      </c>
      <c r="K53" s="303">
        <f t="shared" si="45"/>
        <v>85.68</v>
      </c>
      <c r="L53" s="303">
        <f t="shared" si="45"/>
        <v>78.72</v>
      </c>
      <c r="M53" s="303">
        <f t="shared" si="45"/>
        <v>132.80000000000001</v>
      </c>
      <c r="N53" s="303">
        <f t="shared" si="45"/>
        <v>168.48</v>
      </c>
      <c r="O53" s="303">
        <f t="shared" si="45"/>
        <v>136.08000000000001</v>
      </c>
      <c r="P53" s="303">
        <f t="shared" si="45"/>
        <v>38.880000000000003</v>
      </c>
      <c r="Q53" s="303">
        <f t="shared" si="45"/>
        <v>102.4</v>
      </c>
      <c r="R53" s="303">
        <f t="shared" si="45"/>
        <v>82.16</v>
      </c>
      <c r="S53" s="303">
        <f t="shared" si="45"/>
        <v>64</v>
      </c>
      <c r="T53" s="303">
        <f t="shared" si="45"/>
        <v>172.8</v>
      </c>
      <c r="U53" s="303">
        <f t="shared" si="45"/>
        <v>275.2</v>
      </c>
      <c r="V53" s="303">
        <f t="shared" si="45"/>
        <v>192</v>
      </c>
      <c r="W53" s="303">
        <f t="shared" si="45"/>
        <v>144</v>
      </c>
      <c r="X53" s="303">
        <f t="shared" si="45"/>
        <v>49.5</v>
      </c>
      <c r="Y53" s="303">
        <f t="shared" si="45"/>
        <v>192</v>
      </c>
      <c r="Z53" s="303">
        <f t="shared" si="45"/>
        <v>108</v>
      </c>
      <c r="AA53" s="303">
        <f t="shared" si="45"/>
        <v>180</v>
      </c>
      <c r="AB53" s="303">
        <f t="shared" si="39"/>
        <v>216</v>
      </c>
      <c r="AC53" s="303">
        <f t="shared" si="39"/>
        <v>0</v>
      </c>
      <c r="AD53" s="303">
        <f t="shared" ref="AD53:AE53" si="46">AD6*AD18*AD37</f>
        <v>0</v>
      </c>
      <c r="AE53" s="303">
        <f t="shared" si="46"/>
        <v>0</v>
      </c>
      <c r="AF53" s="303">
        <f t="shared" ref="AF53" si="47">AF6*AF18*AF37</f>
        <v>0</v>
      </c>
    </row>
    <row r="54" spans="1:52">
      <c r="A54" s="1">
        <f t="shared" si="37"/>
        <v>777</v>
      </c>
      <c r="B54" s="303">
        <f t="shared" ref="B54:AA54" si="48">B7*B19*B38</f>
        <v>554.16</v>
      </c>
      <c r="C54" s="303">
        <f t="shared" si="48"/>
        <v>637.52</v>
      </c>
      <c r="D54" s="303">
        <f t="shared" si="48"/>
        <v>503.04</v>
      </c>
      <c r="E54" s="303">
        <f t="shared" si="48"/>
        <v>442.07999999999993</v>
      </c>
      <c r="F54" s="303">
        <f t="shared" si="48"/>
        <v>417.6</v>
      </c>
      <c r="G54" s="303">
        <f t="shared" si="48"/>
        <v>490.88</v>
      </c>
      <c r="H54" s="303">
        <f t="shared" si="48"/>
        <v>783.2</v>
      </c>
      <c r="I54" s="303">
        <f t="shared" si="48"/>
        <v>977.52000000000021</v>
      </c>
      <c r="J54" s="303">
        <f t="shared" si="48"/>
        <v>736.24</v>
      </c>
      <c r="K54" s="303">
        <f t="shared" si="48"/>
        <v>1028.1599999999999</v>
      </c>
      <c r="L54" s="303">
        <f t="shared" si="48"/>
        <v>874.08</v>
      </c>
      <c r="M54" s="303">
        <f t="shared" si="48"/>
        <v>914.1600000000002</v>
      </c>
      <c r="N54" s="303">
        <f t="shared" si="48"/>
        <v>1024.48</v>
      </c>
      <c r="O54" s="303">
        <f t="shared" si="48"/>
        <v>1220.7200000000003</v>
      </c>
      <c r="P54" s="303">
        <f t="shared" si="48"/>
        <v>1244.1600000000001</v>
      </c>
      <c r="Q54" s="303">
        <f t="shared" si="48"/>
        <v>1239.68</v>
      </c>
      <c r="R54" s="303">
        <f t="shared" si="48"/>
        <v>1265.44</v>
      </c>
      <c r="S54" s="303">
        <f t="shared" si="48"/>
        <v>712.38</v>
      </c>
      <c r="T54" s="303">
        <f t="shared" si="48"/>
        <v>449.28</v>
      </c>
      <c r="U54" s="303">
        <f t="shared" si="48"/>
        <v>271.56</v>
      </c>
      <c r="V54" s="303">
        <f t="shared" si="48"/>
        <v>126.65249999999999</v>
      </c>
      <c r="W54" s="303">
        <f t="shared" si="48"/>
        <v>0</v>
      </c>
      <c r="X54" s="303">
        <f t="shared" si="48"/>
        <v>0</v>
      </c>
      <c r="Y54" s="303">
        <f t="shared" si="48"/>
        <v>0</v>
      </c>
      <c r="Z54" s="303">
        <f t="shared" si="48"/>
        <v>0</v>
      </c>
      <c r="AA54" s="303">
        <f t="shared" si="48"/>
        <v>0</v>
      </c>
      <c r="AB54" s="303">
        <f t="shared" si="39"/>
        <v>0</v>
      </c>
      <c r="AC54" s="303">
        <f t="shared" si="39"/>
        <v>0</v>
      </c>
      <c r="AD54" s="303">
        <f t="shared" ref="AD54:AE54" si="49">AD7*AD19*AD38</f>
        <v>0</v>
      </c>
      <c r="AE54" s="303">
        <f t="shared" si="49"/>
        <v>0</v>
      </c>
      <c r="AF54" s="303">
        <f t="shared" ref="AF54" si="50">AF7*AF19*AF38</f>
        <v>0</v>
      </c>
    </row>
    <row r="55" spans="1:52">
      <c r="A55" s="1">
        <f t="shared" si="37"/>
        <v>787</v>
      </c>
      <c r="B55" s="303">
        <f t="shared" ref="B55:AA55" si="51">B8*B20*B39</f>
        <v>0</v>
      </c>
      <c r="C55" s="303">
        <f t="shared" si="51"/>
        <v>0</v>
      </c>
      <c r="D55" s="303">
        <f t="shared" si="51"/>
        <v>0</v>
      </c>
      <c r="E55" s="303">
        <f t="shared" si="51"/>
        <v>0</v>
      </c>
      <c r="F55" s="303">
        <f t="shared" si="51"/>
        <v>0</v>
      </c>
      <c r="G55" s="303">
        <f t="shared" si="51"/>
        <v>0</v>
      </c>
      <c r="H55" s="303">
        <f t="shared" si="51"/>
        <v>0</v>
      </c>
      <c r="I55" s="303">
        <f t="shared" si="51"/>
        <v>0</v>
      </c>
      <c r="J55" s="303">
        <f t="shared" si="51"/>
        <v>0</v>
      </c>
      <c r="K55" s="303">
        <f t="shared" si="51"/>
        <v>0</v>
      </c>
      <c r="L55" s="303">
        <f t="shared" si="51"/>
        <v>0</v>
      </c>
      <c r="M55" s="303">
        <f t="shared" si="51"/>
        <v>0</v>
      </c>
      <c r="N55" s="303">
        <f t="shared" si="51"/>
        <v>0</v>
      </c>
      <c r="O55" s="303">
        <f t="shared" si="51"/>
        <v>0</v>
      </c>
      <c r="P55" s="303">
        <f t="shared" si="51"/>
        <v>0</v>
      </c>
      <c r="Q55" s="303">
        <f t="shared" si="51"/>
        <v>0</v>
      </c>
      <c r="R55" s="303">
        <f t="shared" si="51"/>
        <v>0</v>
      </c>
      <c r="S55" s="303">
        <f t="shared" si="51"/>
        <v>181.12</v>
      </c>
      <c r="T55" s="303">
        <f t="shared" si="51"/>
        <v>399.8</v>
      </c>
      <c r="U55" s="303">
        <f t="shared" si="51"/>
        <v>665.1</v>
      </c>
      <c r="V55" s="303">
        <f t="shared" si="51"/>
        <v>75.480833333333337</v>
      </c>
      <c r="W55" s="303">
        <f t="shared" si="51"/>
        <v>0</v>
      </c>
      <c r="X55" s="303">
        <f t="shared" si="51"/>
        <v>0</v>
      </c>
      <c r="Y55" s="303">
        <f t="shared" si="51"/>
        <v>0</v>
      </c>
      <c r="Z55" s="303">
        <f t="shared" si="51"/>
        <v>0</v>
      </c>
      <c r="AA55" s="303">
        <f t="shared" si="51"/>
        <v>0</v>
      </c>
      <c r="AB55" s="303">
        <f t="shared" si="39"/>
        <v>0</v>
      </c>
      <c r="AC55" s="303">
        <f t="shared" si="39"/>
        <v>0</v>
      </c>
      <c r="AD55" s="303">
        <f t="shared" ref="AD55:AE55" si="52">AD8*AD20*AD39</f>
        <v>0</v>
      </c>
      <c r="AE55" s="303">
        <f t="shared" si="52"/>
        <v>0</v>
      </c>
      <c r="AF55" s="303">
        <f t="shared" ref="AF55" si="53">AF8*AF20*AF39</f>
        <v>0</v>
      </c>
    </row>
    <row r="56" spans="1:52">
      <c r="A56" s="1">
        <f t="shared" si="37"/>
        <v>717</v>
      </c>
      <c r="B56" s="303">
        <f t="shared" ref="B56:AA56" si="54">B9*B21*B40</f>
        <v>61.44</v>
      </c>
      <c r="C56" s="303">
        <f t="shared" si="54"/>
        <v>99.960000000000008</v>
      </c>
      <c r="D56" s="303">
        <f t="shared" si="54"/>
        <v>40</v>
      </c>
      <c r="E56" s="303">
        <f t="shared" si="54"/>
        <v>24</v>
      </c>
      <c r="F56" s="303">
        <f t="shared" si="54"/>
        <v>24</v>
      </c>
      <c r="G56" s="303">
        <f t="shared" si="54"/>
        <v>26</v>
      </c>
      <c r="H56" s="303">
        <f t="shared" si="54"/>
        <v>10</v>
      </c>
      <c r="I56" s="303">
        <f t="shared" si="54"/>
        <v>0</v>
      </c>
      <c r="J56" s="303">
        <f t="shared" si="54"/>
        <v>0</v>
      </c>
      <c r="K56" s="303">
        <f t="shared" si="54"/>
        <v>0</v>
      </c>
      <c r="L56" s="303">
        <f t="shared" si="54"/>
        <v>0</v>
      </c>
      <c r="M56" s="303">
        <f t="shared" si="54"/>
        <v>0</v>
      </c>
      <c r="N56" s="303">
        <f t="shared" si="54"/>
        <v>0</v>
      </c>
      <c r="O56" s="303">
        <f t="shared" si="54"/>
        <v>0</v>
      </c>
      <c r="P56" s="303">
        <f t="shared" si="54"/>
        <v>0</v>
      </c>
      <c r="Q56" s="303">
        <f t="shared" si="54"/>
        <v>0</v>
      </c>
      <c r="R56" s="303">
        <f t="shared" si="54"/>
        <v>0</v>
      </c>
      <c r="S56" s="303">
        <f t="shared" si="54"/>
        <v>0</v>
      </c>
      <c r="T56" s="303">
        <f t="shared" si="54"/>
        <v>0</v>
      </c>
      <c r="U56" s="303">
        <f t="shared" si="54"/>
        <v>0</v>
      </c>
      <c r="V56" s="303">
        <f t="shared" si="54"/>
        <v>0</v>
      </c>
      <c r="W56" s="303">
        <f t="shared" si="54"/>
        <v>0</v>
      </c>
      <c r="X56" s="303">
        <f t="shared" si="54"/>
        <v>0</v>
      </c>
      <c r="Y56" s="303">
        <f t="shared" ca="1" si="54"/>
        <v>0</v>
      </c>
      <c r="Z56" s="303">
        <f t="shared" si="54"/>
        <v>0</v>
      </c>
      <c r="AA56" s="303">
        <f t="shared" si="54"/>
        <v>0</v>
      </c>
      <c r="AB56" s="303">
        <f t="shared" si="39"/>
        <v>0</v>
      </c>
      <c r="AC56" s="303">
        <f t="shared" si="39"/>
        <v>0</v>
      </c>
      <c r="AD56" s="303">
        <f t="shared" ref="AD56:AE56" si="55">AD9*AD21*AD40</f>
        <v>0</v>
      </c>
      <c r="AE56" s="303">
        <f t="shared" si="55"/>
        <v>0</v>
      </c>
      <c r="AF56" s="303">
        <f t="shared" ref="AF56" si="56">AF9*AF21*AF40</f>
        <v>0</v>
      </c>
    </row>
    <row r="57" spans="1:52">
      <c r="A57" s="1">
        <f t="shared" si="37"/>
        <v>757</v>
      </c>
      <c r="B57" s="303">
        <f t="shared" ref="B57:AA57" si="57">B10*B22*B41</f>
        <v>122.5</v>
      </c>
      <c r="C57" s="303">
        <f t="shared" si="57"/>
        <v>127.80000000000001</v>
      </c>
      <c r="D57" s="303">
        <f t="shared" si="57"/>
        <v>85.65</v>
      </c>
      <c r="E57" s="303">
        <f t="shared" si="57"/>
        <v>42.1</v>
      </c>
      <c r="F57" s="303">
        <f t="shared" si="57"/>
        <v>32.35</v>
      </c>
      <c r="G57" s="303">
        <f t="shared" si="57"/>
        <v>5.8000000000000007</v>
      </c>
      <c r="H57" s="303">
        <f t="shared" si="57"/>
        <v>0</v>
      </c>
      <c r="I57" s="303">
        <f t="shared" si="57"/>
        <v>0</v>
      </c>
      <c r="J57" s="303">
        <f t="shared" si="57"/>
        <v>0</v>
      </c>
      <c r="K57" s="303">
        <f t="shared" si="57"/>
        <v>0</v>
      </c>
      <c r="L57" s="303">
        <f t="shared" si="57"/>
        <v>0</v>
      </c>
      <c r="M57" s="303">
        <f t="shared" si="57"/>
        <v>0</v>
      </c>
      <c r="N57" s="303">
        <f t="shared" si="57"/>
        <v>0</v>
      </c>
      <c r="O57" s="303">
        <f t="shared" si="57"/>
        <v>0</v>
      </c>
      <c r="P57" s="303">
        <f t="shared" si="57"/>
        <v>0</v>
      </c>
      <c r="Q57" s="303">
        <f t="shared" si="57"/>
        <v>0</v>
      </c>
      <c r="R57" s="303">
        <f t="shared" si="57"/>
        <v>0</v>
      </c>
      <c r="S57" s="303">
        <f t="shared" si="57"/>
        <v>0</v>
      </c>
      <c r="T57" s="303">
        <f t="shared" si="57"/>
        <v>0</v>
      </c>
      <c r="U57" s="303">
        <f t="shared" si="57"/>
        <v>0</v>
      </c>
      <c r="V57" s="303">
        <f t="shared" si="57"/>
        <v>0</v>
      </c>
      <c r="W57" s="303">
        <f t="shared" si="57"/>
        <v>0</v>
      </c>
      <c r="X57" s="303">
        <f t="shared" si="57"/>
        <v>0</v>
      </c>
      <c r="Y57" s="303">
        <f t="shared" ca="1" si="57"/>
        <v>0</v>
      </c>
      <c r="Z57" s="303">
        <f t="shared" si="57"/>
        <v>0</v>
      </c>
      <c r="AA57" s="303">
        <f t="shared" si="57"/>
        <v>0</v>
      </c>
      <c r="AB57" s="303">
        <f t="shared" si="39"/>
        <v>0</v>
      </c>
      <c r="AC57" s="303">
        <f t="shared" si="39"/>
        <v>0</v>
      </c>
      <c r="AD57" s="303">
        <f t="shared" ref="AD57:AE57" si="58">AD10*AD22*AD41</f>
        <v>0</v>
      </c>
      <c r="AE57" s="303">
        <f t="shared" si="58"/>
        <v>0</v>
      </c>
      <c r="AF57" s="303">
        <f t="shared" ref="AF57" si="59">AF10*AF22*AF41</f>
        <v>0</v>
      </c>
    </row>
    <row r="58" spans="1:52">
      <c r="A58" s="1" t="str">
        <f t="shared" si="37"/>
        <v>MD-11</v>
      </c>
      <c r="B58" s="303">
        <f t="shared" ref="B58:AA58" si="60">B11*B23*B42</f>
        <v>20.8</v>
      </c>
      <c r="C58" s="303">
        <f t="shared" si="60"/>
        <v>10.4</v>
      </c>
      <c r="D58" s="303">
        <f t="shared" si="60"/>
        <v>0</v>
      </c>
      <c r="E58" s="303">
        <f t="shared" si="60"/>
        <v>0</v>
      </c>
      <c r="F58" s="303">
        <f t="shared" si="60"/>
        <v>0</v>
      </c>
      <c r="G58" s="303">
        <f t="shared" si="60"/>
        <v>0</v>
      </c>
      <c r="H58" s="303">
        <f t="shared" si="60"/>
        <v>0</v>
      </c>
      <c r="I58" s="303">
        <f t="shared" si="60"/>
        <v>0</v>
      </c>
      <c r="J58" s="303">
        <f t="shared" si="60"/>
        <v>0</v>
      </c>
      <c r="K58" s="303">
        <f t="shared" si="60"/>
        <v>0</v>
      </c>
      <c r="L58" s="303">
        <f t="shared" si="60"/>
        <v>0</v>
      </c>
      <c r="M58" s="303">
        <f t="shared" si="60"/>
        <v>0</v>
      </c>
      <c r="N58" s="303">
        <f t="shared" si="60"/>
        <v>0</v>
      </c>
      <c r="O58" s="303">
        <f t="shared" si="60"/>
        <v>0</v>
      </c>
      <c r="P58" s="303">
        <f t="shared" si="60"/>
        <v>0</v>
      </c>
      <c r="Q58" s="303">
        <f t="shared" si="60"/>
        <v>0</v>
      </c>
      <c r="R58" s="303">
        <f t="shared" si="60"/>
        <v>0</v>
      </c>
      <c r="S58" s="303">
        <f t="shared" si="60"/>
        <v>0</v>
      </c>
      <c r="T58" s="303">
        <f t="shared" si="60"/>
        <v>0</v>
      </c>
      <c r="U58" s="303">
        <f t="shared" si="60"/>
        <v>0</v>
      </c>
      <c r="V58" s="303">
        <f t="shared" si="60"/>
        <v>0</v>
      </c>
      <c r="W58" s="303">
        <f t="shared" si="60"/>
        <v>0</v>
      </c>
      <c r="X58" s="303">
        <f t="shared" si="60"/>
        <v>0</v>
      </c>
      <c r="Y58" s="303">
        <f t="shared" ca="1" si="60"/>
        <v>0</v>
      </c>
      <c r="Z58" s="303">
        <f t="shared" si="60"/>
        <v>0</v>
      </c>
      <c r="AA58" s="303">
        <f t="shared" si="60"/>
        <v>0</v>
      </c>
      <c r="AB58" s="303">
        <f t="shared" si="39"/>
        <v>0</v>
      </c>
      <c r="AC58" s="303">
        <f t="shared" si="39"/>
        <v>0</v>
      </c>
      <c r="AD58" s="303">
        <f t="shared" ref="AD58:AE58" si="61">AD11*AD23*AD42</f>
        <v>0</v>
      </c>
      <c r="AE58" s="303">
        <f t="shared" si="61"/>
        <v>0</v>
      </c>
      <c r="AF58" s="303">
        <f t="shared" ref="AF58" si="62">AF11*AF23*AF42</f>
        <v>0</v>
      </c>
    </row>
    <row r="59" spans="1:52">
      <c r="A59" s="1" t="str">
        <f t="shared" si="37"/>
        <v xml:space="preserve">MD-90 </v>
      </c>
      <c r="B59" s="303">
        <f t="shared" ref="B59:AA59" si="63">B12*B24*B43</f>
        <v>5.1000000000000005</v>
      </c>
      <c r="C59" s="303">
        <f t="shared" si="63"/>
        <v>0</v>
      </c>
      <c r="D59" s="303">
        <f t="shared" si="63"/>
        <v>0</v>
      </c>
      <c r="E59" s="303">
        <f t="shared" si="63"/>
        <v>0</v>
      </c>
      <c r="F59" s="303">
        <f t="shared" si="63"/>
        <v>0</v>
      </c>
      <c r="G59" s="303">
        <f t="shared" si="63"/>
        <v>0</v>
      </c>
      <c r="H59" s="303">
        <f t="shared" si="63"/>
        <v>0</v>
      </c>
      <c r="I59" s="303">
        <f t="shared" si="63"/>
        <v>0</v>
      </c>
      <c r="J59" s="303">
        <f t="shared" si="63"/>
        <v>0</v>
      </c>
      <c r="K59" s="303">
        <f t="shared" si="63"/>
        <v>0</v>
      </c>
      <c r="L59" s="303">
        <f t="shared" si="63"/>
        <v>0</v>
      </c>
      <c r="M59" s="303">
        <f t="shared" si="63"/>
        <v>0</v>
      </c>
      <c r="N59" s="303">
        <f t="shared" si="63"/>
        <v>0</v>
      </c>
      <c r="O59" s="303">
        <f t="shared" si="63"/>
        <v>0</v>
      </c>
      <c r="P59" s="303">
        <f t="shared" si="63"/>
        <v>0</v>
      </c>
      <c r="Q59" s="303">
        <f t="shared" si="63"/>
        <v>0</v>
      </c>
      <c r="R59" s="303">
        <f t="shared" si="63"/>
        <v>0</v>
      </c>
      <c r="S59" s="303">
        <f t="shared" si="63"/>
        <v>0</v>
      </c>
      <c r="T59" s="303">
        <f t="shared" si="63"/>
        <v>0</v>
      </c>
      <c r="U59" s="303">
        <f t="shared" si="63"/>
        <v>0</v>
      </c>
      <c r="V59" s="303">
        <f t="shared" si="63"/>
        <v>0</v>
      </c>
      <c r="W59" s="303">
        <f t="shared" si="63"/>
        <v>0</v>
      </c>
      <c r="X59" s="303">
        <f t="shared" si="63"/>
        <v>0</v>
      </c>
      <c r="Y59" s="303">
        <f t="shared" ca="1" si="63"/>
        <v>0</v>
      </c>
      <c r="Z59" s="303">
        <f t="shared" si="63"/>
        <v>0</v>
      </c>
      <c r="AA59" s="303">
        <f t="shared" si="63"/>
        <v>0</v>
      </c>
      <c r="AB59" s="303">
        <f t="shared" si="39"/>
        <v>0</v>
      </c>
      <c r="AC59" s="303">
        <f t="shared" si="39"/>
        <v>0</v>
      </c>
      <c r="AD59" s="303">
        <f t="shared" ref="AD59:AE59" si="64">AD12*AD24*AD43</f>
        <v>0</v>
      </c>
      <c r="AE59" s="303">
        <f t="shared" si="64"/>
        <v>0</v>
      </c>
      <c r="AF59" s="303">
        <f t="shared" ref="AF59" si="65">AF12*AF24*AF43</f>
        <v>0</v>
      </c>
      <c r="AW59" s="5"/>
      <c r="AX59" s="5"/>
      <c r="AY59" s="5"/>
      <c r="AZ59" s="5"/>
    </row>
    <row r="60" spans="1:52" s="5" customFormat="1">
      <c r="A60" s="14" t="s">
        <v>466</v>
      </c>
      <c r="B60" s="299">
        <f>SUM(B51:B59)</f>
        <v>2736</v>
      </c>
      <c r="C60" s="299">
        <f>SUM(C51:C59)</f>
        <v>2631.9999999999995</v>
      </c>
      <c r="D60" s="299">
        <f>SUM(D51:D59)</f>
        <v>2009.735675675676</v>
      </c>
      <c r="E60" s="299">
        <f>SUM(E51:E59)</f>
        <v>1034.855</v>
      </c>
      <c r="F60" s="299">
        <f t="shared" ref="F60:X60" si="66">SUM(F51:F59)</f>
        <v>1323.39</v>
      </c>
      <c r="G60" s="299">
        <f t="shared" si="66"/>
        <v>1400.05</v>
      </c>
      <c r="H60" s="299">
        <f t="shared" si="66"/>
        <v>2662.76</v>
      </c>
      <c r="I60" s="299">
        <f t="shared" si="66"/>
        <v>3206.3850602409639</v>
      </c>
      <c r="J60" s="299">
        <f t="shared" si="66"/>
        <v>2705.25</v>
      </c>
      <c r="K60" s="299">
        <f t="shared" si="66"/>
        <v>3433.0399999999995</v>
      </c>
      <c r="L60" s="299">
        <f t="shared" si="66"/>
        <v>3292.95</v>
      </c>
      <c r="M60" s="299">
        <f t="shared" si="66"/>
        <v>3524.2100000000005</v>
      </c>
      <c r="N60" s="299">
        <f t="shared" si="66"/>
        <v>4681.92</v>
      </c>
      <c r="O60" s="299">
        <f t="shared" si="66"/>
        <v>5844.4000000000005</v>
      </c>
      <c r="P60" s="299">
        <f t="shared" si="66"/>
        <v>6483.96</v>
      </c>
      <c r="Q60" s="299">
        <f t="shared" si="66"/>
        <v>6326.4538000000002</v>
      </c>
      <c r="R60" s="299">
        <f t="shared" si="66"/>
        <v>6304.0460000000003</v>
      </c>
      <c r="S60" s="299">
        <f t="shared" si="66"/>
        <v>6371.5680000000002</v>
      </c>
      <c r="T60" s="299">
        <f t="shared" si="66"/>
        <v>7492.6959999999999</v>
      </c>
      <c r="U60" s="299">
        <f t="shared" si="66"/>
        <v>2386.36</v>
      </c>
      <c r="V60" s="299">
        <f>SUM(V51:V59)</f>
        <v>623.43176811594196</v>
      </c>
      <c r="W60" s="299">
        <f t="shared" si="66"/>
        <v>670</v>
      </c>
      <c r="X60" s="299">
        <f t="shared" si="66"/>
        <v>436.5</v>
      </c>
      <c r="Y60" s="299">
        <f ca="1">SUM(Y51:Y59)+Y47</f>
        <v>398.27879999999999</v>
      </c>
      <c r="Z60" s="299">
        <f t="shared" ref="Z60:AC60" si="67">SUM(Z51:Z59)+Z47</f>
        <v>-1659.5700120000006</v>
      </c>
      <c r="AA60" s="299">
        <f t="shared" si="67"/>
        <v>-1000.06141212</v>
      </c>
      <c r="AB60" s="299">
        <f t="shared" si="67"/>
        <v>-994.54108046655199</v>
      </c>
      <c r="AC60" s="299">
        <f t="shared" si="67"/>
        <v>4404.3018270386419</v>
      </c>
      <c r="AD60" s="299">
        <f t="shared" ref="AD60:AE60" si="68">SUM(AD51:AD59)+AD47</f>
        <v>5872.9448805597685</v>
      </c>
      <c r="AE60" s="299">
        <f t="shared" si="68"/>
        <v>6048.3802833766704</v>
      </c>
      <c r="AF60" s="299">
        <f t="shared" ref="AF60" si="69">SUM(AF51:AF59)+AF47</f>
        <v>6229.0787482780788</v>
      </c>
      <c r="AW60"/>
      <c r="AX60"/>
      <c r="AY60"/>
      <c r="AZ60"/>
    </row>
    <row r="61" spans="1:52">
      <c r="A61" s="1" t="s">
        <v>578</v>
      </c>
      <c r="B61" s="303">
        <f>B62-B60</f>
        <v>0</v>
      </c>
      <c r="C61" s="303">
        <f t="shared" ref="C61:U61" si="70">C62-C60</f>
        <v>0</v>
      </c>
      <c r="D61" s="303">
        <f t="shared" si="70"/>
        <v>7.2643243243239795</v>
      </c>
      <c r="E61" s="303">
        <f t="shared" si="70"/>
        <v>13.144999999999982</v>
      </c>
      <c r="F61" s="303">
        <f t="shared" si="70"/>
        <v>-15.3900000000001</v>
      </c>
      <c r="G61" s="303">
        <f t="shared" si="70"/>
        <v>30.950000000000045</v>
      </c>
      <c r="H61" s="303">
        <f t="shared" si="70"/>
        <v>70.239999999999782</v>
      </c>
      <c r="I61" s="303">
        <f t="shared" si="70"/>
        <v>377.61493975903613</v>
      </c>
      <c r="J61" s="303">
        <f t="shared" si="70"/>
        <v>1103.8884615384613</v>
      </c>
      <c r="K61" s="303">
        <f t="shared" si="70"/>
        <v>28.960000000000491</v>
      </c>
      <c r="L61" s="303">
        <f t="shared" si="70"/>
        <v>-286.94999999999982</v>
      </c>
      <c r="M61" s="303">
        <f t="shared" si="70"/>
        <v>-29.210000000000491</v>
      </c>
      <c r="N61" s="303">
        <f t="shared" si="70"/>
        <v>29.079999999999927</v>
      </c>
      <c r="O61" s="303">
        <f t="shared" si="70"/>
        <v>-49.400000000000546</v>
      </c>
      <c r="P61" s="303">
        <f t="shared" si="70"/>
        <v>-72.960000000000036</v>
      </c>
      <c r="Q61" s="303">
        <f t="shared" si="70"/>
        <v>-1169.4538000000002</v>
      </c>
      <c r="R61" s="303">
        <f t="shared" si="70"/>
        <v>-4309.0460000000003</v>
      </c>
      <c r="S61" s="303">
        <f t="shared" si="70"/>
        <v>-919.56800000000021</v>
      </c>
      <c r="T61" s="303">
        <f t="shared" si="70"/>
        <v>337.30400000000009</v>
      </c>
      <c r="U61" s="303">
        <f t="shared" si="70"/>
        <v>-9043.36</v>
      </c>
      <c r="V61" s="303">
        <f>V62-V60</f>
        <v>-14470.431768115943</v>
      </c>
      <c r="W61" s="303">
        <f>W62-W60</f>
        <v>-7145</v>
      </c>
      <c r="X61" s="166">
        <f>BCA_Qtr!AO36</f>
        <v>-4498</v>
      </c>
      <c r="Y61" s="166">
        <f>BCA_Qtr!AT36</f>
        <v>-1527</v>
      </c>
      <c r="Z61" s="166">
        <f>BCA_Qtr!AY35</f>
        <v>-4350</v>
      </c>
      <c r="AA61" s="166">
        <f>BCA_Qtr!BD35</f>
        <v>-4950</v>
      </c>
      <c r="AB61" s="424">
        <v>0</v>
      </c>
      <c r="AC61" s="424">
        <v>0</v>
      </c>
      <c r="AD61" s="424">
        <v>0</v>
      </c>
      <c r="AE61" s="424">
        <v>0</v>
      </c>
      <c r="AF61" s="424">
        <v>0</v>
      </c>
      <c r="AV61" s="109"/>
      <c r="AW61" s="5"/>
      <c r="AX61" s="5"/>
      <c r="AY61" s="5"/>
      <c r="AZ61" s="5"/>
    </row>
    <row r="62" spans="1:52" s="5" customFormat="1">
      <c r="A62" s="14" t="s">
        <v>467</v>
      </c>
      <c r="B62" s="304">
        <v>2736</v>
      </c>
      <c r="C62" s="304">
        <v>2632</v>
      </c>
      <c r="D62" s="304">
        <v>2017</v>
      </c>
      <c r="E62" s="304">
        <v>1048</v>
      </c>
      <c r="F62" s="304">
        <v>1308</v>
      </c>
      <c r="G62" s="304">
        <v>1431</v>
      </c>
      <c r="H62" s="304">
        <v>2733</v>
      </c>
      <c r="I62" s="304">
        <v>3584</v>
      </c>
      <c r="J62" s="304">
        <v>3809.1384615384613</v>
      </c>
      <c r="K62" s="304">
        <v>3462</v>
      </c>
      <c r="L62" s="304">
        <v>3006</v>
      </c>
      <c r="M62" s="304">
        <v>3495</v>
      </c>
      <c r="N62" s="304">
        <v>4711</v>
      </c>
      <c r="O62" s="304">
        <v>5795</v>
      </c>
      <c r="P62" s="304">
        <v>6411</v>
      </c>
      <c r="Q62" s="304">
        <v>5157</v>
      </c>
      <c r="R62" s="304">
        <f>BCA_Annual!R19</f>
        <v>1995</v>
      </c>
      <c r="S62" s="304">
        <f>BCA_Annual!S19</f>
        <v>5452</v>
      </c>
      <c r="T62" s="304">
        <f>BCA_Annual!T19</f>
        <v>7830</v>
      </c>
      <c r="U62" s="304">
        <f>BCA_Annual!U19</f>
        <v>-6657</v>
      </c>
      <c r="V62" s="304">
        <f>BCA_Annual!V19</f>
        <v>-13847</v>
      </c>
      <c r="W62" s="304">
        <f>BCA_Annual!W19</f>
        <v>-6475</v>
      </c>
      <c r="X62" s="299">
        <f t="shared" ref="X62:AC62" si="71">SUM(X60:X61)</f>
        <v>-4061.5</v>
      </c>
      <c r="Y62" s="299">
        <f t="shared" ca="1" si="71"/>
        <v>-1128.7212</v>
      </c>
      <c r="Z62" s="299">
        <f t="shared" si="71"/>
        <v>-6009.5700120000001</v>
      </c>
      <c r="AA62" s="299">
        <f t="shared" si="71"/>
        <v>-5950.0614121199997</v>
      </c>
      <c r="AB62" s="299">
        <f t="shared" si="71"/>
        <v>-994.54108046655199</v>
      </c>
      <c r="AC62" s="299">
        <f t="shared" si="71"/>
        <v>4404.3018270386419</v>
      </c>
      <c r="AD62" s="299">
        <f t="shared" ref="AD62:AE62" si="72">SUM(AD60:AD61)</f>
        <v>5872.9448805597685</v>
      </c>
      <c r="AE62" s="299">
        <f t="shared" si="72"/>
        <v>6048.3802833766704</v>
      </c>
      <c r="AF62" s="299">
        <f t="shared" ref="AF62" si="73">SUM(AF60:AF61)</f>
        <v>6229.0787482780788</v>
      </c>
    </row>
    <row r="63" spans="1:52" s="5" customFormat="1">
      <c r="A63" s="14" t="s">
        <v>473</v>
      </c>
      <c r="B63" s="298">
        <v>8.7773892399987161E-2</v>
      </c>
      <c r="C63" s="298">
        <v>7.5079872204472847E-2</v>
      </c>
      <c r="D63" s="298">
        <v>7.1053651319265859E-2</v>
      </c>
      <c r="E63" s="298">
        <v>4.6769011067475899E-2</v>
      </c>
      <c r="F63" s="298">
        <v>6.2176165803108807E-2</v>
      </c>
      <c r="G63" s="298">
        <v>6.6978703487011473E-2</v>
      </c>
      <c r="H63" s="298">
        <v>9.6012647110486557E-2</v>
      </c>
      <c r="I63" s="298">
        <v>0.10735038638950459</v>
      </c>
      <c r="J63" s="298">
        <v>0.13477473946638577</v>
      </c>
      <c r="K63" s="298">
        <v>0.10167102287744853</v>
      </c>
      <c r="L63" s="298">
        <v>9.4427341835773074E-2</v>
      </c>
      <c r="M63" s="298">
        <v>9.6624367587293689E-2</v>
      </c>
      <c r="N63" s="298">
        <v>9.5894314735277958E-2</v>
      </c>
      <c r="O63" s="298">
        <v>0.10937883392159453</v>
      </c>
      <c r="P63" s="298">
        <v>0.10686781130188365</v>
      </c>
      <c r="Q63" s="298">
        <v>7.8079578488372089E-2</v>
      </c>
      <c r="R63" s="298">
        <f>BCA_Annual!R22</f>
        <v>3.4389436668275528E-2</v>
      </c>
      <c r="S63" s="298">
        <f>BCA_Annual!S22</f>
        <v>9.3977315820319235E-2</v>
      </c>
      <c r="T63" s="298">
        <f>BCA_Annual!T22</f>
        <v>0.13617628132663176</v>
      </c>
      <c r="U63" s="298">
        <f>BCA_Annual!U22</f>
        <v>-0.20638660672763912</v>
      </c>
      <c r="V63" s="298">
        <f>BCA_Annual!V22</f>
        <v>-0.856762776884049</v>
      </c>
      <c r="W63" s="298">
        <f>BCA_Annual!W22</f>
        <v>-0.33217052275175701</v>
      </c>
      <c r="X63" s="302">
        <f t="shared" ref="X63:AC63" si="74">X62/X32</f>
        <v>-0.15701472919163412</v>
      </c>
      <c r="Y63" s="302">
        <f t="shared" ca="1" si="74"/>
        <v>-3.3294628477036077E-2</v>
      </c>
      <c r="Z63" s="302">
        <f t="shared" si="74"/>
        <v>-0.26287432798215304</v>
      </c>
      <c r="AA63" s="302">
        <f t="shared" si="74"/>
        <v>-0.14339570569528123</v>
      </c>
      <c r="AB63" s="302">
        <f t="shared" si="74"/>
        <v>-1.9591801055863771E-2</v>
      </c>
      <c r="AC63" s="302">
        <f t="shared" si="74"/>
        <v>7.6993714723356449E-2</v>
      </c>
      <c r="AD63" s="302">
        <f t="shared" ref="AD63:AE63" si="75">AD62/AD32</f>
        <v>9.8400495595175538E-2</v>
      </c>
      <c r="AE63" s="302">
        <f t="shared" si="75"/>
        <v>9.8768300998959613E-2</v>
      </c>
      <c r="AF63" s="302">
        <f t="shared" ref="AF63" si="76">AF62/AF32</f>
        <v>9.9128122431682605E-2</v>
      </c>
      <c r="AV63" s="401"/>
      <c r="AW63"/>
      <c r="AX63"/>
      <c r="AY63"/>
      <c r="AZ63"/>
    </row>
    <row r="65" spans="1:32">
      <c r="A65" s="9" t="s">
        <v>556</v>
      </c>
      <c r="B65" s="92"/>
      <c r="C65" s="92"/>
      <c r="D65" s="92"/>
      <c r="E65" s="92"/>
      <c r="F65" s="92"/>
      <c r="G65" s="92"/>
      <c r="H65" s="92"/>
      <c r="I65" s="92"/>
      <c r="J65" s="92"/>
      <c r="K65" s="92"/>
      <c r="L65" s="92"/>
      <c r="M65" s="92"/>
      <c r="N65" s="92"/>
      <c r="O65" s="92"/>
      <c r="P65" s="92"/>
      <c r="Q65" s="296"/>
      <c r="R65" s="296"/>
      <c r="S65" s="296"/>
      <c r="T65" s="296"/>
      <c r="U65" s="24"/>
      <c r="V65" s="296"/>
      <c r="W65" s="296"/>
      <c r="X65" s="296"/>
      <c r="Y65" s="296"/>
      <c r="Z65" s="296"/>
      <c r="AA65" s="296"/>
      <c r="AB65" s="296"/>
      <c r="AC65" s="296"/>
      <c r="AD65" s="296"/>
      <c r="AE65" s="296"/>
      <c r="AF65" s="296"/>
    </row>
    <row r="66" spans="1:32">
      <c r="A66" s="1">
        <f>A4</f>
        <v>737</v>
      </c>
      <c r="B66" s="303">
        <f t="shared" ref="B66:AA66" si="77">(B51/B4)*(1-B$79)</f>
        <v>3.1527544483985759</v>
      </c>
      <c r="C66" s="303">
        <f t="shared" si="77"/>
        <v>2.3683478260869553</v>
      </c>
      <c r="D66" s="303">
        <f t="shared" si="77"/>
        <v>2.2786891891891896</v>
      </c>
      <c r="E66" s="303">
        <f t="shared" si="77"/>
        <v>0.40741473988439308</v>
      </c>
      <c r="F66" s="303">
        <f t="shared" si="77"/>
        <v>1.8884752475247528</v>
      </c>
      <c r="G66" s="303">
        <f t="shared" si="77"/>
        <v>1.9519929245283023</v>
      </c>
      <c r="H66" s="303">
        <f t="shared" si="77"/>
        <v>3.4505099337748351</v>
      </c>
      <c r="I66" s="303">
        <f t="shared" si="77"/>
        <v>3.878855421686747</v>
      </c>
      <c r="J66" s="303">
        <f t="shared" si="77"/>
        <v>3.9709396551724137</v>
      </c>
      <c r="K66" s="303">
        <f t="shared" si="77"/>
        <v>3.9419354838709677</v>
      </c>
      <c r="L66" s="303">
        <f t="shared" si="77"/>
        <v>4.0454720744680861</v>
      </c>
      <c r="M66" s="303">
        <f t="shared" si="77"/>
        <v>4.2436088709677424</v>
      </c>
      <c r="N66" s="303">
        <f t="shared" si="77"/>
        <v>5.2917831325301208</v>
      </c>
      <c r="O66" s="303">
        <f t="shared" si="77"/>
        <v>6.5663</v>
      </c>
      <c r="P66" s="303">
        <f t="shared" si="77"/>
        <v>6.9244701030927844</v>
      </c>
      <c r="Q66" s="303">
        <f t="shared" si="77"/>
        <v>6.5028282222222229</v>
      </c>
      <c r="R66" s="303">
        <f t="shared" si="77"/>
        <v>6.5748773469387762</v>
      </c>
      <c r="S66" s="303">
        <f t="shared" si="77"/>
        <v>6.6524465028355397</v>
      </c>
      <c r="T66" s="303">
        <f t="shared" si="77"/>
        <v>8.8136976551724135</v>
      </c>
      <c r="U66" s="303">
        <f t="shared" si="77"/>
        <v>7.3059448818897641</v>
      </c>
      <c r="V66" s="303">
        <f t="shared" si="77"/>
        <v>4.2126921739130436</v>
      </c>
      <c r="W66" s="303">
        <f t="shared" si="77"/>
        <v>1.58</v>
      </c>
      <c r="X66" s="303">
        <f t="shared" si="77"/>
        <v>0.79</v>
      </c>
      <c r="Y66" s="303">
        <f t="shared" si="77"/>
        <v>0.3634</v>
      </c>
      <c r="Z66" s="303">
        <f t="shared" si="77"/>
        <v>-5.3419800000000022</v>
      </c>
      <c r="AA66" s="303">
        <f t="shared" si="77"/>
        <v>-2.1290499999999999</v>
      </c>
      <c r="AB66" s="303">
        <f>(AB51/AB4)*(1-AB$79)</f>
        <v>-1.9597563380281688</v>
      </c>
      <c r="AC66" s="303">
        <f>(AC51/AC4)*(1-AC$79)</f>
        <v>5.975079323943663</v>
      </c>
      <c r="AD66" s="303">
        <f>(AD51/AD4)*(1-AD$79)</f>
        <v>7.4035239436619715</v>
      </c>
      <c r="AE66" s="303">
        <f>(AE51/AE4)*(1-AE$79)</f>
        <v>7.625629661971832</v>
      </c>
      <c r="AF66" s="303">
        <f>(AF51/AF4)*(1-AF$79)</f>
        <v>7.8543985518309878</v>
      </c>
    </row>
    <row r="67" spans="1:32">
      <c r="A67" s="1">
        <f>A5</f>
        <v>747</v>
      </c>
      <c r="B67" s="303">
        <f t="shared" ref="B67:K67" si="78">+B52/B5</f>
        <v>12.48</v>
      </c>
      <c r="C67" s="303">
        <f t="shared" si="78"/>
        <v>12.64</v>
      </c>
      <c r="D67" s="303">
        <f t="shared" si="78"/>
        <v>12.8</v>
      </c>
      <c r="E67" s="303">
        <f t="shared" si="78"/>
        <v>13.12</v>
      </c>
      <c r="F67" s="303">
        <f t="shared" si="78"/>
        <v>13.280000000000001</v>
      </c>
      <c r="G67" s="303">
        <f t="shared" si="78"/>
        <v>13.44</v>
      </c>
      <c r="H67" s="303">
        <f t="shared" si="78"/>
        <v>13.120000000000001</v>
      </c>
      <c r="I67" s="303">
        <f t="shared" si="78"/>
        <v>11.06</v>
      </c>
      <c r="J67" s="303">
        <f t="shared" si="78"/>
        <v>9.48</v>
      </c>
      <c r="K67" s="303">
        <f t="shared" si="78"/>
        <v>7.9</v>
      </c>
      <c r="L67" s="303"/>
      <c r="M67" s="303">
        <f t="shared" ref="M67:W67" si="79">+M52/M5</f>
        <v>5.4</v>
      </c>
      <c r="N67" s="303">
        <f t="shared" si="79"/>
        <v>3.56</v>
      </c>
      <c r="O67" s="303">
        <f t="shared" si="79"/>
        <v>1.78</v>
      </c>
      <c r="P67" s="303">
        <f t="shared" si="79"/>
        <v>1.8</v>
      </c>
      <c r="Q67" s="303">
        <f t="shared" si="79"/>
        <v>1.79</v>
      </c>
      <c r="R67" s="303">
        <f t="shared" si="79"/>
        <v>0</v>
      </c>
      <c r="S67" s="303">
        <f t="shared" si="79"/>
        <v>0</v>
      </c>
      <c r="T67" s="303">
        <f t="shared" si="79"/>
        <v>0</v>
      </c>
      <c r="U67" s="303">
        <f t="shared" si="79"/>
        <v>0</v>
      </c>
      <c r="V67" s="303">
        <f t="shared" si="79"/>
        <v>0</v>
      </c>
      <c r="W67" s="303">
        <f t="shared" si="79"/>
        <v>0</v>
      </c>
      <c r="X67" s="303">
        <f t="shared" ref="X67:AC67" si="80">IFERROR(+X52/X5,"na")</f>
        <v>0</v>
      </c>
      <c r="Y67" s="303">
        <f t="shared" si="80"/>
        <v>0</v>
      </c>
      <c r="Z67" s="303" t="str">
        <f t="shared" si="80"/>
        <v>na</v>
      </c>
      <c r="AA67" s="303" t="str">
        <f t="shared" si="80"/>
        <v>na</v>
      </c>
      <c r="AB67" s="303" t="str">
        <f t="shared" si="80"/>
        <v>na</v>
      </c>
      <c r="AC67" s="303" t="str">
        <f t="shared" si="80"/>
        <v>na</v>
      </c>
      <c r="AD67" s="303" t="str">
        <f t="shared" ref="AD67:AE67" si="81">IFERROR(+AD52/AD5,"na")</f>
        <v>na</v>
      </c>
      <c r="AE67" s="303" t="str">
        <f t="shared" si="81"/>
        <v>na</v>
      </c>
      <c r="AF67" s="303" t="str">
        <f t="shared" ref="AF67" si="82">IFERROR(+AF52/AF5,"na")</f>
        <v>na</v>
      </c>
    </row>
    <row r="68" spans="1:32">
      <c r="A68" s="1">
        <f>A6</f>
        <v>767</v>
      </c>
      <c r="B68" s="303">
        <f t="shared" ref="B68:K68" si="83">+B53/B6</f>
        <v>6.750909090909091</v>
      </c>
      <c r="C68" s="303">
        <f t="shared" si="83"/>
        <v>6.8760000000000003</v>
      </c>
      <c r="D68" s="303">
        <f t="shared" si="83"/>
        <v>7.2480000000000002</v>
      </c>
      <c r="E68" s="303">
        <f t="shared" si="83"/>
        <v>7.04</v>
      </c>
      <c r="F68" s="303">
        <f t="shared" si="83"/>
        <v>7.04</v>
      </c>
      <c r="G68" s="303">
        <f t="shared" si="83"/>
        <v>6.6</v>
      </c>
      <c r="H68" s="303">
        <f t="shared" si="83"/>
        <v>6.8933333333333335</v>
      </c>
      <c r="I68" s="303">
        <f t="shared" si="83"/>
        <v>6.8866666666666667</v>
      </c>
      <c r="J68" s="303">
        <f t="shared" si="83"/>
        <v>6.4640000000000004</v>
      </c>
      <c r="K68" s="303">
        <f t="shared" si="83"/>
        <v>6.5907692307692312</v>
      </c>
      <c r="L68" s="303">
        <f>+L53/L6</f>
        <v>6.56</v>
      </c>
      <c r="M68" s="303">
        <f t="shared" ref="M68:W68" si="84">+M53/M6</f>
        <v>6.6400000000000006</v>
      </c>
      <c r="N68" s="303">
        <f t="shared" si="84"/>
        <v>6.4799999999999995</v>
      </c>
      <c r="O68" s="303">
        <f t="shared" si="84"/>
        <v>6.48</v>
      </c>
      <c r="P68" s="303">
        <f t="shared" si="84"/>
        <v>6.48</v>
      </c>
      <c r="Q68" s="303">
        <f t="shared" si="84"/>
        <v>6.4</v>
      </c>
      <c r="R68" s="303">
        <f t="shared" si="84"/>
        <v>6.3199999999999994</v>
      </c>
      <c r="S68" s="303">
        <f t="shared" si="84"/>
        <v>6.4</v>
      </c>
      <c r="T68" s="303">
        <f t="shared" si="84"/>
        <v>6.4</v>
      </c>
      <c r="U68" s="303">
        <f t="shared" si="84"/>
        <v>6.3999999999999995</v>
      </c>
      <c r="V68" s="303">
        <f t="shared" si="84"/>
        <v>6.4</v>
      </c>
      <c r="W68" s="303">
        <f t="shared" si="84"/>
        <v>4.5</v>
      </c>
      <c r="X68" s="303">
        <f t="shared" ref="X68:AC70" si="85">+X53/X6</f>
        <v>1.5</v>
      </c>
      <c r="Y68" s="303">
        <f t="shared" si="85"/>
        <v>6</v>
      </c>
      <c r="Z68" s="303">
        <f t="shared" si="85"/>
        <v>6</v>
      </c>
      <c r="AA68" s="303">
        <f t="shared" si="85"/>
        <v>6</v>
      </c>
      <c r="AB68" s="303">
        <f t="shared" si="85"/>
        <v>6</v>
      </c>
      <c r="AC68" s="303" t="e">
        <f t="shared" si="85"/>
        <v>#DIV/0!</v>
      </c>
      <c r="AD68" s="303" t="e">
        <f t="shared" ref="AD68:AE68" si="86">+AD53/AD6</f>
        <v>#DIV/0!</v>
      </c>
      <c r="AE68" s="303" t="e">
        <f t="shared" si="86"/>
        <v>#DIV/0!</v>
      </c>
      <c r="AF68" s="303" t="e">
        <f t="shared" ref="AF68" si="87">+AF53/AF6</f>
        <v>#DIV/0!</v>
      </c>
    </row>
    <row r="69" spans="1:32">
      <c r="A69" s="1">
        <f>A7</f>
        <v>777</v>
      </c>
      <c r="B69" s="303">
        <f t="shared" ref="B69:K69" si="88">+B54/B7</f>
        <v>10.075636363636363</v>
      </c>
      <c r="C69" s="303">
        <f t="shared" si="88"/>
        <v>10.451147540983607</v>
      </c>
      <c r="D69" s="303">
        <f t="shared" si="88"/>
        <v>10.702978723404255</v>
      </c>
      <c r="E69" s="303">
        <f t="shared" si="88"/>
        <v>11.335384615384614</v>
      </c>
      <c r="F69" s="303">
        <f t="shared" si="88"/>
        <v>11.600000000000001</v>
      </c>
      <c r="G69" s="303">
        <f t="shared" si="88"/>
        <v>12.272</v>
      </c>
      <c r="H69" s="303">
        <f t="shared" si="88"/>
        <v>12.049230769230769</v>
      </c>
      <c r="I69" s="303">
        <f t="shared" si="88"/>
        <v>11.777349397590363</v>
      </c>
      <c r="J69" s="303">
        <f t="shared" si="88"/>
        <v>12.069508196721312</v>
      </c>
      <c r="K69" s="303">
        <f t="shared" si="88"/>
        <v>11.683636363636362</v>
      </c>
      <c r="L69" s="303">
        <f>+L54/L7</f>
        <v>11.811891891891893</v>
      </c>
      <c r="M69" s="303">
        <f t="shared" ref="M69:W69" si="89">+M54/M7</f>
        <v>12.5227397260274</v>
      </c>
      <c r="N69" s="303">
        <f t="shared" si="89"/>
        <v>12.343132530120482</v>
      </c>
      <c r="O69" s="303">
        <f t="shared" si="89"/>
        <v>12.456326530612248</v>
      </c>
      <c r="P69" s="303">
        <f t="shared" si="89"/>
        <v>12.567272727272728</v>
      </c>
      <c r="Q69" s="303">
        <f t="shared" si="89"/>
        <v>12.649795918367348</v>
      </c>
      <c r="R69" s="303">
        <f t="shared" si="89"/>
        <v>12.782222222222222</v>
      </c>
      <c r="S69" s="303">
        <f t="shared" si="89"/>
        <v>9.6267567567567571</v>
      </c>
      <c r="T69" s="303">
        <f t="shared" si="89"/>
        <v>9.36</v>
      </c>
      <c r="U69" s="303">
        <f t="shared" si="89"/>
        <v>6.0346666666666664</v>
      </c>
      <c r="V69" s="303">
        <f t="shared" si="89"/>
        <v>4.8712499999999999</v>
      </c>
      <c r="W69" s="303">
        <f t="shared" si="89"/>
        <v>0</v>
      </c>
      <c r="X69" s="303">
        <f t="shared" si="85"/>
        <v>0</v>
      </c>
      <c r="Y69" s="303">
        <f t="shared" si="85"/>
        <v>0</v>
      </c>
      <c r="Z69" s="303">
        <f t="shared" si="85"/>
        <v>0</v>
      </c>
      <c r="AA69" s="303">
        <f t="shared" si="85"/>
        <v>0</v>
      </c>
      <c r="AB69" s="303">
        <f t="shared" si="85"/>
        <v>0</v>
      </c>
      <c r="AC69" s="303">
        <f t="shared" si="85"/>
        <v>0</v>
      </c>
      <c r="AD69" s="303">
        <f t="shared" ref="AD69:AE69" si="90">+AD54/AD7</f>
        <v>0</v>
      </c>
      <c r="AE69" s="303">
        <f t="shared" si="90"/>
        <v>0</v>
      </c>
      <c r="AF69" s="303">
        <f t="shared" ref="AF69" si="91">+AF54/AF7</f>
        <v>0</v>
      </c>
    </row>
    <row r="70" spans="1:32">
      <c r="A70" s="1">
        <f>A8</f>
        <v>787</v>
      </c>
      <c r="B70" s="303"/>
      <c r="C70" s="303"/>
      <c r="D70" s="303"/>
      <c r="E70" s="303"/>
      <c r="F70" s="303"/>
      <c r="G70" s="303"/>
      <c r="H70" s="303"/>
      <c r="I70" s="303"/>
      <c r="J70" s="303"/>
      <c r="K70" s="303"/>
      <c r="L70" s="303"/>
      <c r="M70" s="303">
        <f t="shared" ref="M70:W70" si="92">+M55/M8</f>
        <v>0</v>
      </c>
      <c r="N70" s="303">
        <f t="shared" si="92"/>
        <v>0</v>
      </c>
      <c r="O70" s="303">
        <f t="shared" si="92"/>
        <v>0</v>
      </c>
      <c r="P70" s="303">
        <f t="shared" si="92"/>
        <v>0</v>
      </c>
      <c r="Q70" s="303">
        <f t="shared" si="92"/>
        <v>0</v>
      </c>
      <c r="R70" s="303">
        <f t="shared" si="92"/>
        <v>0</v>
      </c>
      <c r="S70" s="303">
        <f t="shared" si="92"/>
        <v>1.331764705882353</v>
      </c>
      <c r="T70" s="303">
        <f t="shared" si="92"/>
        <v>2.757241379310345</v>
      </c>
      <c r="U70" s="303">
        <f t="shared" si="92"/>
        <v>4.2094936708860757</v>
      </c>
      <c r="V70" s="303">
        <f t="shared" si="92"/>
        <v>1.4241666666666668</v>
      </c>
      <c r="W70" s="303">
        <f t="shared" si="92"/>
        <v>0</v>
      </c>
      <c r="X70" s="303">
        <f t="shared" si="85"/>
        <v>0</v>
      </c>
      <c r="Y70" s="303">
        <f t="shared" si="85"/>
        <v>0</v>
      </c>
      <c r="Z70" s="303">
        <f t="shared" si="85"/>
        <v>0</v>
      </c>
      <c r="AA70" s="303">
        <f t="shared" si="85"/>
        <v>0</v>
      </c>
      <c r="AB70" s="303">
        <f t="shared" si="85"/>
        <v>0</v>
      </c>
      <c r="AC70" s="303">
        <f t="shared" si="85"/>
        <v>0</v>
      </c>
      <c r="AD70" s="303">
        <f t="shared" ref="AD70:AE70" si="93">+AD55/AD8</f>
        <v>0</v>
      </c>
      <c r="AE70" s="303">
        <f t="shared" si="93"/>
        <v>0</v>
      </c>
      <c r="AF70" s="303">
        <f t="shared" ref="AF70" si="94">+AF55/AF8</f>
        <v>0</v>
      </c>
    </row>
    <row r="71" spans="1:32">
      <c r="R71" s="74"/>
      <c r="S71" s="74"/>
      <c r="T71" s="74"/>
      <c r="U71" s="74"/>
      <c r="V71" s="74"/>
      <c r="W71" s="74"/>
      <c r="X71" s="74"/>
      <c r="Y71" s="74"/>
      <c r="Z71" s="74"/>
      <c r="AA71" s="74"/>
      <c r="AB71" s="74"/>
      <c r="AC71" s="74"/>
      <c r="AD71" s="74"/>
      <c r="AE71" s="74"/>
      <c r="AF71" s="74"/>
    </row>
    <row r="72" spans="1:32">
      <c r="A72" s="9" t="s">
        <v>552</v>
      </c>
      <c r="B72" s="92"/>
      <c r="C72" s="92"/>
      <c r="D72" s="92"/>
      <c r="E72" s="92"/>
      <c r="F72" s="92"/>
      <c r="G72" s="92"/>
      <c r="H72" s="92"/>
      <c r="I72" s="92"/>
      <c r="J72" s="92"/>
      <c r="K72" s="92"/>
      <c r="L72" s="92"/>
      <c r="M72" s="92"/>
      <c r="N72" s="92"/>
      <c r="O72" s="92"/>
      <c r="P72" s="92"/>
      <c r="Q72" s="296"/>
      <c r="R72" s="296"/>
      <c r="S72" s="296"/>
      <c r="T72" s="296"/>
      <c r="U72" s="24"/>
      <c r="V72" s="296"/>
      <c r="W72" s="296"/>
      <c r="X72" s="296"/>
      <c r="Y72" s="296"/>
      <c r="Z72" s="296"/>
      <c r="AA72" s="296"/>
      <c r="AB72" s="296"/>
      <c r="AC72" s="296"/>
      <c r="AD72" s="296"/>
      <c r="AE72" s="296"/>
      <c r="AF72" s="296"/>
    </row>
    <row r="73" spans="1:32">
      <c r="A73" s="1">
        <f>+A66</f>
        <v>737</v>
      </c>
      <c r="B73" s="389"/>
      <c r="C73" s="389"/>
      <c r="D73" s="389"/>
      <c r="E73" s="389"/>
      <c r="F73" s="389"/>
      <c r="G73" s="389"/>
      <c r="H73" s="389"/>
      <c r="I73" s="389"/>
      <c r="J73" s="389"/>
      <c r="K73" s="389"/>
      <c r="L73" s="389"/>
      <c r="M73" s="389"/>
      <c r="N73" s="389"/>
      <c r="O73" s="389"/>
      <c r="P73" s="389"/>
      <c r="Q73" s="389">
        <f>+Q66*(1-Q$79)/Income_Statement_Annual!Q$79</f>
        <v>6.0817817905675468E-3</v>
      </c>
      <c r="R73" s="389">
        <f>+R66*(1-R$79)/Income_Statement_Annual!R$79</f>
        <v>6.6485225194620494E-3</v>
      </c>
      <c r="S73" s="389">
        <f>+S66*(1-S$79)/Income_Statement_Annual!S$79</f>
        <v>7.0886725030214768E-3</v>
      </c>
      <c r="T73" s="389">
        <f>+T66*(1-T$79)/Income_Statement_Annual!T$79</f>
        <v>1.1892094188874821E-2</v>
      </c>
      <c r="U73" s="389">
        <f>+U66*(1-U$79)/Income_Statement_Annual!U$79</f>
        <v>1.0208164939322452E-2</v>
      </c>
      <c r="V73" s="389">
        <f>+V66*(1-V$79)/Income_Statement_Annual!V$79</f>
        <v>5.8573974873785458E-3</v>
      </c>
      <c r="W73" s="389">
        <f>+W66*(1-W$79)/Income_Statement_Annual!W$79</f>
        <v>2.1208954589864498E-3</v>
      </c>
      <c r="X73" s="389">
        <f>+X66*(1-X$79)/Income_Statement_Annual!X$79</f>
        <v>1.0474376295450923E-3</v>
      </c>
      <c r="Y73" s="389">
        <f>+Y66*(1-Y$79)/Income_Statement_Annual!Y$79</f>
        <v>4.7360250752670436E-4</v>
      </c>
      <c r="Z73" s="389">
        <f>+Z66*(1-Z$79)/Income_Statement_Annual!Z$79</f>
        <v>-6.5206492583436363E-3</v>
      </c>
      <c r="AA73" s="389">
        <f>+AA66*(1-AA$79)/Income_Statement_Annual!AA$79</f>
        <v>-2.2064141414141415E-3</v>
      </c>
      <c r="AB73" s="389">
        <f>+AB66*(1-AB$79)/Income_Statement_Annual!AB$79</f>
        <v>-1.9261103595947418E-3</v>
      </c>
      <c r="AC73" s="389">
        <f>+AC66*(1-AC$79)/Income_Statement_Annual!AG$79</f>
        <v>26.542018743531813</v>
      </c>
      <c r="AD73" s="389" t="e">
        <f>+AD66*(1-AD$79)/Income_Statement_Annual!AH$79</f>
        <v>#DIV/0!</v>
      </c>
      <c r="AE73" s="389" t="e">
        <f>+AE66*(1-AE$79)/Income_Statement_Annual!AI$79</f>
        <v>#DIV/0!</v>
      </c>
      <c r="AF73" s="389" t="e">
        <f>+AF66*(1-AF$79)/Income_Statement_Annual!AJ$79</f>
        <v>#DIV/0!</v>
      </c>
    </row>
    <row r="74" spans="1:32">
      <c r="A74" s="1">
        <f>+A67</f>
        <v>747</v>
      </c>
      <c r="B74" s="389"/>
      <c r="C74" s="389"/>
      <c r="D74" s="389"/>
      <c r="E74" s="389"/>
      <c r="F74" s="389"/>
      <c r="G74" s="389"/>
      <c r="H74" s="389"/>
      <c r="I74" s="389"/>
      <c r="J74" s="389"/>
      <c r="K74" s="389"/>
      <c r="L74" s="389"/>
      <c r="M74" s="389"/>
      <c r="N74" s="389"/>
      <c r="O74" s="389"/>
      <c r="P74" s="389"/>
      <c r="Q74" s="389">
        <f>+Q67*(1-Q$79)/Income_Statement_Annual!Q$79</f>
        <v>1.6741007194244603E-3</v>
      </c>
      <c r="R74" s="389">
        <f>+R67*(1-R$79)/Income_Statement_Annual!R$79</f>
        <v>0</v>
      </c>
      <c r="S74" s="389">
        <f>+S67*(1-S$79)/Income_Statement_Annual!S$79</f>
        <v>0</v>
      </c>
      <c r="T74" s="389">
        <f>+T67*(1-T$79)/Income_Statement_Annual!T$79</f>
        <v>0</v>
      </c>
      <c r="U74" s="389">
        <f>+U67*(1-U$79)/Income_Statement_Annual!U$79</f>
        <v>0</v>
      </c>
      <c r="V74" s="389">
        <f>+V67*(1-V$79)/Income_Statement_Annual!V$79</f>
        <v>0</v>
      </c>
      <c r="W74" s="389">
        <f>+W67*(1-W$79)/Income_Statement_Annual!W$79</f>
        <v>0</v>
      </c>
      <c r="X74" s="389">
        <f>IFERROR(X67*(1-X$79)/Income_Statement_Annual!X$79,"na")</f>
        <v>0</v>
      </c>
      <c r="Y74" s="389">
        <f>IFERROR(Y67*(1-Y$79)/Income_Statement_Annual!Y$79,"na")</f>
        <v>0</v>
      </c>
      <c r="Z74" s="389" t="str">
        <f>IFERROR(Z67*(1-Z$79)/Income_Statement_Annual!Z$79,"na")</f>
        <v>na</v>
      </c>
      <c r="AA74" s="389" t="str">
        <f>IFERROR(AA67*(1-AA$79)/Income_Statement_Annual!AA$79,"na")</f>
        <v>na</v>
      </c>
      <c r="AB74" s="389" t="str">
        <f>IFERROR(AB67*(1-AB$79)/Income_Statement_Annual!AB$79,"na")</f>
        <v>na</v>
      </c>
      <c r="AC74" s="389" t="str">
        <f>IFERROR(AC67*(1-AC$79)/Income_Statement_Annual!AG$79,"na")</f>
        <v>na</v>
      </c>
      <c r="AD74" s="389" t="str">
        <f>IFERROR(AD67*(1-AD$79)/Income_Statement_Annual!AH$79,"na")</f>
        <v>na</v>
      </c>
      <c r="AE74" s="389" t="str">
        <f>IFERROR(AE67*(1-AE$79)/Income_Statement_Annual!AI$79,"na")</f>
        <v>na</v>
      </c>
      <c r="AF74" s="389" t="str">
        <f>IFERROR(AF67*(1-AF$79)/Income_Statement_Annual!AJ$79,"na")</f>
        <v>na</v>
      </c>
    </row>
    <row r="75" spans="1:32">
      <c r="A75" s="1">
        <f>+A68</f>
        <v>767</v>
      </c>
      <c r="B75" s="389"/>
      <c r="C75" s="389"/>
      <c r="D75" s="389"/>
      <c r="E75" s="389"/>
      <c r="F75" s="389"/>
      <c r="G75" s="389"/>
      <c r="H75" s="389"/>
      <c r="I75" s="389"/>
      <c r="J75" s="389"/>
      <c r="K75" s="389"/>
      <c r="L75" s="389"/>
      <c r="M75" s="389"/>
      <c r="N75" s="389"/>
      <c r="O75" s="389"/>
      <c r="P75" s="389"/>
      <c r="Q75" s="389">
        <f>+Q68*(1-Q$79)/Income_Statement_Annual!Q$79</f>
        <v>5.9856115107913667E-3</v>
      </c>
      <c r="R75" s="389">
        <f>+R68*(1-R$79)/Income_Statement_Annual!R$79</f>
        <v>6.3907902924704415E-3</v>
      </c>
      <c r="S75" s="389">
        <f>+S68*(1-S$79)/Income_Statement_Annual!S$79</f>
        <v>6.8196721311475413E-3</v>
      </c>
      <c r="T75" s="389">
        <f>+T68*(1-T$79)/Income_Statement_Annual!T$79</f>
        <v>8.6353543979504708E-3</v>
      </c>
      <c r="U75" s="389">
        <f>+U68*(1-U$79)/Income_Statement_Annual!U$79</f>
        <v>8.9423417049876198E-3</v>
      </c>
      <c r="V75" s="389">
        <f>+V68*(1-V$79)/Income_Statement_Annual!V$79</f>
        <v>8.8986667840014102E-3</v>
      </c>
      <c r="W75" s="389">
        <f>+W68*(1-W$79)/Income_Statement_Annual!W$79</f>
        <v>6.0405250414171038E-3</v>
      </c>
      <c r="X75" s="389">
        <f>+X68*(1-X$79)/Income_Statement_Annual!X$79</f>
        <v>1.9888056257185292E-3</v>
      </c>
      <c r="Y75" s="389">
        <f>+Y68*(1-Y$79)/Income_Statement_Annual!Y$79</f>
        <v>7.8195240648327637E-3</v>
      </c>
      <c r="Z75" s="389">
        <f>+Z68*(1-Z$79)/Income_Statement_Annual!Z$79</f>
        <v>7.3238566131025957E-3</v>
      </c>
      <c r="AA75" s="389">
        <f>+AA68*(1-AA$79)/Income_Statement_Annual!AA$79</f>
        <v>6.2180243998425826E-3</v>
      </c>
      <c r="AB75" s="389">
        <f>+AB68*(1-AB$79)/Income_Statement_Annual!AB$79</f>
        <v>5.8969893008211007E-3</v>
      </c>
      <c r="AC75" s="389" t="e">
        <f>+AC68*(1-AC$79)/Income_Statement_Annual!AG$79</f>
        <v>#DIV/0!</v>
      </c>
      <c r="AD75" s="389" t="e">
        <f>+AD68*(1-AD$79)/Income_Statement_Annual!AH$79</f>
        <v>#DIV/0!</v>
      </c>
      <c r="AE75" s="389" t="e">
        <f>+AE68*(1-AE$79)/Income_Statement_Annual!AI$79</f>
        <v>#DIV/0!</v>
      </c>
      <c r="AF75" s="389" t="e">
        <f>+AF68*(1-AF$79)/Income_Statement_Annual!AJ$79</f>
        <v>#DIV/0!</v>
      </c>
    </row>
    <row r="76" spans="1:32">
      <c r="A76" s="1">
        <f>+A69</f>
        <v>777</v>
      </c>
      <c r="B76" s="389"/>
      <c r="C76" s="389"/>
      <c r="D76" s="389"/>
      <c r="E76" s="389"/>
      <c r="F76" s="389"/>
      <c r="G76" s="389"/>
      <c r="H76" s="389"/>
      <c r="I76" s="389"/>
      <c r="J76" s="389"/>
      <c r="K76" s="389"/>
      <c r="L76" s="389"/>
      <c r="M76" s="389"/>
      <c r="N76" s="389"/>
      <c r="O76" s="389"/>
      <c r="P76" s="389"/>
      <c r="Q76" s="389">
        <f>+Q69*(1-Q$79)/Income_Statement_Annual!Q$79</f>
        <v>1.183074438408457E-2</v>
      </c>
      <c r="R76" s="389">
        <f>+R69*(1-R$79)/Income_Statement_Annual!R$79</f>
        <v>1.2925395837654707E-2</v>
      </c>
      <c r="S76" s="389">
        <f>+S69*(1-S$79)/Income_Statement_Annual!S$79</f>
        <v>1.0258019494904741E-2</v>
      </c>
      <c r="T76" s="389">
        <f>+T69*(1-T$79)/Income_Statement_Annual!T$79</f>
        <v>1.2629205807002561E-2</v>
      </c>
      <c r="U76" s="389">
        <f>+U69*(1-U$79)/Income_Statement_Annual!U$79</f>
        <v>8.4318830326612429E-3</v>
      </c>
      <c r="V76" s="389">
        <f>+V69*(1-V$79)/Income_Statement_Annual!V$79</f>
        <v>6.7730672768073225E-3</v>
      </c>
      <c r="W76" s="389">
        <f>+W69*(1-W$79)/Income_Statement_Annual!W$79</f>
        <v>0</v>
      </c>
      <c r="X76" s="389">
        <f>+X69*(1-X$79)/Income_Statement_Annual!X$79</f>
        <v>0</v>
      </c>
      <c r="Y76" s="389">
        <f>+Y69*(1-Y$79)/Income_Statement_Annual!Y$79</f>
        <v>0</v>
      </c>
      <c r="Z76" s="389">
        <f>+Z69*(1-Z$79)/Income_Statement_Annual!Z$79</f>
        <v>0</v>
      </c>
      <c r="AA76" s="389">
        <f>+AA69*(1-AA$79)/Income_Statement_Annual!AA$79</f>
        <v>0</v>
      </c>
      <c r="AB76" s="389">
        <f>+AB69*(1-AB$79)/Income_Statement_Annual!AB$79</f>
        <v>0</v>
      </c>
      <c r="AC76" s="389">
        <f>+AC69*(1-AC$79)/Income_Statement_Annual!AG$79</f>
        <v>0</v>
      </c>
      <c r="AD76" s="389" t="e">
        <f>+AD69*(1-AD$79)/Income_Statement_Annual!AH$79</f>
        <v>#DIV/0!</v>
      </c>
      <c r="AE76" s="389" t="e">
        <f>+AE69*(1-AE$79)/Income_Statement_Annual!AI$79</f>
        <v>#DIV/0!</v>
      </c>
      <c r="AF76" s="389" t="e">
        <f>+AF69*(1-AF$79)/Income_Statement_Annual!AJ$79</f>
        <v>#DIV/0!</v>
      </c>
    </row>
    <row r="77" spans="1:32">
      <c r="A77" s="1">
        <f>+A70</f>
        <v>787</v>
      </c>
      <c r="B77" s="389"/>
      <c r="C77" s="389"/>
      <c r="D77" s="389"/>
      <c r="E77" s="389"/>
      <c r="F77" s="389"/>
      <c r="G77" s="389"/>
      <c r="H77" s="389"/>
      <c r="I77" s="389"/>
      <c r="J77" s="389"/>
      <c r="K77" s="389"/>
      <c r="L77" s="389"/>
      <c r="M77" s="389"/>
      <c r="N77" s="389"/>
      <c r="O77" s="389"/>
      <c r="P77" s="389"/>
      <c r="Q77" s="389">
        <f>+Q70*(1-Q$79)/Income_Statement_Annual!Q$79</f>
        <v>0</v>
      </c>
      <c r="R77" s="389">
        <f>+R70*(1-R$79)/Income_Statement_Annual!R$79</f>
        <v>0</v>
      </c>
      <c r="S77" s="389">
        <f>+S70*(1-S$79)/Income_Statement_Annual!S$79</f>
        <v>1.4190935390549662E-3</v>
      </c>
      <c r="T77" s="389">
        <f>+T70*(1-T$79)/Income_Statement_Annual!T$79</f>
        <v>3.7202744485997823E-3</v>
      </c>
      <c r="U77" s="389">
        <f>+U70*(1-U$79)/Income_Statement_Annual!U$79</f>
        <v>5.8816766890696856E-3</v>
      </c>
      <c r="V77" s="389">
        <f>+V70*(1-V$79)/Income_Statement_Annual!V$79</f>
        <v>1.9801850955544803E-3</v>
      </c>
      <c r="W77" s="389">
        <f>+W70*(1-W$79)/Income_Statement_Annual!W$79</f>
        <v>0</v>
      </c>
      <c r="X77" s="389">
        <f>+X70*(1-X$79)/Income_Statement_Annual!X$79</f>
        <v>0</v>
      </c>
      <c r="Y77" s="389">
        <f>+Y70*(1-Y$79)/Income_Statement_Annual!Y$79</f>
        <v>0</v>
      </c>
      <c r="Z77" s="389">
        <f>+Z70*(1-Z$79)/Income_Statement_Annual!Z$79</f>
        <v>0</v>
      </c>
      <c r="AA77" s="389">
        <f>+AA70*(1-AA$79)/Income_Statement_Annual!AA$79</f>
        <v>0</v>
      </c>
      <c r="AB77" s="389">
        <f>+AB70*(1-AB$79)/Income_Statement_Annual!AB$79</f>
        <v>0</v>
      </c>
      <c r="AC77" s="389">
        <f>+AC70*(1-AC$79)/Income_Statement_Annual!AG$79</f>
        <v>0</v>
      </c>
      <c r="AD77" s="389" t="e">
        <f>+AD70*(1-AD$79)/Income_Statement_Annual!AH$79</f>
        <v>#DIV/0!</v>
      </c>
      <c r="AE77" s="389" t="e">
        <f>+AE70*(1-AE$79)/Income_Statement_Annual!AI$79</f>
        <v>#DIV/0!</v>
      </c>
      <c r="AF77" s="389" t="e">
        <f>+AF70*(1-AF$79)/Income_Statement_Annual!AJ$79</f>
        <v>#DIV/0!</v>
      </c>
    </row>
    <row r="78" spans="1:32">
      <c r="A78" s="1"/>
      <c r="B78" s="27"/>
      <c r="C78" s="27"/>
      <c r="D78" s="27"/>
      <c r="E78" s="27"/>
      <c r="F78" s="27"/>
      <c r="G78" s="27"/>
      <c r="H78" s="27"/>
      <c r="I78" s="27"/>
      <c r="J78" s="27"/>
      <c r="K78" s="27"/>
      <c r="L78" s="27"/>
      <c r="M78" s="27"/>
      <c r="N78" s="27"/>
      <c r="O78" s="27"/>
      <c r="P78" s="27"/>
      <c r="Q78" s="27"/>
      <c r="R78" s="76"/>
      <c r="S78" s="76"/>
      <c r="T78" s="76"/>
      <c r="U78" s="76"/>
      <c r="V78" s="76"/>
      <c r="W78" s="76"/>
      <c r="X78" s="76"/>
      <c r="Y78" s="76"/>
      <c r="Z78" s="76"/>
      <c r="AA78" s="76"/>
      <c r="AB78" s="76"/>
      <c r="AC78" s="76"/>
      <c r="AD78" s="76"/>
      <c r="AE78" s="76"/>
      <c r="AF78" s="76"/>
    </row>
    <row r="79" spans="1:32">
      <c r="A79" t="s">
        <v>554</v>
      </c>
      <c r="B79" s="383">
        <v>0.35</v>
      </c>
      <c r="C79" s="383">
        <v>0.35</v>
      </c>
      <c r="D79" s="383">
        <v>0.35</v>
      </c>
      <c r="E79" s="383">
        <v>0.35</v>
      </c>
      <c r="F79" s="383">
        <v>0.35</v>
      </c>
      <c r="G79" s="383">
        <v>0.35</v>
      </c>
      <c r="H79" s="383">
        <v>0.35</v>
      </c>
      <c r="I79" s="383">
        <v>0.35</v>
      </c>
      <c r="J79" s="383">
        <v>0.35</v>
      </c>
      <c r="K79" s="383">
        <v>0.35</v>
      </c>
      <c r="L79" s="383">
        <v>0.35</v>
      </c>
      <c r="M79" s="383">
        <v>0.35</v>
      </c>
      <c r="N79" s="383">
        <v>0.35</v>
      </c>
      <c r="O79" s="383">
        <v>0.35</v>
      </c>
      <c r="P79" s="383">
        <v>0.35</v>
      </c>
      <c r="Q79" s="383">
        <v>0.35</v>
      </c>
      <c r="R79" s="383">
        <v>0.35</v>
      </c>
      <c r="S79" s="383">
        <v>0.35</v>
      </c>
      <c r="T79" s="383">
        <v>0.21</v>
      </c>
      <c r="U79" s="383">
        <v>0.21</v>
      </c>
      <c r="V79" s="383">
        <v>0.21</v>
      </c>
      <c r="W79" s="383">
        <v>0.21</v>
      </c>
      <c r="X79" s="383">
        <v>0.21</v>
      </c>
      <c r="Y79" s="383">
        <v>0.21</v>
      </c>
      <c r="Z79" s="383">
        <v>0.21</v>
      </c>
      <c r="AA79" s="383">
        <v>0.21</v>
      </c>
      <c r="AB79" s="383">
        <v>0.21</v>
      </c>
      <c r="AC79" s="383">
        <v>0.21</v>
      </c>
      <c r="AD79" s="383">
        <v>0.21</v>
      </c>
      <c r="AE79" s="383">
        <v>0.21</v>
      </c>
      <c r="AF79" s="383">
        <v>0.21</v>
      </c>
    </row>
    <row r="80" spans="1:32">
      <c r="R80" s="74"/>
      <c r="S80" s="74"/>
      <c r="T80" s="74"/>
      <c r="U80" s="74"/>
      <c r="V80" s="74"/>
      <c r="W80" s="74"/>
      <c r="X80" s="74"/>
      <c r="Y80" s="74"/>
      <c r="Z80" s="74"/>
      <c r="AA80" s="74"/>
      <c r="AB80" s="74"/>
      <c r="AC80" s="74"/>
      <c r="AD80" s="74"/>
      <c r="AE80" s="74"/>
      <c r="AF80" s="74"/>
    </row>
    <row r="81" spans="1:32">
      <c r="A81" s="9" t="s">
        <v>553</v>
      </c>
      <c r="B81" s="92"/>
      <c r="C81" s="92"/>
      <c r="D81" s="92"/>
      <c r="E81" s="92"/>
      <c r="F81" s="92"/>
      <c r="G81" s="92"/>
      <c r="H81" s="92"/>
      <c r="I81" s="92"/>
      <c r="J81" s="92"/>
      <c r="K81" s="92"/>
      <c r="L81" s="92"/>
      <c r="M81" s="92"/>
      <c r="N81" s="92"/>
      <c r="O81" s="92"/>
      <c r="P81" s="92"/>
      <c r="Q81" s="296"/>
      <c r="R81" s="296"/>
      <c r="S81" s="296"/>
      <c r="T81" s="296"/>
      <c r="U81" s="24"/>
      <c r="V81" s="296"/>
      <c r="W81" s="296"/>
      <c r="X81" s="296"/>
      <c r="Y81" s="296"/>
      <c r="Z81" s="296"/>
      <c r="AA81" s="296"/>
      <c r="AB81" s="296"/>
      <c r="AC81" s="296"/>
      <c r="AD81" s="296"/>
      <c r="AE81" s="296"/>
      <c r="AF81" s="296"/>
    </row>
    <row r="82" spans="1:32">
      <c r="A82" s="388">
        <f>+A73</f>
        <v>737</v>
      </c>
      <c r="B82" s="386"/>
      <c r="C82" s="386"/>
      <c r="D82" s="386"/>
      <c r="E82" s="386"/>
      <c r="F82" s="386"/>
      <c r="G82" s="386"/>
      <c r="H82" s="386"/>
      <c r="I82" s="386"/>
      <c r="R82" s="303">
        <f>+R66*R89</f>
        <v>6.5748773469387762</v>
      </c>
      <c r="S82" s="303">
        <f t="shared" ref="S82:AA82" si="95">+S66*S89</f>
        <v>6.6524465028355397</v>
      </c>
      <c r="T82" s="303">
        <f t="shared" si="95"/>
        <v>8.8136976551724135</v>
      </c>
      <c r="U82" s="303">
        <f t="shared" si="95"/>
        <v>7.3059448818897641</v>
      </c>
      <c r="V82" s="303">
        <f t="shared" si="95"/>
        <v>4.2126921739130436</v>
      </c>
      <c r="W82" s="303">
        <f t="shared" si="95"/>
        <v>1.58</v>
      </c>
      <c r="X82" s="303">
        <f t="shared" si="95"/>
        <v>0.79</v>
      </c>
      <c r="Y82" s="303">
        <f t="shared" si="95"/>
        <v>0.3634</v>
      </c>
      <c r="Z82" s="303">
        <f t="shared" si="95"/>
        <v>-5.3419800000000022</v>
      </c>
      <c r="AA82" s="303">
        <f t="shared" si="95"/>
        <v>-2.1290499999999999</v>
      </c>
      <c r="AB82" s="303">
        <f>+AB66*AB89</f>
        <v>-1.9597563380281688</v>
      </c>
      <c r="AC82" s="303">
        <f>+AC66*AC89</f>
        <v>5.975079323943663</v>
      </c>
      <c r="AD82" s="303">
        <f>+AD66*AD89</f>
        <v>7.4035239436619715</v>
      </c>
      <c r="AE82" s="303">
        <f>+AE66*AE89</f>
        <v>7.625629661971832</v>
      </c>
      <c r="AF82" s="303">
        <f>+AF66*AF89</f>
        <v>7.8543985518309878</v>
      </c>
    </row>
    <row r="83" spans="1:32">
      <c r="A83" s="388">
        <f>+A74</f>
        <v>747</v>
      </c>
      <c r="B83" s="386"/>
      <c r="C83" s="386"/>
      <c r="D83" s="386"/>
      <c r="E83" s="386"/>
      <c r="F83" s="386"/>
      <c r="G83" s="386"/>
      <c r="H83" s="386"/>
      <c r="I83" s="386"/>
      <c r="R83" s="303">
        <f t="shared" ref="R83:AA85" si="96">+R67*R90</f>
        <v>0</v>
      </c>
      <c r="S83" s="303">
        <f t="shared" si="96"/>
        <v>0</v>
      </c>
      <c r="T83" s="303">
        <f t="shared" si="96"/>
        <v>0</v>
      </c>
      <c r="U83" s="303">
        <f t="shared" si="96"/>
        <v>0</v>
      </c>
      <c r="V83" s="303">
        <f t="shared" si="96"/>
        <v>0</v>
      </c>
      <c r="W83" s="303">
        <f t="shared" si="96"/>
        <v>0</v>
      </c>
      <c r="X83" s="303">
        <f t="shared" ref="X83:AC83" si="97">IFERROR(X67*X90,"na")</f>
        <v>0</v>
      </c>
      <c r="Y83" s="303">
        <f t="shared" si="97"/>
        <v>0</v>
      </c>
      <c r="Z83" s="303" t="str">
        <f t="shared" si="97"/>
        <v>na</v>
      </c>
      <c r="AA83" s="303" t="str">
        <f t="shared" si="97"/>
        <v>na</v>
      </c>
      <c r="AB83" s="303" t="str">
        <f t="shared" si="97"/>
        <v>na</v>
      </c>
      <c r="AC83" s="303" t="str">
        <f t="shared" si="97"/>
        <v>na</v>
      </c>
      <c r="AD83" s="303" t="str">
        <f t="shared" ref="AD83:AE83" si="98">IFERROR(AD67*AD90,"na")</f>
        <v>na</v>
      </c>
      <c r="AE83" s="303" t="str">
        <f t="shared" si="98"/>
        <v>na</v>
      </c>
      <c r="AF83" s="303" t="str">
        <f t="shared" ref="AF83" si="99">IFERROR(AF67*AF90,"na")</f>
        <v>na</v>
      </c>
    </row>
    <row r="84" spans="1:32">
      <c r="A84" s="388">
        <f>+A75</f>
        <v>767</v>
      </c>
      <c r="B84" s="386"/>
      <c r="C84" s="386"/>
      <c r="D84" s="386"/>
      <c r="E84" s="386"/>
      <c r="F84" s="386"/>
      <c r="G84" s="386"/>
      <c r="H84" s="386"/>
      <c r="I84" s="386"/>
      <c r="R84" s="303">
        <f t="shared" si="96"/>
        <v>6.3199999999999994</v>
      </c>
      <c r="S84" s="303">
        <f t="shared" si="96"/>
        <v>6.4</v>
      </c>
      <c r="T84" s="303">
        <f t="shared" si="96"/>
        <v>6.4</v>
      </c>
      <c r="U84" s="303">
        <f t="shared" si="96"/>
        <v>6.3999999999999995</v>
      </c>
      <c r="V84" s="303">
        <f t="shared" si="96"/>
        <v>6.4</v>
      </c>
      <c r="W84" s="303">
        <f t="shared" si="96"/>
        <v>4.5</v>
      </c>
      <c r="X84" s="303">
        <f t="shared" si="96"/>
        <v>1.5</v>
      </c>
      <c r="Y84" s="303">
        <f t="shared" si="96"/>
        <v>6</v>
      </c>
      <c r="Z84" s="303">
        <f t="shared" si="96"/>
        <v>6</v>
      </c>
      <c r="AA84" s="303">
        <f t="shared" si="96"/>
        <v>6</v>
      </c>
      <c r="AB84" s="303">
        <f t="shared" ref="AB84:AD85" si="100">+AB68*AB91</f>
        <v>6</v>
      </c>
      <c r="AC84" s="303" t="e">
        <f t="shared" si="100"/>
        <v>#DIV/0!</v>
      </c>
      <c r="AD84" s="303" t="e">
        <f t="shared" si="100"/>
        <v>#DIV/0!</v>
      </c>
      <c r="AE84" s="303" t="e">
        <f t="shared" ref="AE84:AF84" si="101">+AE68*AE91</f>
        <v>#DIV/0!</v>
      </c>
      <c r="AF84" s="303" t="e">
        <f t="shared" si="101"/>
        <v>#DIV/0!</v>
      </c>
    </row>
    <row r="85" spans="1:32">
      <c r="A85" s="388">
        <f>+A76</f>
        <v>777</v>
      </c>
      <c r="B85" s="386"/>
      <c r="C85" s="386"/>
      <c r="D85" s="386"/>
      <c r="E85" s="386"/>
      <c r="F85" s="386"/>
      <c r="G85" s="386"/>
      <c r="H85" s="386"/>
      <c r="I85" s="386"/>
      <c r="R85" s="303">
        <f t="shared" si="96"/>
        <v>12.782222222222222</v>
      </c>
      <c r="S85" s="303">
        <f t="shared" si="96"/>
        <v>9.6267567567567571</v>
      </c>
      <c r="T85" s="303">
        <f t="shared" si="96"/>
        <v>9.36</v>
      </c>
      <c r="U85" s="303">
        <f t="shared" si="96"/>
        <v>6.0346666666666664</v>
      </c>
      <c r="V85" s="303">
        <f t="shared" si="96"/>
        <v>4.8712499999999999</v>
      </c>
      <c r="W85" s="303">
        <f t="shared" si="96"/>
        <v>0</v>
      </c>
      <c r="X85" s="303">
        <f t="shared" si="96"/>
        <v>0</v>
      </c>
      <c r="Y85" s="303">
        <f t="shared" si="96"/>
        <v>0</v>
      </c>
      <c r="Z85" s="303">
        <f t="shared" si="96"/>
        <v>0</v>
      </c>
      <c r="AA85" s="303">
        <f t="shared" si="96"/>
        <v>0</v>
      </c>
      <c r="AB85" s="303">
        <f t="shared" si="100"/>
        <v>0</v>
      </c>
      <c r="AC85" s="303">
        <f t="shared" si="100"/>
        <v>0</v>
      </c>
      <c r="AD85" s="303">
        <f t="shared" si="100"/>
        <v>0</v>
      </c>
      <c r="AE85" s="303">
        <f t="shared" ref="AE85:AF85" si="102">+AE69*AE92</f>
        <v>0</v>
      </c>
      <c r="AF85" s="303">
        <f t="shared" si="102"/>
        <v>0</v>
      </c>
    </row>
    <row r="86" spans="1:32">
      <c r="A86" s="388">
        <f>+A77</f>
        <v>787</v>
      </c>
      <c r="B86" s="386"/>
      <c r="C86" s="386"/>
      <c r="D86" s="386"/>
      <c r="E86" s="386"/>
      <c r="F86" s="386"/>
      <c r="G86" s="386"/>
      <c r="H86" s="386"/>
      <c r="I86" s="386"/>
      <c r="R86" s="303">
        <f>+Inventory!H32</f>
        <v>10.630434782608695</v>
      </c>
      <c r="S86" s="303">
        <f>+Inventory!I32</f>
        <v>16.680555555555557</v>
      </c>
      <c r="T86" s="303">
        <f>+Inventory!J32</f>
        <v>20.319444444444443</v>
      </c>
      <c r="U86" s="303">
        <f>+Inventory!K32</f>
        <v>28.553571428571427</v>
      </c>
      <c r="V86" s="303">
        <f>+Inventory!L32</f>
        <v>70.875</v>
      </c>
      <c r="W86" s="303">
        <f>+Inventory!M32</f>
        <v>158.61904761904762</v>
      </c>
      <c r="X86" s="303">
        <f>+Inventory!N32</f>
        <v>-69.461538461538467</v>
      </c>
      <c r="Y86" s="303">
        <f>+Inventory!O32</f>
        <v>22.791666666666668</v>
      </c>
      <c r="Z86" s="303">
        <f>+Inventory!P32</f>
        <v>-21.375</v>
      </c>
      <c r="AA86" s="303">
        <f>+Inventory!Q32</f>
        <v>-9.6714285714285708</v>
      </c>
      <c r="AB86" s="303">
        <f>+Inventory!R32</f>
        <v>13.282552083333334</v>
      </c>
      <c r="AC86" s="303">
        <f>+Inventory!W32</f>
        <v>0</v>
      </c>
      <c r="AD86" s="303">
        <f>+Inventory!X32</f>
        <v>0</v>
      </c>
      <c r="AE86" s="303">
        <f>+Inventory!Y32</f>
        <v>0</v>
      </c>
      <c r="AF86" s="303">
        <f>+Inventory!Z32</f>
        <v>0</v>
      </c>
    </row>
    <row r="87" spans="1:32">
      <c r="R87" s="74"/>
      <c r="S87" s="74"/>
      <c r="T87" s="74"/>
      <c r="U87" s="74"/>
      <c r="V87" s="74"/>
      <c r="W87" s="74"/>
      <c r="X87" s="74"/>
      <c r="Y87" s="74"/>
      <c r="Z87" s="74"/>
      <c r="AA87" s="74"/>
      <c r="AB87" s="74"/>
      <c r="AC87" s="74"/>
      <c r="AD87" s="74"/>
      <c r="AE87" s="74"/>
      <c r="AF87" s="74"/>
    </row>
    <row r="88" spans="1:32">
      <c r="A88" s="9" t="s">
        <v>555</v>
      </c>
      <c r="B88" s="92"/>
      <c r="C88" s="92"/>
      <c r="D88" s="92"/>
      <c r="E88" s="92"/>
      <c r="F88" s="92"/>
      <c r="G88" s="92"/>
      <c r="H88" s="92"/>
      <c r="I88" s="92"/>
      <c r="J88" s="92"/>
      <c r="K88" s="92"/>
      <c r="L88" s="92"/>
      <c r="M88" s="92"/>
      <c r="N88" s="92"/>
      <c r="O88" s="92"/>
      <c r="P88" s="92"/>
      <c r="Q88" s="296"/>
      <c r="R88" s="296"/>
      <c r="S88" s="296"/>
      <c r="T88" s="296"/>
      <c r="U88" s="24"/>
      <c r="V88" s="296"/>
      <c r="W88" s="296"/>
      <c r="X88" s="296"/>
      <c r="Y88" s="296"/>
      <c r="Z88" s="296"/>
      <c r="AA88" s="296"/>
      <c r="AB88" s="296"/>
      <c r="AC88" s="296"/>
      <c r="AD88" s="296"/>
      <c r="AE88" s="296"/>
      <c r="AF88" s="296"/>
    </row>
    <row r="89" spans="1:32">
      <c r="A89" s="388">
        <f>+A82</f>
        <v>737</v>
      </c>
      <c r="R89" s="383">
        <v>1</v>
      </c>
      <c r="S89" s="383">
        <v>1</v>
      </c>
      <c r="T89" s="383">
        <v>1</v>
      </c>
      <c r="U89" s="383">
        <v>1</v>
      </c>
      <c r="V89" s="383">
        <v>1</v>
      </c>
      <c r="W89" s="383">
        <v>1</v>
      </c>
      <c r="X89" s="383">
        <v>1</v>
      </c>
      <c r="Y89" s="383">
        <v>1</v>
      </c>
      <c r="Z89" s="383">
        <v>1</v>
      </c>
      <c r="AA89" s="383">
        <v>1</v>
      </c>
      <c r="AB89" s="383">
        <v>1</v>
      </c>
      <c r="AC89" s="383">
        <v>1</v>
      </c>
      <c r="AD89" s="383">
        <v>1</v>
      </c>
      <c r="AE89" s="383">
        <v>1</v>
      </c>
      <c r="AF89" s="383">
        <v>1</v>
      </c>
    </row>
    <row r="90" spans="1:32">
      <c r="A90" s="388">
        <f>+A83</f>
        <v>747</v>
      </c>
      <c r="R90" s="383">
        <v>1</v>
      </c>
      <c r="S90" s="383">
        <v>1</v>
      </c>
      <c r="T90" s="383">
        <v>1</v>
      </c>
      <c r="U90" s="383">
        <v>1</v>
      </c>
      <c r="V90" s="383">
        <v>1</v>
      </c>
      <c r="W90" s="383">
        <v>1</v>
      </c>
      <c r="X90" s="383">
        <v>1</v>
      </c>
      <c r="Y90" s="383">
        <v>1</v>
      </c>
      <c r="Z90" s="383">
        <v>1</v>
      </c>
      <c r="AA90" s="383">
        <v>1</v>
      </c>
      <c r="AB90" s="383">
        <v>1</v>
      </c>
      <c r="AC90" s="383">
        <v>1</v>
      </c>
      <c r="AD90" s="383">
        <v>1</v>
      </c>
      <c r="AE90" s="383">
        <v>1</v>
      </c>
      <c r="AF90" s="383">
        <v>1</v>
      </c>
    </row>
    <row r="91" spans="1:32">
      <c r="A91" s="388">
        <f>+A84</f>
        <v>767</v>
      </c>
      <c r="R91" s="383">
        <v>1</v>
      </c>
      <c r="S91" s="383">
        <v>1</v>
      </c>
      <c r="T91" s="383">
        <v>1</v>
      </c>
      <c r="U91" s="383">
        <v>1</v>
      </c>
      <c r="V91" s="383">
        <v>1</v>
      </c>
      <c r="W91" s="383">
        <v>1</v>
      </c>
      <c r="X91" s="383">
        <v>1</v>
      </c>
      <c r="Y91" s="383">
        <v>1</v>
      </c>
      <c r="Z91" s="383">
        <v>1</v>
      </c>
      <c r="AA91" s="383">
        <v>1</v>
      </c>
      <c r="AB91" s="383">
        <v>1</v>
      </c>
      <c r="AC91" s="383">
        <v>1</v>
      </c>
      <c r="AD91" s="383">
        <v>1</v>
      </c>
      <c r="AE91" s="383">
        <v>1</v>
      </c>
      <c r="AF91" s="383">
        <v>1</v>
      </c>
    </row>
    <row r="92" spans="1:32">
      <c r="A92" s="388">
        <f>+A85</f>
        <v>777</v>
      </c>
      <c r="R92" s="383">
        <v>1</v>
      </c>
      <c r="S92" s="383">
        <v>1</v>
      </c>
      <c r="T92" s="383">
        <v>1</v>
      </c>
      <c r="U92" s="383">
        <v>1</v>
      </c>
      <c r="V92" s="383">
        <v>1</v>
      </c>
      <c r="W92" s="383">
        <v>1</v>
      </c>
      <c r="X92" s="383">
        <v>1</v>
      </c>
      <c r="Y92" s="383">
        <v>1</v>
      </c>
      <c r="Z92" s="383">
        <v>1</v>
      </c>
      <c r="AA92" s="383">
        <v>1</v>
      </c>
      <c r="AB92" s="383">
        <v>1</v>
      </c>
      <c r="AC92" s="383">
        <v>1</v>
      </c>
      <c r="AD92" s="383">
        <v>1</v>
      </c>
      <c r="AE92" s="383">
        <v>1</v>
      </c>
      <c r="AF92" s="383">
        <v>1</v>
      </c>
    </row>
    <row r="93" spans="1:32">
      <c r="A93" s="388">
        <f>+A86</f>
        <v>787</v>
      </c>
      <c r="R93" s="390" t="str">
        <f>IFERROR(+R86/R70,"NM")</f>
        <v>NM</v>
      </c>
      <c r="S93" s="390">
        <f>+S86/S70</f>
        <v>12.525152139772283</v>
      </c>
      <c r="T93" s="390">
        <f>+T86/T70</f>
        <v>7.3694833527875039</v>
      </c>
      <c r="U93" s="390">
        <f t="shared" ref="U93:AA93" si="103">+U86/U70</f>
        <v>6.7831368000515493</v>
      </c>
      <c r="V93" s="390">
        <f t="shared" si="103"/>
        <v>49.765944997074307</v>
      </c>
      <c r="W93" s="390" t="e">
        <f t="shared" si="103"/>
        <v>#DIV/0!</v>
      </c>
      <c r="X93" s="390" t="e">
        <f t="shared" si="103"/>
        <v>#DIV/0!</v>
      </c>
      <c r="Y93" s="390" t="e">
        <f t="shared" si="103"/>
        <v>#DIV/0!</v>
      </c>
      <c r="Z93" s="390" t="e">
        <f t="shared" si="103"/>
        <v>#DIV/0!</v>
      </c>
      <c r="AA93" s="390" t="e">
        <f t="shared" si="103"/>
        <v>#DIV/0!</v>
      </c>
      <c r="AB93" s="390" t="e">
        <f>+AB86/AB70</f>
        <v>#DIV/0!</v>
      </c>
      <c r="AC93" s="390" t="e">
        <f>+AC86/AC70</f>
        <v>#DIV/0!</v>
      </c>
      <c r="AD93" s="390" t="e">
        <f>+AD86/AD70</f>
        <v>#DIV/0!</v>
      </c>
      <c r="AE93" s="390" t="e">
        <f>+AE86/AE70</f>
        <v>#DIV/0!</v>
      </c>
      <c r="AF93" s="390" t="e">
        <f>+AF86/AF70</f>
        <v>#DIV/0!</v>
      </c>
    </row>
    <row r="94" spans="1:32">
      <c r="R94" s="74"/>
      <c r="S94" s="74"/>
      <c r="T94" s="74"/>
      <c r="U94" s="74"/>
      <c r="V94" s="74"/>
      <c r="W94" s="74"/>
      <c r="X94" s="74"/>
      <c r="Y94" s="74"/>
      <c r="Z94" s="74"/>
      <c r="AA94" s="74"/>
      <c r="AB94" s="74"/>
      <c r="AC94" s="74"/>
      <c r="AD94" s="74"/>
      <c r="AE94" s="74"/>
      <c r="AF94" s="74"/>
    </row>
    <row r="95" spans="1:32">
      <c r="R95" s="74"/>
      <c r="S95" s="74"/>
      <c r="T95" s="74"/>
      <c r="U95" s="74"/>
      <c r="V95" s="74"/>
      <c r="W95" s="74"/>
      <c r="X95" s="74"/>
      <c r="Y95" s="74"/>
      <c r="Z95" s="74"/>
      <c r="AA95" s="74"/>
      <c r="AB95" s="74"/>
      <c r="AC95" s="74"/>
      <c r="AD95" s="74"/>
      <c r="AE95" s="74"/>
      <c r="AF95" s="74"/>
    </row>
    <row r="96" spans="1:32">
      <c r="R96" s="74"/>
      <c r="S96" s="74"/>
      <c r="T96" s="74"/>
      <c r="U96" s="74"/>
      <c r="V96" s="74"/>
      <c r="W96" s="74"/>
      <c r="X96" s="74"/>
      <c r="Y96" s="74"/>
      <c r="Z96" s="74"/>
      <c r="AA96" s="74"/>
      <c r="AB96" s="74"/>
      <c r="AC96" s="74"/>
      <c r="AD96" s="74"/>
      <c r="AE96" s="74"/>
      <c r="AF96" s="74"/>
    </row>
    <row r="97" spans="18:32">
      <c r="R97" s="74"/>
      <c r="S97" s="74"/>
      <c r="T97" s="74"/>
      <c r="U97" s="74"/>
      <c r="V97" s="74"/>
      <c r="W97" s="74"/>
      <c r="X97" s="74"/>
      <c r="Y97" s="74"/>
      <c r="Z97" s="74"/>
      <c r="AA97" s="74"/>
      <c r="AB97" s="74"/>
      <c r="AC97" s="74"/>
      <c r="AD97" s="74"/>
      <c r="AE97" s="74"/>
      <c r="AF97" s="74"/>
    </row>
    <row r="101" spans="18:32">
      <c r="U101" s="74"/>
    </row>
    <row r="103" spans="18:32">
      <c r="U103" s="35"/>
    </row>
  </sheetData>
  <mergeCells count="1">
    <mergeCell ref="AW38:AX38"/>
  </mergeCells>
  <pageMargins left="0.7" right="0.7" top="0.75" bottom="0.75" header="0.3" footer="0.3"/>
  <pageSetup orientation="landscape"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2"/>
  <dimension ref="A1:AF40"/>
  <sheetViews>
    <sheetView showGridLines="0" zoomScaleNormal="100" workbookViewId="0">
      <pane xSplit="1" ySplit="2" topLeftCell="V3" activePane="bottomRight" state="frozen"/>
      <selection activeCell="F35" sqref="F35"/>
      <selection pane="topRight" activeCell="F35" sqref="F35"/>
      <selection pane="bottomLeft" activeCell="F35" sqref="F35"/>
      <selection pane="bottomRight" activeCell="AD3" sqref="AD3"/>
    </sheetView>
  </sheetViews>
  <sheetFormatPr defaultRowHeight="14.5" outlineLevelRow="1"/>
  <cols>
    <col min="1" max="1" width="47.81640625" customWidth="1"/>
    <col min="2" max="22" width="12.1796875" style="26" customWidth="1"/>
    <col min="23" max="27" width="12.1796875" customWidth="1"/>
    <col min="28" max="32" width="12.453125" customWidth="1"/>
  </cols>
  <sheetData>
    <row r="1" spans="1:32">
      <c r="A1" s="15" t="s">
        <v>351</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row>
    <row r="2" spans="1:32">
      <c r="A2" s="7"/>
      <c r="B2" s="107" t="str">
        <f>Income_Statement_Annual!B2</f>
        <v>CY2000A</v>
      </c>
      <c r="C2" s="107" t="str">
        <f>Income_Statement_Annual!C2</f>
        <v>CY2001A</v>
      </c>
      <c r="D2" s="107" t="str">
        <f>Income_Statement_Annual!D2</f>
        <v>CY2002A</v>
      </c>
      <c r="E2" s="107" t="str">
        <f>Income_Statement_Annual!E2</f>
        <v>CY2003A</v>
      </c>
      <c r="F2" s="107" t="str">
        <f>Income_Statement_Annual!F2</f>
        <v>CY2004A</v>
      </c>
      <c r="G2" s="106" t="str">
        <f>Income_Statement_Annual!G2</f>
        <v>CY2005A</v>
      </c>
      <c r="H2" s="107" t="str">
        <f>Income_Statement_Annual!H2</f>
        <v>CY2006A</v>
      </c>
      <c r="I2" s="107" t="str">
        <f>Income_Statement_Annual!I2</f>
        <v>CY2007A</v>
      </c>
      <c r="J2" s="107" t="str">
        <f>Income_Statement_Annual!J2</f>
        <v>CY2008A</v>
      </c>
      <c r="K2" s="107" t="str">
        <f>Income_Statement_Annual!K2</f>
        <v>CY2009A</v>
      </c>
      <c r="L2" s="107" t="str">
        <f>Income_Statement_Annual!L2</f>
        <v>CY2010A</v>
      </c>
      <c r="M2" s="107" t="str">
        <f>Income_Statement_Annual!M2</f>
        <v>CY2011A</v>
      </c>
      <c r="N2" s="107" t="str">
        <f>Income_Statement_Annual!N2</f>
        <v>CY2012A</v>
      </c>
      <c r="O2" s="107" t="str">
        <f>Income_Statement_Annual!O2</f>
        <v>CY2013A</v>
      </c>
      <c r="P2" s="107" t="str">
        <f>Income_Statement_Annual!P2</f>
        <v>CY2014A</v>
      </c>
      <c r="Q2" s="107" t="str">
        <f>Income_Statement_Annual!Q2</f>
        <v>CY2015A</v>
      </c>
      <c r="R2" s="107" t="str">
        <f>Income_Statement_Annual!R2</f>
        <v>CY2016A</v>
      </c>
      <c r="S2" s="107" t="str">
        <f>Income_Statement_Annual!S2</f>
        <v>CY2017A</v>
      </c>
      <c r="T2" s="107" t="str">
        <f>Income_Statement_Annual!T2</f>
        <v>CY2018A</v>
      </c>
      <c r="U2" s="106" t="str">
        <f>Income_Statement_Annual!U2</f>
        <v>CY2019A</v>
      </c>
      <c r="V2" s="106" t="str">
        <f>Income_Statement_Annual!V2</f>
        <v>CY2020A</v>
      </c>
      <c r="W2" s="106" t="str">
        <f>Income_Statement_Annual!W2</f>
        <v>CY2021A</v>
      </c>
      <c r="X2" s="106" t="str">
        <f>Income_Statement_Annual!X2</f>
        <v>CY2022A</v>
      </c>
      <c r="Y2" s="106" t="str">
        <f>Income_Statement_Annual!Y2</f>
        <v>CY2023A</v>
      </c>
      <c r="Z2" s="106" t="str">
        <f>Income_Statement_Annual!Z2</f>
        <v>CY2024A</v>
      </c>
      <c r="AA2" s="106" t="str">
        <f>Income_Statement_Annual!AA2</f>
        <v>CY2025A</v>
      </c>
      <c r="AB2" s="106" t="str">
        <f>Income_Statement_Annual!AB2</f>
        <v>CY2026E</v>
      </c>
      <c r="AC2" s="106" t="str">
        <f>Income_Statement_Annual!AC2</f>
        <v>CY2027E</v>
      </c>
      <c r="AD2" s="106" t="str">
        <f>Income_Statement_Annual!AD2</f>
        <v>CY2028E</v>
      </c>
      <c r="AE2" s="106" t="str">
        <f>Income_Statement_Annual!AE2</f>
        <v>CY2029E</v>
      </c>
      <c r="AF2" s="106" t="str">
        <f>Income_Statement_Annual!AF2</f>
        <v>CY2030E</v>
      </c>
    </row>
    <row r="3" spans="1:32">
      <c r="A3" s="9" t="str">
        <f>BDS_Qtr!A3</f>
        <v>Net Sales</v>
      </c>
      <c r="B3" s="31"/>
      <c r="C3" s="31"/>
      <c r="D3" s="31"/>
      <c r="E3" s="31"/>
      <c r="F3" s="31"/>
      <c r="G3" s="30"/>
      <c r="H3" s="31"/>
      <c r="I3" s="31"/>
      <c r="J3" s="31"/>
      <c r="K3" s="31"/>
      <c r="L3" s="31"/>
      <c r="M3" s="31"/>
      <c r="N3" s="31"/>
      <c r="O3" s="31"/>
      <c r="P3" s="31"/>
      <c r="Q3" s="178"/>
      <c r="R3" s="178">
        <f>BDS_Qtr!K3</f>
        <v>22563</v>
      </c>
      <c r="S3" s="178">
        <f>BDS_Qtr!P3</f>
        <v>20561</v>
      </c>
      <c r="T3" s="178">
        <f>BDS_Qtr!U3</f>
        <v>26392</v>
      </c>
      <c r="U3" s="271">
        <f>BDS_Qtr!Z3</f>
        <v>26227</v>
      </c>
      <c r="V3" s="178">
        <f>BDS_Qtr!AE3</f>
        <v>26257</v>
      </c>
      <c r="W3" s="178">
        <f>BDS_Qtr!AJ3</f>
        <v>26540</v>
      </c>
      <c r="X3" s="178">
        <f>BDS_Qtr!AO3</f>
        <v>23162</v>
      </c>
      <c r="Y3" s="178">
        <f>BDS_Qtr!AT3</f>
        <v>24933</v>
      </c>
      <c r="Z3" s="178">
        <f>BDS_Qtr!AY3</f>
        <v>23918</v>
      </c>
      <c r="AA3" s="178">
        <f>BDS_Qtr!BD3</f>
        <v>27234</v>
      </c>
      <c r="AB3" s="178">
        <f>BDS_Qtr!BI3</f>
        <v>28228.851367991578</v>
      </c>
      <c r="AC3" s="178">
        <f>BDS_Driver_Annual!AC47</f>
        <v>29196.687826202717</v>
      </c>
      <c r="AD3" s="178">
        <f>BDS_Driver_Annual!AD47</f>
        <v>30119.099236152215</v>
      </c>
      <c r="AE3" s="178">
        <f>BDS_Driver_Annual!AE47</f>
        <v>31087.584713843287</v>
      </c>
      <c r="AF3" s="178">
        <f>BDS_Driver_Annual!AF47</f>
        <v>31291.726708317074</v>
      </c>
    </row>
    <row r="4" spans="1:32">
      <c r="A4" s="1" t="str">
        <f>BDS_Qtr!A4</f>
        <v>YoY</v>
      </c>
      <c r="B4" s="197"/>
      <c r="C4" s="197"/>
      <c r="D4" s="197"/>
      <c r="E4" s="197"/>
      <c r="F4" s="197"/>
      <c r="G4" s="86"/>
      <c r="H4" s="197"/>
      <c r="I4" s="197"/>
      <c r="J4" s="197"/>
      <c r="K4" s="197"/>
      <c r="L4" s="197"/>
      <c r="M4" s="197"/>
      <c r="N4" s="204"/>
      <c r="O4" s="204"/>
      <c r="P4" s="204"/>
      <c r="Q4" s="197"/>
      <c r="R4" s="197"/>
      <c r="S4" s="197">
        <f>BDS_Qtr!P4</f>
        <v>-8.8729335637991347E-2</v>
      </c>
      <c r="T4" s="197">
        <f>BDS_Qtr!U4</f>
        <v>0.2835951558776324</v>
      </c>
      <c r="U4" s="206">
        <f>BDS_Qtr!Z4</f>
        <v>-6.2518945134889536E-3</v>
      </c>
      <c r="V4" s="197">
        <f>BDS_Qtr!AE4</f>
        <v>1.1438593815533693E-3</v>
      </c>
      <c r="W4" s="197">
        <f>BDS_Qtr!AJ4</f>
        <v>1.0778078226758581E-2</v>
      </c>
      <c r="X4" s="454">
        <f>BDS_Qtr!AO4</f>
        <v>-0.12727957799547851</v>
      </c>
      <c r="Y4" s="454">
        <f>BDS_Qtr!AT4</f>
        <v>7.6461445471030176E-2</v>
      </c>
      <c r="Z4" s="454">
        <f>BDS_Qtr!AY4</f>
        <v>-4.070910038904263E-2</v>
      </c>
      <c r="AA4" s="454">
        <f>BDS_Qtr!BD4</f>
        <v>0.13864035454469437</v>
      </c>
      <c r="AB4" s="454">
        <f>BDS_Qtr!BI4</f>
        <v>3.6529755746184112E-2</v>
      </c>
      <c r="AC4" s="301">
        <f>AC3/AB3-1</f>
        <v>3.4285364487361303E-2</v>
      </c>
      <c r="AD4" s="301">
        <f>AD3/AC3-1</f>
        <v>3.1593015462585194E-2</v>
      </c>
      <c r="AE4" s="301">
        <f>AE3/AD3-1</f>
        <v>3.2155193955089922E-2</v>
      </c>
      <c r="AF4" s="301">
        <f>AF3/AE3-1</f>
        <v>6.5666727200870412E-3</v>
      </c>
    </row>
    <row r="5" spans="1:32">
      <c r="A5" s="1"/>
      <c r="B5" s="38"/>
      <c r="C5" s="38"/>
      <c r="D5" s="38"/>
      <c r="E5" s="38"/>
      <c r="F5" s="38"/>
      <c r="G5" s="37"/>
      <c r="H5" s="38"/>
      <c r="I5" s="38"/>
      <c r="J5" s="38"/>
      <c r="K5" s="38"/>
      <c r="L5" s="38"/>
      <c r="M5" s="38"/>
      <c r="N5" s="38"/>
      <c r="O5" s="38"/>
      <c r="P5" s="38"/>
      <c r="Q5" s="38"/>
      <c r="R5" s="38"/>
      <c r="S5" s="38"/>
      <c r="T5" s="38"/>
      <c r="U5" s="177"/>
      <c r="V5" s="38"/>
      <c r="W5" s="38"/>
      <c r="X5" s="449"/>
      <c r="Y5" s="449"/>
      <c r="Z5" s="449"/>
      <c r="AA5" s="449"/>
      <c r="AB5" s="449"/>
      <c r="AC5" s="201"/>
      <c r="AD5" s="201"/>
      <c r="AE5" s="201"/>
      <c r="AF5" s="201"/>
    </row>
    <row r="6" spans="1:32">
      <c r="A6" s="7" t="str">
        <f>BDS_Qtr!A6</f>
        <v>R&amp;D Expense, net</v>
      </c>
      <c r="B6" s="21"/>
      <c r="C6" s="21"/>
      <c r="D6" s="21"/>
      <c r="E6" s="21"/>
      <c r="F6" s="21"/>
      <c r="G6" s="19"/>
      <c r="H6" s="21"/>
      <c r="I6" s="21"/>
      <c r="J6" s="21"/>
      <c r="K6" s="21"/>
      <c r="L6" s="21"/>
      <c r="M6" s="21"/>
      <c r="N6" s="21"/>
      <c r="O6" s="21"/>
      <c r="P6" s="21"/>
      <c r="Q6" s="196"/>
      <c r="R6" s="196">
        <f>BDS_Qtr!K6</f>
        <v>815</v>
      </c>
      <c r="S6" s="196">
        <f>BDS_Qtr!P6</f>
        <v>834</v>
      </c>
      <c r="T6" s="196">
        <f>BDS_Qtr!U6</f>
        <v>788</v>
      </c>
      <c r="U6" s="205">
        <f>BDS_Qtr!Z6</f>
        <v>758</v>
      </c>
      <c r="V6" s="196">
        <f>BDS_Qtr!AE6</f>
        <v>713</v>
      </c>
      <c r="W6" s="196">
        <f>BDS_Qtr!AJ6</f>
        <v>818</v>
      </c>
      <c r="X6" s="196">
        <f>BDS_Qtr!AO6</f>
        <v>945</v>
      </c>
      <c r="Y6" s="196">
        <f>BDS_Qtr!AT6</f>
        <v>919</v>
      </c>
      <c r="Z6" s="196">
        <f>BDS_Qtr!AY6</f>
        <v>917</v>
      </c>
      <c r="AA6" s="196">
        <f>BDS_Qtr!BD6</f>
        <v>877</v>
      </c>
      <c r="AB6" s="196">
        <f>BDS_Qtr!BI6</f>
        <v>903.31</v>
      </c>
      <c r="AC6" s="191">
        <f>AB6*(1+AC7)</f>
        <v>930.40929999999992</v>
      </c>
      <c r="AD6" s="191">
        <f>AC6*(1+AD7)</f>
        <v>958.32157899999993</v>
      </c>
      <c r="AE6" s="191">
        <f>AD6*(1+AE7)</f>
        <v>987.07122636999998</v>
      </c>
      <c r="AF6" s="191">
        <f>AE6*(1+AF7)</f>
        <v>1016.6833631611</v>
      </c>
    </row>
    <row r="7" spans="1:32">
      <c r="A7" s="1" t="str">
        <f>BDS_Qtr!A7</f>
        <v>YoY</v>
      </c>
      <c r="B7" s="21"/>
      <c r="C7" s="21"/>
      <c r="D7" s="21"/>
      <c r="E7" s="21"/>
      <c r="F7" s="21"/>
      <c r="G7" s="19"/>
      <c r="H7" s="21"/>
      <c r="I7" s="21"/>
      <c r="J7" s="21"/>
      <c r="K7" s="21"/>
      <c r="L7" s="21"/>
      <c r="M7" s="21"/>
      <c r="N7" s="21"/>
      <c r="O7" s="21"/>
      <c r="P7" s="21"/>
      <c r="Q7" s="196"/>
      <c r="R7" s="196"/>
      <c r="S7" s="197">
        <f>BDS_Qtr!P7</f>
        <v>2.331288343558291E-2</v>
      </c>
      <c r="T7" s="197">
        <f>BDS_Qtr!U7</f>
        <v>-5.5155875299760182E-2</v>
      </c>
      <c r="U7" s="206">
        <f>BDS_Qtr!Z7</f>
        <v>-3.8071065989847663E-2</v>
      </c>
      <c r="V7" s="197">
        <f>BDS_Qtr!AE7</f>
        <v>-5.9366754617414252E-2</v>
      </c>
      <c r="W7" s="197">
        <f>BDS_Qtr!AJ7</f>
        <v>0.14726507713884995</v>
      </c>
      <c r="X7" s="454">
        <f>BDS_Qtr!AO7</f>
        <v>0.15525672371638133</v>
      </c>
      <c r="Y7" s="454">
        <f>BDS_Qtr!AT7</f>
        <v>-2.7513227513227489E-2</v>
      </c>
      <c r="Z7" s="454">
        <f>BDS_Qtr!AY7</f>
        <v>-2.1762785636560977E-3</v>
      </c>
      <c r="AA7" s="454">
        <f>BDS_Qtr!BD7</f>
        <v>-4.3620501635768805E-2</v>
      </c>
      <c r="AB7" s="454">
        <f>BDS_Qtr!BI7</f>
        <v>3.0000000000000027E-2</v>
      </c>
      <c r="AC7" s="240">
        <v>0.03</v>
      </c>
      <c r="AD7" s="240">
        <v>0.03</v>
      </c>
      <c r="AE7" s="240">
        <v>0.03</v>
      </c>
      <c r="AF7" s="240">
        <v>0.03</v>
      </c>
    </row>
    <row r="8" spans="1:32">
      <c r="A8" s="1" t="str">
        <f>BDS_Qtr!A8</f>
        <v>% of Sales</v>
      </c>
      <c r="B8" s="21"/>
      <c r="C8" s="21"/>
      <c r="D8" s="21"/>
      <c r="E8" s="21"/>
      <c r="F8" s="21"/>
      <c r="G8" s="19"/>
      <c r="H8" s="21"/>
      <c r="I8" s="21"/>
      <c r="J8" s="21"/>
      <c r="K8" s="21"/>
      <c r="L8" s="21"/>
      <c r="M8" s="36"/>
      <c r="N8" s="36"/>
      <c r="O8" s="36"/>
      <c r="P8" s="36"/>
      <c r="Q8" s="197"/>
      <c r="R8" s="197">
        <f>BDS_Qtr!K8</f>
        <v>3.6121083189292205E-2</v>
      </c>
      <c r="S8" s="197">
        <f>BDS_Qtr!P8</f>
        <v>4.056222946354749E-2</v>
      </c>
      <c r="T8" s="197">
        <f>BDS_Qtr!U8</f>
        <v>2.9857532585632011E-2</v>
      </c>
      <c r="U8" s="206">
        <f>BDS_Qtr!Z8</f>
        <v>2.8901513707248257E-2</v>
      </c>
      <c r="V8" s="197">
        <f>BDS_Qtr!AE8</f>
        <v>2.7154663518299881E-2</v>
      </c>
      <c r="W8" s="197">
        <f>BDS_Qtr!AJ8</f>
        <v>3.0821401657874906E-2</v>
      </c>
      <c r="X8" s="197">
        <f>BDS_Qtr!AO8</f>
        <v>4.079958552802003E-2</v>
      </c>
      <c r="Y8" s="197">
        <f>BDS_Qtr!AT8</f>
        <v>3.6858781534512497E-2</v>
      </c>
      <c r="Z8" s="197">
        <f>BDS_Qtr!AY8</f>
        <v>3.8339326030604567E-2</v>
      </c>
      <c r="AA8" s="197">
        <f>BDS_Qtr!BD8</f>
        <v>3.220239406624073E-2</v>
      </c>
      <c r="AB8" s="197">
        <f>BDS_Qtr!BI8</f>
        <v>3.1999530842556863E-2</v>
      </c>
      <c r="AC8" s="204">
        <f>AC6/AC3</f>
        <v>3.1866946878988077E-2</v>
      </c>
      <c r="AD8" s="204">
        <f>AD6/AD3</f>
        <v>3.1817737027464564E-2</v>
      </c>
      <c r="AE8" s="204">
        <f>AE6/AE3</f>
        <v>3.1751299930690903E-2</v>
      </c>
      <c r="AF8" s="204">
        <f>AF6/AF3</f>
        <v>3.2490484550054384E-2</v>
      </c>
    </row>
    <row r="9" spans="1:32">
      <c r="B9" s="100"/>
      <c r="C9" s="100"/>
      <c r="D9" s="100"/>
      <c r="E9" s="100"/>
      <c r="F9" s="100"/>
      <c r="G9" s="87"/>
      <c r="H9" s="100"/>
      <c r="I9" s="100"/>
      <c r="J9" s="100"/>
      <c r="K9" s="100"/>
      <c r="L9" s="100"/>
      <c r="M9" s="100"/>
      <c r="N9" s="100"/>
      <c r="O9" s="100"/>
      <c r="P9" s="100"/>
      <c r="Q9" s="38"/>
      <c r="R9" s="38"/>
      <c r="S9" s="38"/>
      <c r="T9" s="38"/>
      <c r="U9" s="177"/>
      <c r="V9" s="38"/>
      <c r="W9" s="38"/>
      <c r="X9" s="449"/>
      <c r="Y9" s="449"/>
      <c r="Z9" s="449"/>
      <c r="AA9" s="449"/>
      <c r="AB9" s="449"/>
      <c r="AC9" s="201"/>
      <c r="AD9" s="201"/>
      <c r="AE9" s="201"/>
      <c r="AF9" s="201"/>
    </row>
    <row r="10" spans="1:32">
      <c r="A10" s="10" t="str">
        <f>BDS_Qtr!A10</f>
        <v>Operating Expenses</v>
      </c>
      <c r="B10" s="198"/>
      <c r="C10" s="198"/>
      <c r="D10" s="198"/>
      <c r="E10" s="198"/>
      <c r="F10" s="198"/>
      <c r="G10" s="88"/>
      <c r="H10" s="198"/>
      <c r="I10" s="198"/>
      <c r="J10" s="198"/>
      <c r="K10" s="198"/>
      <c r="L10" s="198"/>
      <c r="M10" s="29"/>
      <c r="N10" s="29"/>
      <c r="O10" s="29"/>
      <c r="P10" s="29"/>
      <c r="Q10" s="198"/>
      <c r="R10" s="198">
        <f>BDS_Qtr!K10</f>
        <v>-20597</v>
      </c>
      <c r="S10" s="198">
        <f>BDS_Qtr!P10</f>
        <v>-18368</v>
      </c>
      <c r="T10" s="198">
        <f>BDS_Qtr!U10</f>
        <v>-24735</v>
      </c>
      <c r="U10" s="207">
        <f>BDS_Qtr!Z10</f>
        <v>-23619</v>
      </c>
      <c r="V10" s="198">
        <f>BDS_Qtr!AE10</f>
        <v>-24718</v>
      </c>
      <c r="W10" s="198">
        <f>BDS_Qtr!AJ10</f>
        <v>-24996</v>
      </c>
      <c r="X10" s="198">
        <f>BDS_Qtr!AO10</f>
        <v>-26706</v>
      </c>
      <c r="Y10" s="198">
        <f>BDS_Qtr!AT10</f>
        <v>-26697</v>
      </c>
      <c r="Z10" s="198">
        <f>BDS_Qtr!AY10</f>
        <v>-29331</v>
      </c>
      <c r="AA10" s="198">
        <f>BDS_Qtr!BD10</f>
        <v>-27362</v>
      </c>
      <c r="AB10" s="198">
        <f>BDS_Qtr!BI10</f>
        <v>-27432.03480349333</v>
      </c>
      <c r="AC10" s="29">
        <f>+-AC3+AC13</f>
        <v>-27706.159255273571</v>
      </c>
      <c r="AD10" s="29">
        <f>+-AD3+AD13</f>
        <v>-28147.382599914992</v>
      </c>
      <c r="AE10" s="29">
        <f>+-AE3+AE13</f>
        <v>-29044.155720000032</v>
      </c>
      <c r="AF10" s="29">
        <f>+-AF3+AF13</f>
        <v>-29233.200117168617</v>
      </c>
    </row>
    <row r="11" spans="1:32">
      <c r="A11" s="1" t="str">
        <f>BDS_Qtr!A11</f>
        <v>YoY</v>
      </c>
      <c r="B11" s="197"/>
      <c r="C11" s="197"/>
      <c r="D11" s="197"/>
      <c r="E11" s="197"/>
      <c r="F11" s="197"/>
      <c r="G11" s="86"/>
      <c r="H11" s="197"/>
      <c r="I11" s="197"/>
      <c r="J11" s="197"/>
      <c r="K11" s="197"/>
      <c r="L11" s="197"/>
      <c r="M11" s="197"/>
      <c r="N11" s="204"/>
      <c r="O11" s="204"/>
      <c r="P11" s="204"/>
      <c r="Q11" s="197"/>
      <c r="R11" s="197"/>
      <c r="S11" s="197">
        <f>BDS_Qtr!P11</f>
        <v>-0.10821964363742298</v>
      </c>
      <c r="T11" s="197">
        <f>BDS_Qtr!U11</f>
        <v>0.34663545296167242</v>
      </c>
      <c r="U11" s="206">
        <f>BDS_Qtr!Z11</f>
        <v>-4.5118253486961746E-2</v>
      </c>
      <c r="V11" s="197">
        <f>BDS_Qtr!AE11</f>
        <v>4.6530335746644669E-2</v>
      </c>
      <c r="W11" s="197">
        <f>BDS_Qtr!AJ11</f>
        <v>1.1246864633061016E-2</v>
      </c>
      <c r="X11" s="454">
        <f>BDS_Qtr!AO11</f>
        <v>6.8410945751320229E-2</v>
      </c>
      <c r="Y11" s="454">
        <f>BDS_Qtr!AT11</f>
        <v>-3.3700292069194226E-4</v>
      </c>
      <c r="Z11" s="454">
        <f>BDS_Qtr!AY11</f>
        <v>9.8662771097876245E-2</v>
      </c>
      <c r="AA11" s="454">
        <f>BDS_Qtr!BD11</f>
        <v>-6.7130339913402226E-2</v>
      </c>
      <c r="AB11" s="454">
        <f>BDS_Qtr!BI11</f>
        <v>2.5595644870013423E-3</v>
      </c>
      <c r="AC11" s="202">
        <f>AC10/AB10-1</f>
        <v>9.9928588507525173E-3</v>
      </c>
      <c r="AD11" s="202">
        <f>AD10/AC10-1</f>
        <v>1.592509956274224E-2</v>
      </c>
      <c r="AE11" s="202">
        <f>AE10/AD10-1</f>
        <v>3.1859911553117071E-2</v>
      </c>
      <c r="AF11" s="202">
        <f>AF10/AE10-1</f>
        <v>6.5088618512814111E-3</v>
      </c>
    </row>
    <row r="12" spans="1:32">
      <c r="B12" s="100"/>
      <c r="C12" s="100"/>
      <c r="D12" s="100"/>
      <c r="E12" s="100"/>
      <c r="F12" s="100"/>
      <c r="G12" s="87"/>
      <c r="H12" s="100"/>
      <c r="I12" s="100"/>
      <c r="J12" s="100"/>
      <c r="K12" s="100"/>
      <c r="L12" s="100"/>
      <c r="M12" s="100"/>
      <c r="N12" s="100"/>
      <c r="O12" s="100"/>
      <c r="P12" s="100"/>
      <c r="Q12" s="38"/>
      <c r="R12" s="38"/>
      <c r="S12" s="38"/>
      <c r="T12" s="38"/>
      <c r="U12" s="177"/>
      <c r="V12" s="38"/>
      <c r="W12" s="38"/>
      <c r="X12" s="201"/>
      <c r="Y12" s="201"/>
      <c r="Z12" s="201"/>
      <c r="AA12" s="201"/>
      <c r="AB12" s="201"/>
      <c r="AC12" s="201"/>
      <c r="AD12" s="201"/>
      <c r="AE12" s="201"/>
      <c r="AF12" s="201"/>
    </row>
    <row r="13" spans="1:32">
      <c r="A13" s="9" t="str">
        <f>BDS_Qtr!A13</f>
        <v>Operating Profit</v>
      </c>
      <c r="B13" s="31"/>
      <c r="C13" s="31"/>
      <c r="D13" s="31"/>
      <c r="E13" s="31"/>
      <c r="F13" s="31"/>
      <c r="G13" s="31"/>
      <c r="H13" s="31"/>
      <c r="I13" s="31"/>
      <c r="J13" s="31"/>
      <c r="K13" s="31"/>
      <c r="L13" s="31"/>
      <c r="M13" s="31"/>
      <c r="N13" s="31"/>
      <c r="O13" s="31"/>
      <c r="P13" s="31"/>
      <c r="Q13" s="25"/>
      <c r="R13" s="25">
        <f t="shared" ref="R13:W13" si="0">R3+R10</f>
        <v>1966</v>
      </c>
      <c r="S13" s="25">
        <f t="shared" si="0"/>
        <v>2193</v>
      </c>
      <c r="T13" s="25">
        <f t="shared" si="0"/>
        <v>1657</v>
      </c>
      <c r="U13" s="25">
        <f t="shared" si="0"/>
        <v>2608</v>
      </c>
      <c r="V13" s="25">
        <f t="shared" si="0"/>
        <v>1539</v>
      </c>
      <c r="W13" s="25">
        <f t="shared" si="0"/>
        <v>1544</v>
      </c>
      <c r="X13" s="25">
        <f t="shared" ref="X13:AC13" si="1">X19-X17</f>
        <v>-3544</v>
      </c>
      <c r="Y13" s="25">
        <f t="shared" si="1"/>
        <v>-1764</v>
      </c>
      <c r="Z13" s="25">
        <f t="shared" ref="Z13:AA13" si="2">Z19-Z17</f>
        <v>-5413</v>
      </c>
      <c r="AA13" s="25">
        <f t="shared" si="2"/>
        <v>-128</v>
      </c>
      <c r="AB13" s="25">
        <f t="shared" ref="AB13" si="3">AB19-AB17</f>
        <v>796.81656449824652</v>
      </c>
      <c r="AC13" s="25">
        <f t="shared" si="1"/>
        <v>1490.5285709291459</v>
      </c>
      <c r="AD13" s="25">
        <f t="shared" ref="AD13:AE13" si="4">AD19-AD17</f>
        <v>1971.7166362372225</v>
      </c>
      <c r="AE13" s="25">
        <f t="shared" si="4"/>
        <v>2043.4289938432566</v>
      </c>
      <c r="AF13" s="25">
        <f t="shared" ref="AF13" si="5">AF19-AF17</f>
        <v>2058.5265911484571</v>
      </c>
    </row>
    <row r="14" spans="1:32">
      <c r="A14" s="1" t="str">
        <f>BDS_Qtr!A14</f>
        <v>YoY</v>
      </c>
      <c r="B14" s="36"/>
      <c r="C14" s="36"/>
      <c r="D14" s="36"/>
      <c r="E14" s="36"/>
      <c r="F14" s="36"/>
      <c r="G14" s="36"/>
      <c r="H14" s="36"/>
      <c r="I14" s="36"/>
      <c r="J14" s="36"/>
      <c r="K14" s="36"/>
      <c r="L14" s="36"/>
      <c r="M14" s="36"/>
      <c r="N14" s="36"/>
      <c r="O14" s="36"/>
      <c r="P14" s="36"/>
      <c r="Q14" s="197"/>
      <c r="R14" s="197"/>
      <c r="S14" s="197">
        <f>BDS_Qtr!P14</f>
        <v>0.11546286876907419</v>
      </c>
      <c r="T14" s="197">
        <f>BDS_Qtr!U14</f>
        <v>-0.2444140446876425</v>
      </c>
      <c r="U14" s="206">
        <f>BDS_Qtr!Z14</f>
        <v>0.57392878696439342</v>
      </c>
      <c r="V14" s="197">
        <f>BDS_Qtr!AE14</f>
        <v>-0.40989263803680986</v>
      </c>
      <c r="W14" s="197">
        <f>BDS_Qtr!AJ14</f>
        <v>3.2488628979856493E-3</v>
      </c>
      <c r="X14" s="182">
        <f>BDS_Qtr!AO14</f>
        <v>-3.295336787564767</v>
      </c>
      <c r="Y14" s="182">
        <f>BDS_Qtr!AT14</f>
        <v>-0.50225733634311509</v>
      </c>
      <c r="Z14" s="182">
        <f>BDS_Qtr!AY14</f>
        <v>2.06859410430839</v>
      </c>
      <c r="AA14" s="182">
        <f>BDS_Qtr!BD14</f>
        <v>-0.97635322372067246</v>
      </c>
      <c r="AB14" s="182">
        <f>BDS_Qtr!BI14</f>
        <v>-7.2251294101425509</v>
      </c>
      <c r="AC14" s="36">
        <f>AC13/AB13-1</f>
        <v>0.8706043992292356</v>
      </c>
      <c r="AD14" s="36">
        <f>AD13/AC13-1</f>
        <v>0.32283048758207977</v>
      </c>
      <c r="AE14" s="36">
        <f>AE13/AD13-1</f>
        <v>3.637051911419098E-2</v>
      </c>
      <c r="AF14" s="36">
        <f>AF13/AE13-1</f>
        <v>7.3883640443042076E-3</v>
      </c>
    </row>
    <row r="15" spans="1:32">
      <c r="A15" s="1" t="str">
        <f>BDS_Qtr!A15</f>
        <v>% Margin</v>
      </c>
      <c r="B15" s="36"/>
      <c r="C15" s="36"/>
      <c r="D15" s="36"/>
      <c r="E15" s="36"/>
      <c r="F15" s="36"/>
      <c r="G15" s="36"/>
      <c r="H15" s="36"/>
      <c r="I15" s="36"/>
      <c r="J15" s="36"/>
      <c r="K15" s="36"/>
      <c r="L15" s="36"/>
      <c r="M15" s="36"/>
      <c r="N15" s="36"/>
      <c r="O15" s="36"/>
      <c r="P15" s="36"/>
      <c r="Q15" s="197"/>
      <c r="R15" s="197">
        <f>BDS_Qtr!K15</f>
        <v>8.7133803129016529E-2</v>
      </c>
      <c r="S15" s="197">
        <f>BDS_Qtr!P15</f>
        <v>0.10665823646709791</v>
      </c>
      <c r="T15" s="197">
        <f>BDS_Qtr!U15</f>
        <v>6.278417702334041E-2</v>
      </c>
      <c r="U15" s="206">
        <f>BDS_Qtr!Z15</f>
        <v>9.9439508903038848E-2</v>
      </c>
      <c r="V15" s="197">
        <f>BDS_Qtr!AE15</f>
        <v>5.8612941310888525E-2</v>
      </c>
      <c r="W15" s="197">
        <f>BDS_Qtr!AJ15</f>
        <v>5.8176337603617179E-2</v>
      </c>
      <c r="X15" s="182">
        <f>BDS_Qtr!AO15</f>
        <v>-0.15300923927122009</v>
      </c>
      <c r="Y15" s="182">
        <f>BDS_Qtr!AT15</f>
        <v>-7.0749608951991338E-2</v>
      </c>
      <c r="Z15" s="182">
        <f>BDS_Qtr!AY15</f>
        <v>-0.22631490927335063</v>
      </c>
      <c r="AA15" s="182">
        <f>BDS_Qtr!BD15</f>
        <v>-4.700007343761475E-3</v>
      </c>
      <c r="AB15" s="182">
        <f>BDS_Qtr!BI15</f>
        <v>2.8227027522690816E-2</v>
      </c>
      <c r="AC15" s="36">
        <f>AC13/AC3</f>
        <v>5.1051289783338484E-2</v>
      </c>
      <c r="AD15" s="36">
        <f>AD13/AD3</f>
        <v>6.5463997471430155E-2</v>
      </c>
      <c r="AE15" s="36">
        <f>AE13/AE3</f>
        <v>6.5731352649384775E-2</v>
      </c>
      <c r="AF15" s="36">
        <f>AF13/AF3</f>
        <v>6.5785011173618568E-2</v>
      </c>
    </row>
    <row r="16" spans="1:32">
      <c r="A16" s="1"/>
      <c r="B16" s="204"/>
      <c r="C16" s="204"/>
      <c r="D16" s="204"/>
      <c r="E16" s="204"/>
      <c r="F16" s="204"/>
      <c r="G16" s="204"/>
      <c r="H16" s="204"/>
      <c r="I16" s="204"/>
      <c r="J16" s="204"/>
      <c r="K16" s="204"/>
      <c r="L16" s="204"/>
      <c r="M16" s="204"/>
      <c r="N16" s="204"/>
      <c r="O16" s="204"/>
      <c r="P16" s="204"/>
      <c r="Q16" s="197"/>
      <c r="R16" s="197"/>
      <c r="S16" s="197"/>
      <c r="T16" s="197"/>
      <c r="U16" s="197"/>
      <c r="V16" s="197"/>
      <c r="W16" s="197"/>
      <c r="X16" s="454"/>
      <c r="Y16" s="454"/>
      <c r="Z16" s="454"/>
      <c r="AA16" s="454"/>
      <c r="AB16" s="454"/>
      <c r="AC16" s="202"/>
      <c r="AD16" s="202"/>
      <c r="AE16" s="202"/>
      <c r="AF16" s="202"/>
    </row>
    <row r="17" spans="1:32">
      <c r="A17" s="7" t="str">
        <f>BDS_Qtr!A17</f>
        <v>Non-Recurring and Unusual Charges</v>
      </c>
      <c r="B17" s="21"/>
      <c r="C17" s="21"/>
      <c r="D17" s="21"/>
      <c r="E17" s="21"/>
      <c r="F17" s="21"/>
      <c r="G17" s="21"/>
      <c r="H17" s="21"/>
      <c r="I17" s="21"/>
      <c r="J17" s="21"/>
      <c r="K17" s="21"/>
      <c r="L17" s="21"/>
      <c r="M17" s="21"/>
      <c r="N17" s="21"/>
      <c r="O17" s="21"/>
      <c r="P17" s="21"/>
      <c r="Q17" s="196"/>
      <c r="R17" s="196">
        <f>BDS_Qtr!K17</f>
        <v>0</v>
      </c>
      <c r="S17" s="196">
        <f>BDS_Qtr!P17</f>
        <v>0</v>
      </c>
      <c r="T17" s="196">
        <f>BDS_Qtr!U17</f>
        <v>0</v>
      </c>
      <c r="U17" s="205">
        <f>BDS_Qtr!Z17</f>
        <v>0</v>
      </c>
      <c r="V17" s="196">
        <f>BDS_Qtr!AE17</f>
        <v>0</v>
      </c>
      <c r="W17" s="196">
        <f>BDS_Qtr!AJ17</f>
        <v>0</v>
      </c>
      <c r="X17" s="382">
        <f>BDS_Qtr!AO17</f>
        <v>0</v>
      </c>
      <c r="Y17" s="382">
        <f>BDS_Qtr!AT17</f>
        <v>0</v>
      </c>
      <c r="Z17" s="382">
        <f>BDS_Qtr!AY17</f>
        <v>0</v>
      </c>
      <c r="AA17" s="382">
        <f>BDS_Qtr!BD17</f>
        <v>0</v>
      </c>
      <c r="AB17" s="382">
        <f>BDS_Qtr!BI17</f>
        <v>0</v>
      </c>
      <c r="AC17" s="270">
        <v>0</v>
      </c>
      <c r="AD17" s="270">
        <v>0</v>
      </c>
      <c r="AE17" s="270">
        <v>0</v>
      </c>
      <c r="AF17" s="270">
        <v>0</v>
      </c>
    </row>
    <row r="18" spans="1:32">
      <c r="A18" s="1"/>
      <c r="B18" s="38"/>
      <c r="C18" s="38"/>
      <c r="D18" s="38"/>
      <c r="E18" s="38"/>
      <c r="F18" s="38"/>
      <c r="G18" s="38"/>
      <c r="H18" s="38"/>
      <c r="I18" s="38"/>
      <c r="J18" s="38"/>
      <c r="K18" s="38"/>
      <c r="L18" s="38"/>
      <c r="M18" s="38"/>
      <c r="N18" s="38"/>
      <c r="O18" s="38"/>
      <c r="P18" s="38"/>
      <c r="Q18" s="38"/>
      <c r="R18" s="38"/>
      <c r="S18" s="38"/>
      <c r="T18" s="38"/>
      <c r="U18" s="38"/>
      <c r="V18" s="38"/>
      <c r="W18" s="38"/>
      <c r="X18" s="201"/>
      <c r="Y18" s="201"/>
      <c r="Z18" s="201"/>
      <c r="AA18" s="201"/>
      <c r="AB18" s="201"/>
      <c r="AC18" s="201"/>
      <c r="AD18" s="201"/>
      <c r="AE18" s="201"/>
      <c r="AF18" s="201"/>
    </row>
    <row r="19" spans="1:32" ht="15" customHeight="1">
      <c r="A19" s="9" t="str">
        <f>BDS_Qtr!A19</f>
        <v>Adjusted Operating Profit</v>
      </c>
      <c r="B19" s="31"/>
      <c r="C19" s="31"/>
      <c r="D19" s="31"/>
      <c r="E19" s="31"/>
      <c r="F19" s="31"/>
      <c r="G19" s="30"/>
      <c r="H19" s="31"/>
      <c r="I19" s="31"/>
      <c r="J19" s="31"/>
      <c r="K19" s="31"/>
      <c r="L19" s="31"/>
      <c r="M19" s="25"/>
      <c r="N19" s="25"/>
      <c r="O19" s="25"/>
      <c r="P19" s="25"/>
      <c r="Q19" s="199"/>
      <c r="R19" s="199">
        <f t="shared" ref="R19:W19" si="6">R13+R17</f>
        <v>1966</v>
      </c>
      <c r="S19" s="199">
        <f t="shared" si="6"/>
        <v>2193</v>
      </c>
      <c r="T19" s="199">
        <f t="shared" si="6"/>
        <v>1657</v>
      </c>
      <c r="U19" s="208">
        <f t="shared" si="6"/>
        <v>2608</v>
      </c>
      <c r="V19" s="199">
        <f t="shared" si="6"/>
        <v>1539</v>
      </c>
      <c r="W19" s="199">
        <f t="shared" si="6"/>
        <v>1544</v>
      </c>
      <c r="X19" s="178">
        <f>BDS_Qtr!AO19</f>
        <v>-3544</v>
      </c>
      <c r="Y19" s="178">
        <f>BDS_Qtr!AT19</f>
        <v>-1764</v>
      </c>
      <c r="Z19" s="178">
        <f>BDS_Qtr!AY19</f>
        <v>-5413</v>
      </c>
      <c r="AA19" s="178">
        <f>BDS_Qtr!BD19</f>
        <v>-128</v>
      </c>
      <c r="AB19" s="178">
        <f>BDS_Qtr!BI19</f>
        <v>796.81656449824652</v>
      </c>
      <c r="AC19" s="271">
        <f>BDS_Driver_Annual!AC67</f>
        <v>1490.5285709291459</v>
      </c>
      <c r="AD19" s="178">
        <f>BDS_Driver_Annual!AD67</f>
        <v>1971.7166362372225</v>
      </c>
      <c r="AE19" s="178">
        <f>BDS_Driver_Annual!AE67</f>
        <v>2043.4289938432566</v>
      </c>
      <c r="AF19" s="178">
        <f>BDS_Driver_Annual!AF67</f>
        <v>2058.5265911484571</v>
      </c>
    </row>
    <row r="20" spans="1:32">
      <c r="A20" s="1" t="str">
        <f>BDS_Qtr!A20</f>
        <v>YoY</v>
      </c>
      <c r="B20" s="197"/>
      <c r="C20" s="197"/>
      <c r="D20" s="197"/>
      <c r="E20" s="197"/>
      <c r="F20" s="197"/>
      <c r="G20" s="86"/>
      <c r="H20" s="197"/>
      <c r="I20" s="197"/>
      <c r="J20" s="197"/>
      <c r="K20" s="197"/>
      <c r="L20" s="197"/>
      <c r="M20" s="197"/>
      <c r="N20" s="204"/>
      <c r="O20" s="204"/>
      <c r="P20" s="204"/>
      <c r="Q20" s="197"/>
      <c r="R20" s="197"/>
      <c r="S20" s="197">
        <f>BDS_Qtr!P20</f>
        <v>0.11546286876907419</v>
      </c>
      <c r="T20" s="197">
        <f>BDS_Qtr!U20</f>
        <v>-0.2444140446876425</v>
      </c>
      <c r="U20" s="206">
        <f>BDS_Qtr!Z20</f>
        <v>0.57392878696439342</v>
      </c>
      <c r="V20" s="197">
        <f>BDS_Qtr!AE20</f>
        <v>-0.40989263803680986</v>
      </c>
      <c r="W20" s="197">
        <f>BDS_Qtr!AJ20</f>
        <v>3.2488628979856493E-3</v>
      </c>
      <c r="X20" s="202">
        <f t="shared" ref="X20:AF20" si="7">X19/W19-1</f>
        <v>-3.295336787564767</v>
      </c>
      <c r="Y20" s="202">
        <f t="shared" si="7"/>
        <v>-0.50225733634311509</v>
      </c>
      <c r="Z20" s="202">
        <f t="shared" si="7"/>
        <v>2.06859410430839</v>
      </c>
      <c r="AA20" s="202">
        <f t="shared" si="7"/>
        <v>-0.97635322372067246</v>
      </c>
      <c r="AB20" s="202">
        <f t="shared" si="7"/>
        <v>-7.2251294101425509</v>
      </c>
      <c r="AC20" s="202">
        <f t="shared" si="7"/>
        <v>0.8706043992292356</v>
      </c>
      <c r="AD20" s="202">
        <f t="shared" si="7"/>
        <v>0.32283048758207977</v>
      </c>
      <c r="AE20" s="202">
        <f t="shared" si="7"/>
        <v>3.637051911419098E-2</v>
      </c>
      <c r="AF20" s="202">
        <f t="shared" si="7"/>
        <v>7.3883640443042076E-3</v>
      </c>
    </row>
    <row r="21" spans="1:32">
      <c r="B21" s="100"/>
      <c r="C21" s="100"/>
      <c r="D21" s="100"/>
      <c r="E21" s="100"/>
      <c r="F21" s="100"/>
      <c r="G21" s="87"/>
      <c r="H21" s="100"/>
      <c r="I21" s="100"/>
      <c r="J21" s="100"/>
      <c r="K21" s="100"/>
      <c r="L21" s="100"/>
      <c r="M21" s="100"/>
      <c r="N21" s="100"/>
      <c r="O21" s="100"/>
      <c r="P21" s="100"/>
      <c r="Q21" s="38"/>
      <c r="R21" s="38"/>
      <c r="S21" s="38"/>
      <c r="T21" s="38"/>
      <c r="U21" s="177"/>
      <c r="V21" s="38"/>
      <c r="W21" s="38"/>
      <c r="X21" s="201"/>
      <c r="Y21" s="201"/>
      <c r="Z21" s="201"/>
      <c r="AA21" s="201"/>
      <c r="AB21" s="201"/>
      <c r="AC21" s="201"/>
      <c r="AD21" s="201"/>
      <c r="AE21" s="201"/>
      <c r="AF21" s="201"/>
    </row>
    <row r="22" spans="1:32">
      <c r="A22" s="9" t="str">
        <f>BDS_Qtr!A22</f>
        <v>Adjusted Operating Margin</v>
      </c>
      <c r="B22" s="119"/>
      <c r="C22" s="119"/>
      <c r="D22" s="119"/>
      <c r="E22" s="119"/>
      <c r="F22" s="119"/>
      <c r="G22" s="118"/>
      <c r="H22" s="119"/>
      <c r="I22" s="119"/>
      <c r="J22" s="119"/>
      <c r="K22" s="119"/>
      <c r="L22" s="119"/>
      <c r="M22" s="119"/>
      <c r="N22" s="119"/>
      <c r="O22" s="119"/>
      <c r="P22" s="119"/>
      <c r="Q22" s="119"/>
      <c r="R22" s="119">
        <f t="shared" ref="R22:X22" si="8">+R19/R3</f>
        <v>8.7133803129016529E-2</v>
      </c>
      <c r="S22" s="119">
        <f t="shared" si="8"/>
        <v>0.10665823646709791</v>
      </c>
      <c r="T22" s="119">
        <f t="shared" si="8"/>
        <v>6.278417702334041E-2</v>
      </c>
      <c r="U22" s="209">
        <f t="shared" si="8"/>
        <v>9.9439508903038848E-2</v>
      </c>
      <c r="V22" s="119">
        <f t="shared" si="8"/>
        <v>5.8612941310888525E-2</v>
      </c>
      <c r="W22" s="119">
        <f t="shared" si="8"/>
        <v>5.8176337603617179E-2</v>
      </c>
      <c r="X22" s="119">
        <f t="shared" si="8"/>
        <v>-0.15300923927122009</v>
      </c>
      <c r="Y22" s="119">
        <f t="shared" ref="Y22:Z22" si="9">+Y19/Y3</f>
        <v>-7.0749608951991338E-2</v>
      </c>
      <c r="Z22" s="119">
        <f t="shared" si="9"/>
        <v>-0.22631490927335063</v>
      </c>
      <c r="AA22" s="119">
        <f t="shared" ref="AA22:AB22" si="10">+AA19/AA3</f>
        <v>-4.700007343761475E-3</v>
      </c>
      <c r="AB22" s="119">
        <f t="shared" si="10"/>
        <v>2.8227027522690816E-2</v>
      </c>
      <c r="AC22" s="119">
        <f>+AC19/AC3</f>
        <v>5.1051289783338484E-2</v>
      </c>
      <c r="AD22" s="119">
        <f>+AD19/AD3</f>
        <v>6.5463997471430155E-2</v>
      </c>
      <c r="AE22" s="119">
        <f>+AE19/AE3</f>
        <v>6.5731352649384775E-2</v>
      </c>
      <c r="AF22" s="119">
        <f>+AF19/AF3</f>
        <v>6.5785011173618568E-2</v>
      </c>
    </row>
    <row r="23" spans="1:32">
      <c r="A23" s="1" t="str">
        <f>BDS_Qtr!A23</f>
        <v>YoY</v>
      </c>
      <c r="B23" s="197"/>
      <c r="C23" s="197"/>
      <c r="D23" s="197"/>
      <c r="E23" s="197"/>
      <c r="F23" s="197"/>
      <c r="G23" s="86"/>
      <c r="H23" s="197"/>
      <c r="I23" s="197"/>
      <c r="J23" s="197"/>
      <c r="K23" s="197"/>
      <c r="L23" s="197"/>
      <c r="M23" s="197"/>
      <c r="N23" s="204"/>
      <c r="O23" s="204"/>
      <c r="P23" s="204"/>
      <c r="Q23" s="197"/>
      <c r="R23" s="197"/>
      <c r="S23" s="197">
        <f>BDS_Qtr!P23</f>
        <v>0.2240741553444201</v>
      </c>
      <c r="T23" s="197">
        <f>BDS_Qtr!U23</f>
        <v>-0.41135181770319096</v>
      </c>
      <c r="U23" s="206">
        <f>BDS_Qtr!Z23</f>
        <v>0.58383072961315707</v>
      </c>
      <c r="V23" s="197">
        <f>BDS_Qtr!AE23</f>
        <v>-0.41056686665618347</v>
      </c>
      <c r="W23" s="197">
        <f>BDS_Qtr!AJ23</f>
        <v>-7.4489301766236249E-3</v>
      </c>
      <c r="X23" s="454">
        <f>BDS_Qtr!AO23</f>
        <v>-3.6300940480946773</v>
      </c>
      <c r="Y23" s="454">
        <f>BDS_Qtr!AT23</f>
        <v>-0.5376121776111672</v>
      </c>
      <c r="Z23" s="454">
        <f>BDS_Qtr!AY23</f>
        <v>2.1988149846442466</v>
      </c>
      <c r="AA23" s="454">
        <f>BDS_Qtr!BD23</f>
        <v>-0.97923244491999129</v>
      </c>
      <c r="AB23" s="454">
        <f>BDS_Qtr!BI23</f>
        <v>-7.0057411527575129</v>
      </c>
      <c r="AC23" s="202">
        <f>AC22/AB22-1</f>
        <v>0.80859602529171615</v>
      </c>
      <c r="AD23" s="202">
        <f>AD22/AC22-1</f>
        <v>0.28231818920264606</v>
      </c>
      <c r="AE23" s="202">
        <f>AE22/AD22-1</f>
        <v>4.0840032427182926E-3</v>
      </c>
      <c r="AF23" s="202">
        <f>AF22/AE22-1</f>
        <v>8.1633074736808808E-4</v>
      </c>
    </row>
    <row r="24" spans="1:32">
      <c r="A24" s="1"/>
      <c r="B24" s="21"/>
      <c r="C24" s="21"/>
      <c r="D24" s="21"/>
      <c r="E24" s="21"/>
      <c r="F24" s="21"/>
      <c r="G24" s="21"/>
      <c r="H24" s="21"/>
      <c r="I24" s="21"/>
      <c r="J24" s="21"/>
      <c r="K24" s="21"/>
      <c r="L24" s="21"/>
      <c r="M24" s="21"/>
      <c r="N24" s="21"/>
      <c r="O24" s="21"/>
      <c r="P24" s="21"/>
      <c r="Q24" s="196"/>
      <c r="R24" s="196"/>
      <c r="S24" s="196"/>
      <c r="T24" s="196"/>
      <c r="U24" s="205"/>
      <c r="V24" s="196"/>
      <c r="W24" s="196"/>
      <c r="X24" s="270"/>
      <c r="Y24" s="270"/>
      <c r="Z24" s="270"/>
      <c r="AA24" s="270"/>
      <c r="AB24" s="270"/>
      <c r="AC24" s="270"/>
      <c r="AD24" s="270"/>
      <c r="AE24" s="270"/>
      <c r="AF24" s="270"/>
    </row>
    <row r="25" spans="1:32">
      <c r="A25" s="9" t="s">
        <v>418</v>
      </c>
      <c r="B25" s="119"/>
      <c r="C25" s="119"/>
      <c r="D25" s="119"/>
      <c r="E25" s="119"/>
      <c r="F25" s="119"/>
      <c r="G25" s="118"/>
      <c r="H25" s="119"/>
      <c r="I25" s="119"/>
      <c r="J25" s="119"/>
      <c r="K25" s="119"/>
      <c r="L25" s="119"/>
      <c r="M25" s="119"/>
      <c r="N25" s="119"/>
      <c r="O25" s="119"/>
      <c r="P25" s="119"/>
      <c r="Q25" s="119"/>
      <c r="R25" s="119"/>
      <c r="S25" s="119"/>
      <c r="T25" s="119"/>
      <c r="U25" s="209"/>
      <c r="V25" s="119"/>
      <c r="W25" s="119"/>
      <c r="X25" s="203"/>
      <c r="Y25" s="203"/>
      <c r="Z25" s="203"/>
      <c r="AA25" s="203"/>
      <c r="AB25" s="203"/>
      <c r="AC25" s="203"/>
      <c r="AD25" s="203"/>
      <c r="AE25" s="203"/>
      <c r="AF25" s="203"/>
    </row>
    <row r="26" spans="1:32">
      <c r="A26" s="5" t="s">
        <v>342</v>
      </c>
      <c r="B26" s="21"/>
      <c r="C26" s="21"/>
      <c r="D26" s="21"/>
      <c r="E26" s="21"/>
      <c r="F26" s="21"/>
      <c r="G26" s="21"/>
      <c r="H26" s="21"/>
      <c r="I26" s="21"/>
      <c r="J26" s="21"/>
      <c r="K26" s="21"/>
      <c r="L26" s="21"/>
      <c r="M26" s="21"/>
      <c r="N26" s="21"/>
      <c r="O26" s="21"/>
      <c r="P26" s="21"/>
      <c r="Q26" s="196"/>
      <c r="R26" s="196"/>
      <c r="S26" s="196"/>
      <c r="T26" s="196"/>
      <c r="U26" s="205"/>
      <c r="V26" s="196"/>
      <c r="W26" s="196"/>
      <c r="X26" s="270"/>
      <c r="Y26" s="270"/>
      <c r="Z26" s="270"/>
      <c r="AA26" s="270"/>
      <c r="AB26" s="270"/>
      <c r="AC26" s="270"/>
      <c r="AD26" s="270"/>
      <c r="AE26" s="270"/>
      <c r="AF26" s="270"/>
    </row>
    <row r="27" spans="1:32">
      <c r="A27" s="1" t="s">
        <v>431</v>
      </c>
      <c r="B27" s="21"/>
      <c r="C27" s="21"/>
      <c r="D27" s="21"/>
      <c r="E27" s="21"/>
      <c r="F27" s="21"/>
      <c r="G27" s="21"/>
      <c r="H27" s="21"/>
      <c r="I27" s="21"/>
      <c r="J27" s="21"/>
      <c r="K27" s="21"/>
      <c r="L27" s="21"/>
      <c r="M27" s="21"/>
      <c r="N27" s="21"/>
      <c r="O27" s="21"/>
      <c r="P27" s="21"/>
      <c r="Q27" s="196"/>
      <c r="R27" s="196">
        <f>BDS_Qtr!K31</f>
        <v>0</v>
      </c>
      <c r="S27" s="196">
        <f>BDS_Qtr!P31</f>
        <v>-233</v>
      </c>
      <c r="T27" s="196">
        <f>BDS_Qtr!U31</f>
        <v>0</v>
      </c>
      <c r="U27" s="205">
        <f>BDS_Qtr!Z31</f>
        <v>0</v>
      </c>
      <c r="V27" s="196"/>
      <c r="W27" s="196"/>
      <c r="X27" s="270"/>
      <c r="Y27" s="270"/>
      <c r="Z27" s="270"/>
      <c r="AA27" s="270"/>
      <c r="AB27" s="270"/>
      <c r="AC27" s="270"/>
      <c r="AD27" s="270"/>
      <c r="AE27" s="270"/>
      <c r="AF27" s="270"/>
    </row>
    <row r="28" spans="1:32">
      <c r="A28" s="1" t="s">
        <v>409</v>
      </c>
      <c r="B28" s="21"/>
      <c r="C28" s="21"/>
      <c r="D28" s="21"/>
      <c r="E28" s="21"/>
      <c r="F28" s="21"/>
      <c r="G28" s="21"/>
      <c r="H28" s="21"/>
      <c r="I28" s="21"/>
      <c r="J28" s="21"/>
      <c r="K28" s="21"/>
      <c r="L28" s="21"/>
      <c r="M28" s="21"/>
      <c r="N28" s="21"/>
      <c r="O28" s="21"/>
      <c r="P28" s="21"/>
      <c r="Q28" s="196"/>
      <c r="R28" s="196">
        <f>BDS_Qtr!K32</f>
        <v>0</v>
      </c>
      <c r="S28" s="196">
        <f>BDS_Qtr!P32</f>
        <v>0</v>
      </c>
      <c r="T28" s="196">
        <f>BDS_Qtr!U32</f>
        <v>-691</v>
      </c>
      <c r="U28" s="205">
        <f>BDS_Qtr!Z32</f>
        <v>0</v>
      </c>
      <c r="V28" s="196"/>
      <c r="W28" s="196"/>
      <c r="X28" s="270"/>
      <c r="Y28" s="270"/>
      <c r="Z28" s="270"/>
      <c r="AA28" s="270"/>
      <c r="AB28" s="270"/>
      <c r="AC28" s="270"/>
      <c r="AD28" s="270"/>
      <c r="AE28" s="270"/>
      <c r="AF28" s="270"/>
    </row>
    <row r="29" spans="1:32">
      <c r="A29" s="1"/>
      <c r="B29" s="21"/>
      <c r="C29" s="21"/>
      <c r="D29" s="21"/>
      <c r="E29" s="21"/>
      <c r="F29" s="21"/>
      <c r="G29" s="21"/>
      <c r="H29" s="21"/>
      <c r="I29" s="21"/>
      <c r="J29" s="21"/>
      <c r="K29" s="21"/>
      <c r="L29" s="21"/>
      <c r="M29" s="21"/>
      <c r="N29" s="21"/>
      <c r="O29" s="21"/>
      <c r="P29" s="21"/>
      <c r="Q29" s="196"/>
      <c r="R29" s="196"/>
      <c r="S29" s="196"/>
      <c r="T29" s="196"/>
      <c r="U29" s="205"/>
      <c r="V29" s="196"/>
      <c r="W29" s="196"/>
      <c r="X29" s="270"/>
      <c r="Y29" s="270"/>
      <c r="Z29" s="270"/>
      <c r="AA29" s="270"/>
      <c r="AB29" s="270"/>
      <c r="AC29" s="270"/>
      <c r="AD29" s="270"/>
      <c r="AE29" s="270"/>
      <c r="AF29" s="270"/>
    </row>
    <row r="30" spans="1:32">
      <c r="A30" s="5" t="s">
        <v>432</v>
      </c>
      <c r="B30" s="21"/>
      <c r="C30" s="21"/>
      <c r="D30" s="21"/>
      <c r="E30" s="21"/>
      <c r="F30" s="21"/>
      <c r="G30" s="21"/>
      <c r="H30" s="21"/>
      <c r="I30" s="21"/>
      <c r="J30" s="21"/>
      <c r="K30" s="21"/>
      <c r="L30" s="21"/>
      <c r="M30" s="21"/>
      <c r="N30" s="21"/>
      <c r="O30" s="21"/>
      <c r="P30" s="21"/>
      <c r="Q30" s="196"/>
      <c r="R30" s="196"/>
      <c r="S30" s="196"/>
      <c r="T30" s="196"/>
      <c r="U30" s="205"/>
      <c r="V30" s="196"/>
      <c r="W30" s="196"/>
      <c r="X30" s="270"/>
      <c r="Y30" s="270"/>
      <c r="Z30" s="270"/>
      <c r="AA30" s="270"/>
      <c r="AB30" s="270"/>
      <c r="AC30" s="270"/>
      <c r="AD30" s="270"/>
      <c r="AE30" s="270"/>
      <c r="AF30" s="270"/>
    </row>
    <row r="31" spans="1:32">
      <c r="A31" s="1" t="s">
        <v>344</v>
      </c>
      <c r="B31" s="21"/>
      <c r="C31" s="21"/>
      <c r="D31" s="21"/>
      <c r="E31" s="21"/>
      <c r="F31" s="21"/>
      <c r="G31" s="21"/>
      <c r="H31" s="21"/>
      <c r="I31" s="21"/>
      <c r="J31" s="21"/>
      <c r="K31" s="21"/>
      <c r="L31" s="21"/>
      <c r="M31" s="21"/>
      <c r="N31" s="21"/>
      <c r="O31" s="21"/>
      <c r="P31" s="21"/>
      <c r="Q31" s="196"/>
      <c r="R31" s="196">
        <f>BDS_Qtr!K35</f>
        <v>-356</v>
      </c>
      <c r="S31" s="196">
        <f>BDS_Qtr!P35</f>
        <v>-95</v>
      </c>
      <c r="T31" s="196">
        <f>BDS_Qtr!U35</f>
        <v>-199</v>
      </c>
      <c r="U31" s="205">
        <f>BDS_Qtr!Z35</f>
        <v>-108</v>
      </c>
      <c r="V31" s="196">
        <f>BDS_Qtr!AE35</f>
        <v>-1045</v>
      </c>
      <c r="W31" s="196">
        <f>BDS_Qtr!AJ35</f>
        <v>-402</v>
      </c>
      <c r="X31" s="382">
        <f>BDS_Qtr!AO35</f>
        <v>-1374</v>
      </c>
      <c r="Y31" s="382">
        <f>BDS_Qtr!AT35</f>
        <v>-245</v>
      </c>
      <c r="Z31" s="382">
        <f>BDS_Qtr!AY35</f>
        <v>-928</v>
      </c>
      <c r="AA31" s="382">
        <f>BDS_Qtr!BD35</f>
        <v>0</v>
      </c>
      <c r="AB31" s="382">
        <f>BDS_Qtr!BI35</f>
        <v>0</v>
      </c>
      <c r="AC31" s="270"/>
      <c r="AD31" s="270"/>
      <c r="AE31" s="270"/>
      <c r="AF31" s="270"/>
    </row>
    <row r="32" spans="1:32" outlineLevel="1">
      <c r="A32" s="3" t="s">
        <v>433</v>
      </c>
      <c r="B32" s="21"/>
      <c r="C32" s="21"/>
      <c r="D32" s="21"/>
      <c r="E32" s="21"/>
      <c r="F32" s="21"/>
      <c r="G32" s="21"/>
      <c r="H32" s="21"/>
      <c r="I32" s="21"/>
      <c r="J32" s="21"/>
      <c r="K32" s="21"/>
      <c r="L32" s="21"/>
      <c r="M32" s="21"/>
      <c r="N32" s="21"/>
      <c r="O32" s="21"/>
      <c r="P32" s="21"/>
      <c r="Q32" s="196"/>
      <c r="R32" s="196">
        <f>BDS_Qtr!K36</f>
        <v>0</v>
      </c>
      <c r="S32" s="196">
        <f>BDS_Qtr!P36</f>
        <v>0</v>
      </c>
      <c r="T32" s="196">
        <f>BDS_Qtr!U36</f>
        <v>0</v>
      </c>
      <c r="U32" s="205">
        <f>BDS_Qtr!Z36</f>
        <v>0</v>
      </c>
      <c r="V32" s="196">
        <f>BDS_Qtr!AE36</f>
        <v>-276</v>
      </c>
      <c r="W32" s="196">
        <f>BDS_Qtr!AJ36</f>
        <v>0</v>
      </c>
      <c r="X32" s="382">
        <f>BDS_Qtr!AO36</f>
        <v>0</v>
      </c>
      <c r="Y32" s="382">
        <f>BDS_Qtr!AT36</f>
        <v>0</v>
      </c>
      <c r="Z32" s="382">
        <f>BDS_Qtr!AY36</f>
        <v>0</v>
      </c>
      <c r="AA32" s="382">
        <f>BDS_Qtr!BD36</f>
        <v>0</v>
      </c>
      <c r="AB32" s="382">
        <f>BDS_Qtr!BI36</f>
        <v>0</v>
      </c>
      <c r="AC32" s="270"/>
      <c r="AD32" s="270"/>
      <c r="AE32" s="270"/>
      <c r="AF32" s="270"/>
    </row>
    <row r="33" spans="1:32" outlineLevel="1">
      <c r="A33" s="3" t="s">
        <v>1</v>
      </c>
      <c r="B33" s="21"/>
      <c r="C33" s="21"/>
      <c r="D33" s="21"/>
      <c r="E33" s="21"/>
      <c r="F33" s="21"/>
      <c r="G33" s="21"/>
      <c r="H33" s="21"/>
      <c r="I33" s="21"/>
      <c r="J33" s="21"/>
      <c r="K33" s="21"/>
      <c r="L33" s="21"/>
      <c r="M33" s="21"/>
      <c r="N33" s="21"/>
      <c r="O33" s="21"/>
      <c r="P33" s="21"/>
      <c r="Q33" s="196"/>
      <c r="R33" s="196">
        <f>BDS_Qtr!K37</f>
        <v>0</v>
      </c>
      <c r="S33" s="196">
        <f>BDS_Qtr!P37</f>
        <v>0</v>
      </c>
      <c r="T33" s="196">
        <f>BDS_Qtr!U37</f>
        <v>0</v>
      </c>
      <c r="U33" s="205">
        <f>BDS_Qtr!Z37</f>
        <v>0</v>
      </c>
      <c r="V33" s="196">
        <f>BDS_Qtr!AE37</f>
        <v>-769</v>
      </c>
      <c r="W33" s="196">
        <f>BDS_Qtr!AJ37</f>
        <v>0</v>
      </c>
      <c r="X33" s="382">
        <f>BDS_Qtr!AO37</f>
        <v>-1353</v>
      </c>
      <c r="Y33" s="382">
        <f>BDS_Qtr!AT37</f>
        <v>-847</v>
      </c>
      <c r="Z33" s="382">
        <f>BDS_Qtr!AY37</f>
        <v>-3994</v>
      </c>
      <c r="AA33" s="382">
        <f>BDS_Qtr!BD37</f>
        <v>-600</v>
      </c>
      <c r="AB33" s="382">
        <f>BDS_Qtr!BI37</f>
        <v>0</v>
      </c>
      <c r="AC33" s="270">
        <v>-150</v>
      </c>
      <c r="AD33" s="270">
        <v>0</v>
      </c>
      <c r="AE33" s="270">
        <v>0</v>
      </c>
      <c r="AF33" s="270">
        <v>0</v>
      </c>
    </row>
    <row r="34" spans="1:32">
      <c r="A34" s="1" t="s">
        <v>434</v>
      </c>
      <c r="B34" s="21"/>
      <c r="C34" s="21"/>
      <c r="D34" s="21"/>
      <c r="E34" s="21"/>
      <c r="F34" s="21"/>
      <c r="G34" s="21"/>
      <c r="H34" s="21"/>
      <c r="I34" s="21"/>
      <c r="J34" s="21"/>
      <c r="K34" s="21"/>
      <c r="L34" s="21"/>
      <c r="M34" s="21"/>
      <c r="N34" s="21"/>
      <c r="O34" s="21"/>
      <c r="P34" s="21"/>
      <c r="Q34" s="196"/>
      <c r="R34" s="196">
        <f>BDS_Qtr!K38</f>
        <v>-162</v>
      </c>
      <c r="S34" s="196">
        <f>BDS_Qtr!P38</f>
        <v>0</v>
      </c>
      <c r="T34" s="196">
        <f>BDS_Qtr!U38</f>
        <v>0</v>
      </c>
      <c r="U34" s="205">
        <f>BDS_Qtr!Z38</f>
        <v>-410</v>
      </c>
      <c r="V34" s="196">
        <f>BDS_Qtr!AE38</f>
        <v>0</v>
      </c>
      <c r="W34" s="196">
        <f>BDS_Qtr!AJ38</f>
        <v>0</v>
      </c>
      <c r="X34" s="382">
        <f>BDS_Qtr!AO38</f>
        <v>-288</v>
      </c>
      <c r="Y34" s="382">
        <f>BDS_Qtr!AT38</f>
        <v>-257</v>
      </c>
      <c r="Z34" s="382">
        <f>BDS_Qtr!AY38</f>
        <v>0</v>
      </c>
      <c r="AA34" s="382">
        <f>BDS_Qtr!BD38</f>
        <v>0</v>
      </c>
      <c r="AB34" s="382">
        <f>BDS_Qtr!BI38</f>
        <v>0</v>
      </c>
      <c r="AC34" s="270"/>
      <c r="AD34" s="270"/>
      <c r="AE34" s="270"/>
      <c r="AF34" s="270"/>
    </row>
    <row r="35" spans="1:32">
      <c r="A35" s="1" t="s">
        <v>580</v>
      </c>
      <c r="V35" s="196">
        <f>BDS_Qtr!AE39</f>
        <v>-168</v>
      </c>
      <c r="W35" s="196">
        <f>BDS_Qtr!AJ39</f>
        <v>0</v>
      </c>
      <c r="X35" s="382">
        <f>BDS_Qtr!AO39</f>
        <v>-1452</v>
      </c>
      <c r="Y35" s="382">
        <f>BDS_Qtr!AT39</f>
        <v>-482</v>
      </c>
      <c r="Z35" s="382">
        <f>BDS_Qtr!AY39</f>
        <v>0</v>
      </c>
      <c r="AA35" s="382">
        <f>BDS_Qtr!BD39</f>
        <v>0</v>
      </c>
      <c r="AB35" s="382">
        <f>BDS_Qtr!BI39</f>
        <v>0</v>
      </c>
      <c r="AC35" s="270"/>
      <c r="AD35" s="270"/>
      <c r="AE35" s="270"/>
      <c r="AF35" s="270"/>
    </row>
    <row r="36" spans="1:32">
      <c r="A36" s="5" t="s">
        <v>601</v>
      </c>
      <c r="R36" s="39">
        <f t="shared" ref="R36:X36" si="11">SUM(R27:R35)</f>
        <v>-518</v>
      </c>
      <c r="S36" s="39">
        <f t="shared" si="11"/>
        <v>-328</v>
      </c>
      <c r="T36" s="39">
        <f t="shared" si="11"/>
        <v>-890</v>
      </c>
      <c r="U36" s="39">
        <f t="shared" si="11"/>
        <v>-518</v>
      </c>
      <c r="V36" s="39">
        <f t="shared" si="11"/>
        <v>-2258</v>
      </c>
      <c r="W36" s="39">
        <f t="shared" si="11"/>
        <v>-402</v>
      </c>
      <c r="X36" s="39">
        <f t="shared" si="11"/>
        <v>-4467</v>
      </c>
      <c r="Y36" s="323">
        <f>BDS_Qtr!AT40</f>
        <v>0</v>
      </c>
      <c r="Z36" s="323">
        <f>BDS_Qtr!AY40</f>
        <v>-4922</v>
      </c>
      <c r="AA36" s="323">
        <f>BDS_Qtr!BD40</f>
        <v>-600</v>
      </c>
      <c r="AB36" s="323">
        <f>BDS_Qtr!BI40</f>
        <v>0</v>
      </c>
      <c r="AC36" s="39">
        <f>SUM(AC27:AC35)</f>
        <v>-150</v>
      </c>
      <c r="AD36" s="39">
        <f>SUM(AD27:AD35)</f>
        <v>0</v>
      </c>
      <c r="AE36" s="39">
        <f>SUM(AE27:AE35)</f>
        <v>0</v>
      </c>
      <c r="AF36" s="39">
        <f>SUM(AF27:AF35)</f>
        <v>0</v>
      </c>
    </row>
    <row r="39" spans="1:32">
      <c r="Y39" t="s">
        <v>110</v>
      </c>
    </row>
    <row r="40" spans="1:32">
      <c r="Y40" s="297">
        <f>Y19+Cash_Flow_Annual!Y21</f>
        <v>-985</v>
      </c>
    </row>
  </sheetData>
  <pageMargins left="0.7" right="0.7" top="0.75" bottom="0.75" header="0.3" footer="0.3"/>
  <pageSetup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3"/>
  <dimension ref="A1:BK48"/>
  <sheetViews>
    <sheetView showGridLines="0" zoomScaleNormal="100" workbookViewId="0">
      <pane xSplit="1" ySplit="2" topLeftCell="AR3" activePane="bottomRight" state="frozen"/>
      <selection activeCell="K31" sqref="K31"/>
      <selection pane="topRight" activeCell="K31" sqref="K31"/>
      <selection pane="bottomLeft" activeCell="K31" sqref="K31"/>
      <selection pane="bottomRight" activeCell="BI22" sqref="BI22"/>
    </sheetView>
  </sheetViews>
  <sheetFormatPr defaultColWidth="9.1796875" defaultRowHeight="14.5" outlineLevelRow="1" outlineLevelCol="1"/>
  <cols>
    <col min="1" max="1" width="48" customWidth="1"/>
    <col min="2" max="5" width="12" style="26" hidden="1" customWidth="1" outlineLevel="1"/>
    <col min="6" max="6" width="12" style="26" customWidth="1" collapsed="1"/>
    <col min="7" max="10" width="12" style="26" hidden="1" customWidth="1" outlineLevel="1"/>
    <col min="11" max="11" width="12" style="26" customWidth="1" collapsed="1"/>
    <col min="12" max="15" width="12" style="26" hidden="1" customWidth="1" outlineLevel="1"/>
    <col min="16" max="16" width="12" style="26" customWidth="1" collapsed="1"/>
    <col min="17" max="20" width="12" style="26" hidden="1" customWidth="1" outlineLevel="1"/>
    <col min="21" max="21" width="12" style="26" customWidth="1" collapsed="1"/>
    <col min="22" max="25" width="12" style="26" hidden="1" customWidth="1" outlineLevel="1"/>
    <col min="26" max="26" width="12" style="26" customWidth="1" collapsed="1"/>
    <col min="27" max="30" width="12" style="26" customWidth="1" outlineLevel="1"/>
    <col min="31" max="31" width="12" style="26" customWidth="1"/>
    <col min="32" max="35" width="12" style="26" customWidth="1" outlineLevel="1"/>
    <col min="36" max="36" width="12" style="26" customWidth="1"/>
    <col min="37" max="40" width="12" style="26" customWidth="1" outlineLevel="1"/>
    <col min="41" max="41" width="12" style="26" customWidth="1"/>
    <col min="42" max="45" width="12" style="26" customWidth="1" outlineLevel="1"/>
    <col min="46" max="46" width="12" style="26" customWidth="1"/>
    <col min="47" max="50" width="12" style="26" customWidth="1" outlineLevel="1"/>
    <col min="51" max="51" width="12" style="26" customWidth="1"/>
    <col min="52" max="55" width="12" style="26" customWidth="1" outlineLevel="1"/>
    <col min="56" max="56" width="12" style="26" customWidth="1"/>
    <col min="57" max="60" width="12" style="26" customWidth="1" outlineLevel="1"/>
    <col min="61" max="61" width="12" style="26" customWidth="1"/>
    <col min="62" max="62" width="11.54296875" customWidth="1"/>
  </cols>
  <sheetData>
    <row r="1" spans="1:63">
      <c r="A1" s="15" t="s">
        <v>350</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row>
    <row r="2" spans="1:63">
      <c r="A2" s="7"/>
      <c r="B2" s="106" t="str">
        <f>Income_Statement_Qtr!B2</f>
        <v>1Q15A</v>
      </c>
      <c r="C2" s="106" t="str">
        <f>Income_Statement_Qtr!C2</f>
        <v>2Q15A</v>
      </c>
      <c r="D2" s="106" t="str">
        <f>Income_Statement_Qtr!D2</f>
        <v>3Q15A</v>
      </c>
      <c r="E2" s="106" t="str">
        <f>Income_Statement_Qtr!E2</f>
        <v>4Q15A</v>
      </c>
      <c r="F2" s="107" t="str">
        <f>Income_Statement_Qtr!F2</f>
        <v>CY2015A</v>
      </c>
      <c r="G2" s="106" t="str">
        <f>Income_Statement_Qtr!G2</f>
        <v>1Q16A</v>
      </c>
      <c r="H2" s="106" t="str">
        <f>Income_Statement_Qtr!H2</f>
        <v>2Q16A</v>
      </c>
      <c r="I2" s="106" t="str">
        <f>Income_Statement_Qtr!I2</f>
        <v>3Q16A</v>
      </c>
      <c r="J2" s="106" t="str">
        <f>Income_Statement_Qtr!J2</f>
        <v>4Q16A</v>
      </c>
      <c r="K2" s="107" t="str">
        <f>Income_Statement_Qtr!K2</f>
        <v>CY2016A</v>
      </c>
      <c r="L2" s="106" t="str">
        <f>Income_Statement_Qtr!L2</f>
        <v>1Q17A</v>
      </c>
      <c r="M2" s="106" t="str">
        <f>Income_Statement_Qtr!M2</f>
        <v>2Q17A</v>
      </c>
      <c r="N2" s="106" t="str">
        <f>Income_Statement_Qtr!N2</f>
        <v>3Q17A</v>
      </c>
      <c r="O2" s="106" t="str">
        <f>Income_Statement_Qtr!O2</f>
        <v>4Q17A</v>
      </c>
      <c r="P2" s="107" t="str">
        <f>Income_Statement_Qtr!P2</f>
        <v>CY2017A</v>
      </c>
      <c r="Q2" s="106" t="str">
        <f>Income_Statement_Qtr!Q2</f>
        <v>1Q18A</v>
      </c>
      <c r="R2" s="106" t="str">
        <f>Income_Statement_Qtr!R2</f>
        <v>2Q18A</v>
      </c>
      <c r="S2" s="106" t="str">
        <f>Income_Statement_Qtr!S2</f>
        <v>3Q18A</v>
      </c>
      <c r="T2" s="106" t="str">
        <f>Income_Statement_Qtr!T2</f>
        <v>4Q18A</v>
      </c>
      <c r="U2" s="107" t="str">
        <f>Income_Statement_Qtr!U2</f>
        <v>CY2018A</v>
      </c>
      <c r="V2" s="106" t="str">
        <f>Income_Statement_Qtr!V2</f>
        <v>1Q19A</v>
      </c>
      <c r="W2" s="106" t="str">
        <f>Income_Statement_Qtr!W2</f>
        <v>2Q19A</v>
      </c>
      <c r="X2" s="106" t="str">
        <f>Income_Statement_Qtr!X2</f>
        <v>3Q19A</v>
      </c>
      <c r="Y2" s="106" t="str">
        <f>Income_Statement_Qtr!Y2</f>
        <v>4Q19A</v>
      </c>
      <c r="Z2" s="107" t="str">
        <f>Income_Statement_Qtr!Z2</f>
        <v>CY2019A</v>
      </c>
      <c r="AA2" s="106" t="str">
        <f>Income_Statement_Qtr!AA2</f>
        <v>1Q20A</v>
      </c>
      <c r="AB2" s="106" t="str">
        <f>Income_Statement_Qtr!AB2</f>
        <v>2Q20A</v>
      </c>
      <c r="AC2" s="106" t="str">
        <f>Income_Statement_Qtr!AC2</f>
        <v>3Q20A</v>
      </c>
      <c r="AD2" s="106" t="str">
        <f>Income_Statement_Qtr!AD2</f>
        <v>4Q20A</v>
      </c>
      <c r="AE2" s="107" t="str">
        <f>Income_Statement_Qtr!AE2</f>
        <v>CY2020E</v>
      </c>
      <c r="AF2" s="106" t="str">
        <f>Income_Statement_Qtr!AF2</f>
        <v>1Q21A</v>
      </c>
      <c r="AG2" s="106" t="str">
        <f>Income_Statement_Qtr!AG2</f>
        <v>2Q21A</v>
      </c>
      <c r="AH2" s="106" t="str">
        <f>Income_Statement_Qtr!AH2</f>
        <v>3Q21A</v>
      </c>
      <c r="AI2" s="106" t="str">
        <f>Income_Statement_Qtr!AI2</f>
        <v>4Q21A</v>
      </c>
      <c r="AJ2" s="107" t="str">
        <f>Income_Statement_Qtr!AJ2</f>
        <v>CY2021A</v>
      </c>
      <c r="AK2" s="106" t="str">
        <f>Income_Statement_Qtr!AK2</f>
        <v>1Q22A</v>
      </c>
      <c r="AL2" s="106" t="str">
        <f>Income_Statement_Qtr!AL2</f>
        <v>2Q22A</v>
      </c>
      <c r="AM2" s="106" t="str">
        <f>Income_Statement_Qtr!AM2</f>
        <v>3Q22A</v>
      </c>
      <c r="AN2" s="106" t="str">
        <f>Income_Statement_Qtr!AN2</f>
        <v>4Q22A</v>
      </c>
      <c r="AO2" s="107" t="str">
        <f>Income_Statement_Qtr!AO2</f>
        <v>CY2022A</v>
      </c>
      <c r="AP2" s="106" t="str">
        <f>Income_Statement_Qtr!AP2</f>
        <v>1Q23A</v>
      </c>
      <c r="AQ2" s="106" t="str">
        <f>Income_Statement_Qtr!AQ2</f>
        <v>2Q23A</v>
      </c>
      <c r="AR2" s="106" t="str">
        <f>Income_Statement_Qtr!AR2</f>
        <v>3Q23A</v>
      </c>
      <c r="AS2" s="106" t="str">
        <f>Income_Statement_Qtr!AS2</f>
        <v>4Q23A</v>
      </c>
      <c r="AT2" s="107" t="str">
        <f>Income_Statement_Qtr!AT2</f>
        <v>CY2023A</v>
      </c>
      <c r="AU2" s="106" t="str">
        <f>Income_Statement_Qtr!AU2</f>
        <v>1Q24A</v>
      </c>
      <c r="AV2" s="106" t="str">
        <f>Income_Statement_Qtr!AV2</f>
        <v>2Q24A</v>
      </c>
      <c r="AW2" s="106" t="str">
        <f>Income_Statement_Qtr!AW2</f>
        <v>3Q24A</v>
      </c>
      <c r="AX2" s="106" t="str">
        <f>Income_Statement_Qtr!AX2</f>
        <v>4Q24A</v>
      </c>
      <c r="AY2" s="107" t="str">
        <f>Income_Statement_Qtr!AY2</f>
        <v>CY2024A</v>
      </c>
      <c r="AZ2" s="106" t="str">
        <f>Income_Statement_Qtr!AZ2</f>
        <v>1Q25A</v>
      </c>
      <c r="BA2" s="106" t="str">
        <f>Income_Statement_Qtr!BA2</f>
        <v>2Q25A</v>
      </c>
      <c r="BB2" s="106" t="str">
        <f>Income_Statement_Qtr!BB2</f>
        <v>3Q25A</v>
      </c>
      <c r="BC2" s="106" t="str">
        <f>Income_Statement_Qtr!BC2</f>
        <v>4Q25A</v>
      </c>
      <c r="BD2" s="107" t="str">
        <f>Income_Statement_Qtr!BD2</f>
        <v>CY2025A</v>
      </c>
      <c r="BE2" s="106" t="str">
        <f>Income_Statement_Qtr!BE2</f>
        <v>1Q26E</v>
      </c>
      <c r="BF2" s="106" t="str">
        <f>Income_Statement_Qtr!BF2</f>
        <v>2Q26E</v>
      </c>
      <c r="BG2" s="106" t="str">
        <f>Income_Statement_Qtr!BG2</f>
        <v>3Q26E</v>
      </c>
      <c r="BH2" s="106" t="str">
        <f>Income_Statement_Qtr!BH2</f>
        <v>4Q26E</v>
      </c>
      <c r="BI2" s="107" t="str">
        <f>Income_Statement_Qtr!BI2</f>
        <v>CY2026E</v>
      </c>
    </row>
    <row r="3" spans="1:63">
      <c r="A3" s="9" t="s">
        <v>0</v>
      </c>
      <c r="B3" s="30"/>
      <c r="C3" s="30"/>
      <c r="D3" s="71"/>
      <c r="E3" s="24"/>
      <c r="F3" s="178"/>
      <c r="G3" s="30">
        <v>6136</v>
      </c>
      <c r="H3" s="30">
        <v>5394</v>
      </c>
      <c r="I3" s="30">
        <v>5751</v>
      </c>
      <c r="J3" s="24">
        <f>+K3-SUM(G3,H3,I3)</f>
        <v>5282</v>
      </c>
      <c r="K3" s="31">
        <v>22563</v>
      </c>
      <c r="L3" s="30">
        <v>5112</v>
      </c>
      <c r="M3" s="30">
        <v>5142</v>
      </c>
      <c r="N3" s="30">
        <v>5050</v>
      </c>
      <c r="O3" s="24">
        <f>+P3-SUM(L3,M3,N3)</f>
        <v>5257</v>
      </c>
      <c r="P3" s="31">
        <v>20561</v>
      </c>
      <c r="Q3" s="30">
        <v>6481</v>
      </c>
      <c r="R3" s="30">
        <v>6100</v>
      </c>
      <c r="S3" s="30">
        <v>6937</v>
      </c>
      <c r="T3" s="24">
        <f>+U3-SUM(Q3,R3,S3)</f>
        <v>6874</v>
      </c>
      <c r="U3" s="31">
        <v>26392</v>
      </c>
      <c r="V3" s="30">
        <v>6587</v>
      </c>
      <c r="W3" s="30">
        <v>6612</v>
      </c>
      <c r="X3" s="30">
        <v>7042</v>
      </c>
      <c r="Y3" s="24">
        <f>+Z3-SUM(V3,W3,X3)</f>
        <v>5986</v>
      </c>
      <c r="Z3" s="31">
        <v>26227</v>
      </c>
      <c r="AA3" s="30">
        <v>6042</v>
      </c>
      <c r="AB3" s="30">
        <v>6588</v>
      </c>
      <c r="AC3" s="30">
        <v>6848</v>
      </c>
      <c r="AD3" s="24">
        <f>+AE3-SUM(AA3,AB3,AC3)</f>
        <v>6779</v>
      </c>
      <c r="AE3" s="31">
        <v>26257</v>
      </c>
      <c r="AF3" s="30">
        <v>7185</v>
      </c>
      <c r="AG3" s="30">
        <v>6876</v>
      </c>
      <c r="AH3" s="30">
        <v>6617</v>
      </c>
      <c r="AI3" s="24">
        <f>+AJ3-SUM(AF3,AG3,AH3)</f>
        <v>5862</v>
      </c>
      <c r="AJ3" s="31">
        <v>26540</v>
      </c>
      <c r="AK3" s="30">
        <v>5483</v>
      </c>
      <c r="AL3" s="30">
        <v>6191</v>
      </c>
      <c r="AM3" s="30">
        <v>5307</v>
      </c>
      <c r="AN3" s="24">
        <f>+AO3-SUM(AK3,AL3,AM3)</f>
        <v>6181</v>
      </c>
      <c r="AO3" s="31">
        <v>23162</v>
      </c>
      <c r="AP3" s="30">
        <v>6539</v>
      </c>
      <c r="AQ3" s="30">
        <v>6167</v>
      </c>
      <c r="AR3" s="30">
        <v>5481</v>
      </c>
      <c r="AS3" s="24">
        <f>+AT3-SUM(AP3,AQ3,AR3)</f>
        <v>6746</v>
      </c>
      <c r="AT3" s="31">
        <v>24933</v>
      </c>
      <c r="AU3" s="30">
        <v>6950</v>
      </c>
      <c r="AV3" s="30">
        <v>6021</v>
      </c>
      <c r="AW3" s="30">
        <v>5536</v>
      </c>
      <c r="AX3" s="24">
        <f>AY3-SUM(AU3:AW3)</f>
        <v>5411</v>
      </c>
      <c r="AY3" s="31">
        <v>23918</v>
      </c>
      <c r="AZ3" s="30">
        <v>6298</v>
      </c>
      <c r="BA3" s="30">
        <v>6617</v>
      </c>
      <c r="BB3" s="30">
        <v>6902</v>
      </c>
      <c r="BC3" s="24">
        <f>BD3-SUM(AZ3:BB3)</f>
        <v>7417</v>
      </c>
      <c r="BD3" s="31">
        <v>27234</v>
      </c>
      <c r="BE3" s="94">
        <f>$BI$3*BE26</f>
        <v>7057.2128419978944</v>
      </c>
      <c r="BF3" s="94">
        <f>$BI$3*BF26</f>
        <v>7057.2128419978944</v>
      </c>
      <c r="BG3" s="94">
        <f>$BI$3*BG26</f>
        <v>7057.2128419978944</v>
      </c>
      <c r="BH3" s="24">
        <f>BI3-SUM(BE3:BG3)</f>
        <v>7057.2128419978944</v>
      </c>
      <c r="BI3" s="178">
        <f>BDS_Driver_Annual!AB47</f>
        <v>28228.851367991578</v>
      </c>
    </row>
    <row r="4" spans="1:63">
      <c r="A4" s="1" t="s">
        <v>4</v>
      </c>
      <c r="B4" s="22"/>
      <c r="C4" s="22"/>
      <c r="D4" s="22"/>
      <c r="E4" s="22"/>
      <c r="F4" s="36"/>
      <c r="G4" s="34"/>
      <c r="H4" s="35"/>
      <c r="I4" s="35"/>
      <c r="J4" s="35"/>
      <c r="K4" s="36"/>
      <c r="L4" s="34">
        <f t="shared" ref="L4:Z4" si="0">L3/G3-1</f>
        <v>-0.16688396349413304</v>
      </c>
      <c r="M4" s="35">
        <f t="shared" si="0"/>
        <v>-4.6718576195773132E-2</v>
      </c>
      <c r="N4" s="35">
        <f t="shared" si="0"/>
        <v>-0.1218918448965397</v>
      </c>
      <c r="O4" s="35">
        <f t="shared" si="0"/>
        <v>-4.7330556607345642E-3</v>
      </c>
      <c r="P4" s="36">
        <f t="shared" si="0"/>
        <v>-8.8729335637991347E-2</v>
      </c>
      <c r="Q4" s="34">
        <f t="shared" si="0"/>
        <v>0.26780125195618143</v>
      </c>
      <c r="R4" s="35">
        <f t="shared" si="0"/>
        <v>0.18630882924931935</v>
      </c>
      <c r="S4" s="35">
        <f t="shared" si="0"/>
        <v>0.37366336633663377</v>
      </c>
      <c r="T4" s="35">
        <f t="shared" si="0"/>
        <v>0.30758988015978694</v>
      </c>
      <c r="U4" s="36">
        <f t="shared" si="0"/>
        <v>0.2835951558776324</v>
      </c>
      <c r="V4" s="34">
        <f t="shared" si="0"/>
        <v>1.6355500694337222E-2</v>
      </c>
      <c r="W4" s="35">
        <f t="shared" si="0"/>
        <v>8.3934426229508308E-2</v>
      </c>
      <c r="X4" s="35">
        <f t="shared" si="0"/>
        <v>1.5136226034308864E-2</v>
      </c>
      <c r="Y4" s="35">
        <f t="shared" si="0"/>
        <v>-0.12918242653476875</v>
      </c>
      <c r="Z4" s="36">
        <f t="shared" si="0"/>
        <v>-6.2518945134889536E-3</v>
      </c>
      <c r="AA4" s="34">
        <f t="shared" ref="AA4:AH4" si="1">AA3/V3-1</f>
        <v>-8.2738727797176281E-2</v>
      </c>
      <c r="AB4" s="34">
        <f t="shared" si="1"/>
        <v>-3.6297640653357721E-3</v>
      </c>
      <c r="AC4" s="34">
        <f t="shared" si="1"/>
        <v>-2.7548991763703512E-2</v>
      </c>
      <c r="AD4" s="35">
        <f>AD3/Y3-1</f>
        <v>0.13247577681256262</v>
      </c>
      <c r="AE4" s="36">
        <f>AE3/Z3-1</f>
        <v>1.1438593815533693E-3</v>
      </c>
      <c r="AF4" s="34">
        <f>AF3/AA3-1</f>
        <v>0.18917576961271099</v>
      </c>
      <c r="AG4" s="34">
        <f t="shared" si="1"/>
        <v>4.3715846994535568E-2</v>
      </c>
      <c r="AH4" s="34">
        <f t="shared" si="1"/>
        <v>-3.3732476635514042E-2</v>
      </c>
      <c r="AI4" s="35">
        <f t="shared" ref="AI4:AR4" si="2">AI3/AD3-1</f>
        <v>-0.13527068889216698</v>
      </c>
      <c r="AJ4" s="36">
        <f t="shared" si="2"/>
        <v>1.0778078226758581E-2</v>
      </c>
      <c r="AK4" s="34">
        <f t="shared" si="2"/>
        <v>-0.23688239387613086</v>
      </c>
      <c r="AL4" s="34">
        <f t="shared" si="2"/>
        <v>-9.9621873182082599E-2</v>
      </c>
      <c r="AM4" s="34">
        <f t="shared" si="2"/>
        <v>-0.1979749131026145</v>
      </c>
      <c r="AN4" s="35">
        <f t="shared" ref="AN4" si="3">AN3/AI3-1</f>
        <v>5.4418287273968025E-2</v>
      </c>
      <c r="AO4" s="36">
        <f t="shared" ref="AO4" si="4">AO3/AJ3-1</f>
        <v>-0.12727957799547851</v>
      </c>
      <c r="AP4" s="34">
        <f t="shared" si="2"/>
        <v>0.19259529454678104</v>
      </c>
      <c r="AQ4" s="34">
        <f t="shared" si="2"/>
        <v>-3.8765950573412811E-3</v>
      </c>
      <c r="AR4" s="34">
        <f t="shared" si="2"/>
        <v>3.2786885245901676E-2</v>
      </c>
      <c r="AS4" s="35">
        <f t="shared" ref="AS4" si="5">AS3/AN3-1</f>
        <v>9.1409157094321403E-2</v>
      </c>
      <c r="AT4" s="36">
        <f t="shared" ref="AT4:BB4" si="6">AT3/AO3-1</f>
        <v>7.6461445471030176E-2</v>
      </c>
      <c r="AU4" s="34">
        <f t="shared" si="6"/>
        <v>6.285364734668919E-2</v>
      </c>
      <c r="AV4" s="34">
        <f t="shared" si="6"/>
        <v>-2.3674395978595775E-2</v>
      </c>
      <c r="AW4" s="34">
        <f t="shared" si="6"/>
        <v>1.0034665207079074E-2</v>
      </c>
      <c r="AX4" s="35">
        <f t="shared" ref="AX4" si="7">AX3/AS3-1</f>
        <v>-0.19789504891787724</v>
      </c>
      <c r="AY4" s="36">
        <f t="shared" si="6"/>
        <v>-4.070910038904263E-2</v>
      </c>
      <c r="AZ4" s="34">
        <f t="shared" si="6"/>
        <v>-9.3812949640287746E-2</v>
      </c>
      <c r="BA4" s="34">
        <f t="shared" si="6"/>
        <v>9.8986879255937632E-2</v>
      </c>
      <c r="BB4" s="34">
        <f t="shared" si="6"/>
        <v>0.24674855491329484</v>
      </c>
      <c r="BC4" s="35">
        <f t="shared" ref="BC4" si="8">BC3/AX3-1</f>
        <v>0.3707262982812789</v>
      </c>
      <c r="BD4" s="36">
        <f t="shared" ref="BD4" si="9">BD3/AY3-1</f>
        <v>0.13864035454469437</v>
      </c>
      <c r="BE4" s="34">
        <f t="shared" ref="BE4:BG4" si="10">BE3/AZ3-1</f>
        <v>0.12054824420417498</v>
      </c>
      <c r="BF4" s="34">
        <f t="shared" si="10"/>
        <v>6.6527556596326809E-2</v>
      </c>
      <c r="BG4" s="34">
        <f t="shared" si="10"/>
        <v>2.2488096493464838E-2</v>
      </c>
      <c r="BH4" s="35">
        <f t="shared" ref="BH4" si="11">BH3/BC3-1</f>
        <v>-4.8508447890266315E-2</v>
      </c>
      <c r="BI4" s="36">
        <f t="shared" ref="BI4" si="12">BI3/BD3-1</f>
        <v>3.6529755746184112E-2</v>
      </c>
      <c r="BJ4" s="414"/>
      <c r="BK4" s="227"/>
    </row>
    <row r="5" spans="1:63">
      <c r="A5" s="1"/>
      <c r="B5" s="22"/>
      <c r="C5" s="22"/>
      <c r="D5" s="22"/>
      <c r="E5" s="22"/>
      <c r="F5" s="23"/>
      <c r="G5" s="22"/>
      <c r="H5" s="22"/>
      <c r="I5" s="22"/>
      <c r="J5" s="22"/>
      <c r="K5" s="23"/>
      <c r="L5" s="22"/>
      <c r="M5" s="22"/>
      <c r="N5" s="22"/>
      <c r="O5" s="22"/>
      <c r="P5" s="23"/>
      <c r="Q5" s="22"/>
      <c r="R5" s="22"/>
      <c r="S5" s="22"/>
      <c r="T5" s="22"/>
      <c r="U5" s="23"/>
      <c r="V5" s="22"/>
      <c r="W5" s="22"/>
      <c r="X5" s="22"/>
      <c r="Y5" s="22"/>
      <c r="Z5" s="23"/>
      <c r="AA5" s="22"/>
      <c r="AB5" s="22"/>
      <c r="AC5" s="22"/>
      <c r="AD5" s="22"/>
      <c r="AE5" s="23"/>
      <c r="AF5" s="22"/>
      <c r="AG5" s="22"/>
      <c r="AH5" s="22"/>
      <c r="AI5" s="22"/>
      <c r="AJ5" s="23"/>
      <c r="AK5" s="22"/>
      <c r="AL5" s="22"/>
      <c r="AM5" s="22"/>
      <c r="AN5" s="22"/>
      <c r="AO5" s="23"/>
      <c r="AP5" s="22"/>
      <c r="AQ5" s="22"/>
      <c r="AR5" s="22"/>
      <c r="AS5" s="22"/>
      <c r="AT5" s="23"/>
      <c r="AU5" s="22"/>
      <c r="AV5" s="22"/>
      <c r="AW5" s="22"/>
      <c r="AX5" s="22"/>
      <c r="AY5" s="23"/>
      <c r="AZ5" s="22"/>
      <c r="BA5" s="22"/>
      <c r="BB5" s="22"/>
      <c r="BC5" s="22"/>
      <c r="BD5" s="23"/>
      <c r="BE5" s="22"/>
      <c r="BF5" s="22"/>
      <c r="BG5" s="22"/>
      <c r="BH5" s="22"/>
      <c r="BI5" s="23"/>
    </row>
    <row r="6" spans="1:63">
      <c r="A6" s="7" t="s">
        <v>293</v>
      </c>
      <c r="B6" s="19"/>
      <c r="C6" s="19"/>
      <c r="D6" s="19"/>
      <c r="E6" s="20"/>
      <c r="F6" s="21"/>
      <c r="G6" s="19">
        <v>232</v>
      </c>
      <c r="H6" s="19">
        <v>233</v>
      </c>
      <c r="I6" s="19">
        <v>201</v>
      </c>
      <c r="J6" s="20">
        <f>+K6-SUM(G6,H6,I6)</f>
        <v>149</v>
      </c>
      <c r="K6" s="21">
        <v>815</v>
      </c>
      <c r="L6" s="19">
        <v>196</v>
      </c>
      <c r="M6" s="19">
        <v>196</v>
      </c>
      <c r="N6" s="19">
        <v>207</v>
      </c>
      <c r="O6" s="20">
        <f>+P6-SUM(L6,M6,N6)</f>
        <v>235</v>
      </c>
      <c r="P6" s="21">
        <v>834</v>
      </c>
      <c r="Q6" s="19">
        <v>183</v>
      </c>
      <c r="R6" s="41">
        <v>219</v>
      </c>
      <c r="S6" s="41">
        <v>211</v>
      </c>
      <c r="T6" s="20">
        <f>+U6-SUM(Q6,R6,S6)</f>
        <v>175</v>
      </c>
      <c r="U6" s="43">
        <v>788</v>
      </c>
      <c r="V6" s="41">
        <v>184</v>
      </c>
      <c r="W6" s="41">
        <v>196</v>
      </c>
      <c r="X6" s="41">
        <v>185</v>
      </c>
      <c r="Y6" s="20">
        <f>+Z6-SUM(V6,W6,X6)</f>
        <v>193</v>
      </c>
      <c r="Z6" s="43">
        <v>758</v>
      </c>
      <c r="AA6" s="41">
        <v>163</v>
      </c>
      <c r="AB6" s="41">
        <v>167</v>
      </c>
      <c r="AC6" s="41">
        <v>164</v>
      </c>
      <c r="AD6" s="20">
        <f>+AE6-SUM(AA6,AB6,AC6)</f>
        <v>219</v>
      </c>
      <c r="AE6" s="43">
        <v>713</v>
      </c>
      <c r="AF6" s="41">
        <v>163</v>
      </c>
      <c r="AG6" s="41">
        <v>174</v>
      </c>
      <c r="AH6" s="41">
        <v>193</v>
      </c>
      <c r="AI6" s="20">
        <f>+AJ6-SUM(AF6,AG6,AH6)</f>
        <v>288</v>
      </c>
      <c r="AJ6" s="43">
        <v>818</v>
      </c>
      <c r="AK6" s="19">
        <v>233</v>
      </c>
      <c r="AL6" s="41">
        <v>233</v>
      </c>
      <c r="AM6" s="41">
        <v>240</v>
      </c>
      <c r="AN6" s="20">
        <f>+AO6-SUM(AK6,AL6,AM6)</f>
        <v>239</v>
      </c>
      <c r="AO6" s="43">
        <v>945</v>
      </c>
      <c r="AP6" s="19">
        <v>195</v>
      </c>
      <c r="AQ6" s="41">
        <v>225</v>
      </c>
      <c r="AR6" s="41">
        <v>232</v>
      </c>
      <c r="AS6" s="20">
        <f>+AT6-SUM(AP6,AQ6,AR6)</f>
        <v>267</v>
      </c>
      <c r="AT6" s="43">
        <v>919</v>
      </c>
      <c r="AU6" s="19">
        <v>235</v>
      </c>
      <c r="AV6" s="41">
        <v>259</v>
      </c>
      <c r="AW6" s="41">
        <v>234</v>
      </c>
      <c r="AX6" s="20">
        <f>+AY6-SUM(AU6,AV6,AW6)</f>
        <v>189</v>
      </c>
      <c r="AY6" s="43">
        <v>917</v>
      </c>
      <c r="AZ6" s="19">
        <v>199</v>
      </c>
      <c r="BA6" s="41">
        <v>221</v>
      </c>
      <c r="BB6" s="41">
        <v>198</v>
      </c>
      <c r="BC6" s="20">
        <f>+BD6-SUM(AZ6,BA6,BB6)</f>
        <v>259</v>
      </c>
      <c r="BD6" s="43">
        <v>877</v>
      </c>
      <c r="BE6" s="22">
        <f t="shared" ref="BE6:BG6" si="13">AZ6*(1+BE7)</f>
        <v>204.97</v>
      </c>
      <c r="BF6" s="22">
        <f t="shared" si="13"/>
        <v>227.63</v>
      </c>
      <c r="BG6" s="22">
        <f t="shared" si="13"/>
        <v>203.94</v>
      </c>
      <c r="BH6" s="22">
        <f>BC6*(1+BH7)</f>
        <v>266.77</v>
      </c>
      <c r="BI6" s="23">
        <f>SUM(BE6:BH6)</f>
        <v>903.31</v>
      </c>
    </row>
    <row r="7" spans="1:63">
      <c r="A7" s="1" t="s">
        <v>4</v>
      </c>
      <c r="B7" s="19"/>
      <c r="C7" s="19"/>
      <c r="D7" s="19"/>
      <c r="E7" s="20"/>
      <c r="F7" s="21"/>
      <c r="G7" s="19"/>
      <c r="H7" s="19"/>
      <c r="I7" s="19"/>
      <c r="J7" s="20"/>
      <c r="K7" s="21"/>
      <c r="L7" s="34">
        <f t="shared" ref="L7:AC7" si="14">L6/G6-1</f>
        <v>-0.15517241379310343</v>
      </c>
      <c r="M7" s="35">
        <f t="shared" si="14"/>
        <v>-0.15879828326180256</v>
      </c>
      <c r="N7" s="35">
        <f t="shared" si="14"/>
        <v>2.9850746268656803E-2</v>
      </c>
      <c r="O7" s="35">
        <f t="shared" si="14"/>
        <v>0.57718120805369133</v>
      </c>
      <c r="P7" s="36">
        <f t="shared" si="14"/>
        <v>2.331288343558291E-2</v>
      </c>
      <c r="Q7" s="34">
        <f t="shared" si="14"/>
        <v>-6.6326530612244916E-2</v>
      </c>
      <c r="R7" s="35">
        <f t="shared" si="14"/>
        <v>0.11734693877551017</v>
      </c>
      <c r="S7" s="35">
        <f t="shared" si="14"/>
        <v>1.9323671497584627E-2</v>
      </c>
      <c r="T7" s="35">
        <f t="shared" si="14"/>
        <v>-0.25531914893617025</v>
      </c>
      <c r="U7" s="36">
        <f t="shared" si="14"/>
        <v>-5.5155875299760182E-2</v>
      </c>
      <c r="V7" s="34">
        <f t="shared" si="14"/>
        <v>5.464480874316946E-3</v>
      </c>
      <c r="W7" s="35">
        <f t="shared" si="14"/>
        <v>-0.10502283105022836</v>
      </c>
      <c r="X7" s="35">
        <f t="shared" si="14"/>
        <v>-0.12322274881516593</v>
      </c>
      <c r="Y7" s="35">
        <f t="shared" si="14"/>
        <v>0.10285714285714276</v>
      </c>
      <c r="Z7" s="36">
        <f t="shared" si="14"/>
        <v>-3.8071065989847663E-2</v>
      </c>
      <c r="AA7" s="34">
        <f t="shared" si="14"/>
        <v>-0.11413043478260865</v>
      </c>
      <c r="AB7" s="34">
        <f t="shared" si="14"/>
        <v>-0.14795918367346939</v>
      </c>
      <c r="AC7" s="34">
        <f t="shared" si="14"/>
        <v>-0.11351351351351346</v>
      </c>
      <c r="AD7" s="35">
        <f t="shared" ref="AD7:AM7" si="15">AD6/Y6-1</f>
        <v>0.13471502590673579</v>
      </c>
      <c r="AE7" s="36">
        <f t="shared" si="15"/>
        <v>-5.9366754617414252E-2</v>
      </c>
      <c r="AF7" s="34">
        <f t="shared" si="15"/>
        <v>0</v>
      </c>
      <c r="AG7" s="34">
        <f t="shared" si="15"/>
        <v>4.1916167664670656E-2</v>
      </c>
      <c r="AH7" s="34">
        <f t="shared" si="15"/>
        <v>0.17682926829268286</v>
      </c>
      <c r="AI7" s="35">
        <f t="shared" si="15"/>
        <v>0.31506849315068486</v>
      </c>
      <c r="AJ7" s="36">
        <f t="shared" si="15"/>
        <v>0.14726507713884995</v>
      </c>
      <c r="AK7" s="34">
        <f t="shared" si="15"/>
        <v>0.42944785276073616</v>
      </c>
      <c r="AL7" s="34">
        <f t="shared" si="15"/>
        <v>0.33908045977011492</v>
      </c>
      <c r="AM7" s="34">
        <f t="shared" si="15"/>
        <v>0.24352331606217614</v>
      </c>
      <c r="AN7" s="35">
        <f t="shared" ref="AN7" si="16">AN6/AI6-1</f>
        <v>-0.17013888888888884</v>
      </c>
      <c r="AO7" s="36">
        <f t="shared" ref="AO7:AR7" si="17">AO6/AJ6-1</f>
        <v>0.15525672371638133</v>
      </c>
      <c r="AP7" s="34">
        <f t="shared" si="17"/>
        <v>-0.16309012875536477</v>
      </c>
      <c r="AQ7" s="34">
        <f t="shared" si="17"/>
        <v>-3.4334763948497882E-2</v>
      </c>
      <c r="AR7" s="34">
        <f t="shared" si="17"/>
        <v>-3.3333333333333326E-2</v>
      </c>
      <c r="AS7" s="35">
        <f t="shared" ref="AS7" si="18">AS6/AN6-1</f>
        <v>0.11715481171548126</v>
      </c>
      <c r="AT7" s="36">
        <f t="shared" ref="AT7:BB7" si="19">AT6/AO6-1</f>
        <v>-2.7513227513227489E-2</v>
      </c>
      <c r="AU7" s="34">
        <f t="shared" si="19"/>
        <v>0.20512820512820507</v>
      </c>
      <c r="AV7" s="34">
        <f t="shared" si="19"/>
        <v>0.1511111111111112</v>
      </c>
      <c r="AW7" s="34">
        <f t="shared" si="19"/>
        <v>8.6206896551723755E-3</v>
      </c>
      <c r="AX7" s="35">
        <f t="shared" si="19"/>
        <v>-0.2921348314606742</v>
      </c>
      <c r="AY7" s="36">
        <f t="shared" si="19"/>
        <v>-2.1762785636560977E-3</v>
      </c>
      <c r="AZ7" s="34">
        <f t="shared" si="19"/>
        <v>-0.15319148936170213</v>
      </c>
      <c r="BA7" s="34">
        <f t="shared" si="19"/>
        <v>-0.14671814671814676</v>
      </c>
      <c r="BB7" s="34">
        <f t="shared" si="19"/>
        <v>-0.15384615384615385</v>
      </c>
      <c r="BC7" s="35">
        <f t="shared" ref="BC7" si="20">BC6/AX6-1</f>
        <v>0.37037037037037046</v>
      </c>
      <c r="BD7" s="36">
        <f t="shared" ref="BD7" si="21">BD6/AY6-1</f>
        <v>-4.3620501635768805E-2</v>
      </c>
      <c r="BE7" s="211">
        <v>0.03</v>
      </c>
      <c r="BF7" s="211">
        <v>0.03</v>
      </c>
      <c r="BG7" s="211">
        <v>0.03</v>
      </c>
      <c r="BH7" s="252">
        <v>0.03</v>
      </c>
      <c r="BI7" s="36">
        <f>BI6/BD6-1</f>
        <v>3.0000000000000027E-2</v>
      </c>
    </row>
    <row r="8" spans="1:63">
      <c r="A8" s="1" t="s">
        <v>220</v>
      </c>
      <c r="B8" s="35"/>
      <c r="C8" s="35"/>
      <c r="D8" s="35"/>
      <c r="E8" s="35"/>
      <c r="F8" s="36"/>
      <c r="G8" s="34">
        <f t="shared" ref="G8:AA8" si="22">G6/G3</f>
        <v>3.7809647979139507E-2</v>
      </c>
      <c r="H8" s="35">
        <f t="shared" si="22"/>
        <v>4.3196143863552097E-2</v>
      </c>
      <c r="I8" s="35">
        <f t="shared" si="22"/>
        <v>3.4950443401147627E-2</v>
      </c>
      <c r="J8" s="35">
        <f t="shared" si="22"/>
        <v>2.8209011737978039E-2</v>
      </c>
      <c r="K8" s="36">
        <f t="shared" si="22"/>
        <v>3.6121083189292205E-2</v>
      </c>
      <c r="L8" s="34">
        <f t="shared" si="22"/>
        <v>3.8341158059467917E-2</v>
      </c>
      <c r="M8" s="35">
        <f t="shared" si="22"/>
        <v>3.8117464021781407E-2</v>
      </c>
      <c r="N8" s="35">
        <f t="shared" si="22"/>
        <v>4.0990099009900992E-2</v>
      </c>
      <c r="O8" s="35">
        <f t="shared" si="22"/>
        <v>4.4702301692980791E-2</v>
      </c>
      <c r="P8" s="36">
        <f t="shared" si="22"/>
        <v>4.056222946354749E-2</v>
      </c>
      <c r="Q8" s="34">
        <f t="shared" si="22"/>
        <v>2.8236383274186084E-2</v>
      </c>
      <c r="R8" s="35">
        <f t="shared" si="22"/>
        <v>3.5901639344262298E-2</v>
      </c>
      <c r="S8" s="35">
        <f t="shared" si="22"/>
        <v>3.0416606602277643E-2</v>
      </c>
      <c r="T8" s="35">
        <f t="shared" si="22"/>
        <v>2.5458248472505093E-2</v>
      </c>
      <c r="U8" s="36">
        <f t="shared" si="22"/>
        <v>2.9857532585632011E-2</v>
      </c>
      <c r="V8" s="34">
        <f t="shared" si="22"/>
        <v>2.7933809017762257E-2</v>
      </c>
      <c r="W8" s="35">
        <f t="shared" si="22"/>
        <v>2.9643073200241985E-2</v>
      </c>
      <c r="X8" s="35">
        <f t="shared" si="22"/>
        <v>2.6270945754047145E-2</v>
      </c>
      <c r="Y8" s="35">
        <f t="shared" si="22"/>
        <v>3.2241897761443365E-2</v>
      </c>
      <c r="Z8" s="36">
        <f t="shared" si="22"/>
        <v>2.8901513707248257E-2</v>
      </c>
      <c r="AA8" s="34">
        <f t="shared" si="22"/>
        <v>2.6977821913273751E-2</v>
      </c>
      <c r="AB8" s="34">
        <f t="shared" ref="AB8:AM8" si="23">AB6/AB3</f>
        <v>2.5349119611414693E-2</v>
      </c>
      <c r="AC8" s="34">
        <f t="shared" si="23"/>
        <v>2.3948598130841121E-2</v>
      </c>
      <c r="AD8" s="35">
        <f t="shared" si="23"/>
        <v>3.2305649800855582E-2</v>
      </c>
      <c r="AE8" s="36">
        <f t="shared" si="23"/>
        <v>2.7154663518299881E-2</v>
      </c>
      <c r="AF8" s="34">
        <f t="shared" si="23"/>
        <v>2.268615170494085E-2</v>
      </c>
      <c r="AG8" s="34">
        <f t="shared" si="23"/>
        <v>2.530541012216405E-2</v>
      </c>
      <c r="AH8" s="34">
        <f t="shared" si="23"/>
        <v>2.9167296357866104E-2</v>
      </c>
      <c r="AI8" s="35">
        <f t="shared" si="23"/>
        <v>4.9129989764585463E-2</v>
      </c>
      <c r="AJ8" s="36">
        <f t="shared" si="23"/>
        <v>3.0821401657874906E-2</v>
      </c>
      <c r="AK8" s="34">
        <f t="shared" si="23"/>
        <v>4.2494984497537844E-2</v>
      </c>
      <c r="AL8" s="34">
        <f t="shared" si="23"/>
        <v>3.7635277015021805E-2</v>
      </c>
      <c r="AM8" s="34">
        <f t="shared" si="23"/>
        <v>4.5223289994347091E-2</v>
      </c>
      <c r="AN8" s="35">
        <f t="shared" ref="AN8:AR8" si="24">AN6/AN3</f>
        <v>3.8666882381491671E-2</v>
      </c>
      <c r="AO8" s="36">
        <f t="shared" si="24"/>
        <v>4.079958552802003E-2</v>
      </c>
      <c r="AP8" s="34">
        <f t="shared" si="24"/>
        <v>2.982107355864811E-2</v>
      </c>
      <c r="AQ8" s="34">
        <f t="shared" si="24"/>
        <v>3.6484514350575648E-2</v>
      </c>
      <c r="AR8" s="34">
        <f t="shared" si="24"/>
        <v>4.2328042328042326E-2</v>
      </c>
      <c r="AS8" s="35">
        <f t="shared" ref="AS8:AW8" si="25">AS6/AS3</f>
        <v>3.9579009783575453E-2</v>
      </c>
      <c r="AT8" s="36">
        <f t="shared" si="25"/>
        <v>3.6858781534512497E-2</v>
      </c>
      <c r="AU8" s="34">
        <f t="shared" si="25"/>
        <v>3.3812949640287769E-2</v>
      </c>
      <c r="AV8" s="34">
        <f t="shared" si="25"/>
        <v>4.3016110280684271E-2</v>
      </c>
      <c r="AW8" s="34">
        <f t="shared" si="25"/>
        <v>4.2268786127167633E-2</v>
      </c>
      <c r="AX8" s="111">
        <f t="shared" ref="AX8:BB8" si="26">AX6/AX3</f>
        <v>3.4928848641655887E-2</v>
      </c>
      <c r="AY8" s="36">
        <f t="shared" si="26"/>
        <v>3.8339326030604567E-2</v>
      </c>
      <c r="AZ8" s="34">
        <f t="shared" si="26"/>
        <v>3.1597332486503649E-2</v>
      </c>
      <c r="BA8" s="34">
        <f t="shared" si="26"/>
        <v>3.3398821218074658E-2</v>
      </c>
      <c r="BB8" s="34">
        <f t="shared" si="26"/>
        <v>2.8687337003767025E-2</v>
      </c>
      <c r="BC8" s="111">
        <f t="shared" ref="BC8:BD8" si="27">BC6/BC3</f>
        <v>3.4919778886342186E-2</v>
      </c>
      <c r="BD8" s="36">
        <f t="shared" si="27"/>
        <v>3.220239406624073E-2</v>
      </c>
      <c r="BE8" s="110">
        <f t="shared" ref="BE8:BG8" si="28">BE6/BE3</f>
        <v>2.9044043957440438E-2</v>
      </c>
      <c r="BF8" s="110">
        <f t="shared" si="28"/>
        <v>3.2254943289418775E-2</v>
      </c>
      <c r="BG8" s="110">
        <f t="shared" si="28"/>
        <v>2.8898093987805056E-2</v>
      </c>
      <c r="BH8" s="111">
        <f t="shared" ref="BH8:BI8" si="29">BH6/BH3</f>
        <v>3.7801042135563179E-2</v>
      </c>
      <c r="BI8" s="112">
        <f t="shared" si="29"/>
        <v>3.1999530842556863E-2</v>
      </c>
    </row>
    <row r="9" spans="1:63">
      <c r="F9" s="27"/>
      <c r="K9" s="27"/>
      <c r="P9" s="27"/>
      <c r="U9" s="27"/>
      <c r="Z9" s="27"/>
      <c r="AE9" s="27"/>
      <c r="AJ9" s="27"/>
      <c r="AO9" s="27"/>
      <c r="AT9" s="27"/>
      <c r="AY9" s="27"/>
      <c r="BD9" s="27"/>
      <c r="BI9" s="27"/>
    </row>
    <row r="10" spans="1:63">
      <c r="A10" s="10" t="s">
        <v>10</v>
      </c>
      <c r="B10" s="28"/>
      <c r="C10" s="28"/>
      <c r="D10" s="28"/>
      <c r="E10" s="28"/>
      <c r="F10" s="29"/>
      <c r="G10" s="28">
        <f t="shared" ref="G10:AA10" si="30">+-G3+G13</f>
        <v>-5619</v>
      </c>
      <c r="H10" s="28">
        <f t="shared" si="30"/>
        <v>-5032</v>
      </c>
      <c r="I10" s="28">
        <f t="shared" si="30"/>
        <v>-5187</v>
      </c>
      <c r="J10" s="28">
        <f t="shared" si="30"/>
        <v>-4759</v>
      </c>
      <c r="K10" s="29">
        <f t="shared" si="30"/>
        <v>-20597</v>
      </c>
      <c r="L10" s="28">
        <f t="shared" si="30"/>
        <v>-4563</v>
      </c>
      <c r="M10" s="28">
        <f t="shared" si="30"/>
        <v>-4528</v>
      </c>
      <c r="N10" s="28">
        <f t="shared" si="30"/>
        <v>-4564</v>
      </c>
      <c r="O10" s="28">
        <f t="shared" si="30"/>
        <v>-4713</v>
      </c>
      <c r="P10" s="29">
        <f t="shared" si="30"/>
        <v>-18368</v>
      </c>
      <c r="Q10" s="28">
        <f t="shared" si="30"/>
        <v>-5724</v>
      </c>
      <c r="R10" s="28">
        <f t="shared" si="30"/>
        <v>-5724</v>
      </c>
      <c r="S10" s="28">
        <f t="shared" si="30"/>
        <v>-7184</v>
      </c>
      <c r="T10" s="28">
        <f t="shared" si="30"/>
        <v>-6103</v>
      </c>
      <c r="U10" s="29">
        <f t="shared" si="30"/>
        <v>-24735</v>
      </c>
      <c r="V10" s="28">
        <f t="shared" si="30"/>
        <v>-5735</v>
      </c>
      <c r="W10" s="28">
        <f t="shared" si="30"/>
        <v>-5637</v>
      </c>
      <c r="X10" s="28">
        <f t="shared" si="30"/>
        <v>-6287</v>
      </c>
      <c r="Y10" s="28">
        <f t="shared" si="30"/>
        <v>-5960</v>
      </c>
      <c r="Z10" s="29">
        <f t="shared" si="30"/>
        <v>-23619</v>
      </c>
      <c r="AA10" s="28">
        <f t="shared" si="30"/>
        <v>-6233</v>
      </c>
      <c r="AB10" s="28">
        <f t="shared" ref="AB10:AM10" si="31">+-AB3+AB13</f>
        <v>-5988</v>
      </c>
      <c r="AC10" s="28">
        <f t="shared" si="31"/>
        <v>-6220</v>
      </c>
      <c r="AD10" s="28">
        <f t="shared" si="31"/>
        <v>-6277</v>
      </c>
      <c r="AE10" s="29">
        <f t="shared" si="31"/>
        <v>-24718</v>
      </c>
      <c r="AF10" s="28">
        <f t="shared" si="31"/>
        <v>-6780</v>
      </c>
      <c r="AG10" s="28">
        <f t="shared" si="31"/>
        <v>-5918</v>
      </c>
      <c r="AH10" s="28">
        <f t="shared" si="31"/>
        <v>-6181</v>
      </c>
      <c r="AI10" s="28">
        <f t="shared" si="31"/>
        <v>-6117</v>
      </c>
      <c r="AJ10" s="29">
        <f t="shared" si="31"/>
        <v>-24996</v>
      </c>
      <c r="AK10" s="28">
        <f t="shared" si="31"/>
        <v>-6412</v>
      </c>
      <c r="AL10" s="28">
        <f t="shared" si="31"/>
        <v>-6120</v>
      </c>
      <c r="AM10" s="28">
        <f t="shared" si="31"/>
        <v>-8105</v>
      </c>
      <c r="AN10" s="28">
        <f t="shared" ref="AN10:AR10" si="32">+-AN3+AN13</f>
        <v>-6069</v>
      </c>
      <c r="AO10" s="29">
        <f t="shared" si="32"/>
        <v>-26706</v>
      </c>
      <c r="AP10" s="28">
        <f t="shared" si="32"/>
        <v>-6751</v>
      </c>
      <c r="AQ10" s="28">
        <f t="shared" si="32"/>
        <v>-6694</v>
      </c>
      <c r="AR10" s="28">
        <f t="shared" si="32"/>
        <v>-6405</v>
      </c>
      <c r="AS10" s="28">
        <f t="shared" ref="AS10:AW10" si="33">+-AS3+AS13</f>
        <v>-6847</v>
      </c>
      <c r="AT10" s="29">
        <f t="shared" si="33"/>
        <v>-26697</v>
      </c>
      <c r="AU10" s="28">
        <f t="shared" si="33"/>
        <v>-6799</v>
      </c>
      <c r="AV10" s="28">
        <f t="shared" si="33"/>
        <v>-6934</v>
      </c>
      <c r="AW10" s="28">
        <f t="shared" si="33"/>
        <v>-7920</v>
      </c>
      <c r="AX10" s="28">
        <f t="shared" ref="AX10:BB10" si="34">+-AX3+AX13</f>
        <v>-7678</v>
      </c>
      <c r="AY10" s="29">
        <f t="shared" si="34"/>
        <v>-29331</v>
      </c>
      <c r="AZ10" s="28">
        <f t="shared" si="34"/>
        <v>-6143</v>
      </c>
      <c r="BA10" s="28">
        <f t="shared" si="34"/>
        <v>-6507</v>
      </c>
      <c r="BB10" s="28">
        <f t="shared" si="34"/>
        <v>-6788</v>
      </c>
      <c r="BC10" s="28">
        <f t="shared" ref="BC10:BD10" si="35">+-BC3+BC13</f>
        <v>-7924</v>
      </c>
      <c r="BD10" s="29">
        <f t="shared" si="35"/>
        <v>-27362</v>
      </c>
      <c r="BE10" s="28">
        <f t="shared" ref="BE10:BG10" si="36">+-BE3+BE13</f>
        <v>-6916.0685851579365</v>
      </c>
      <c r="BF10" s="28">
        <f t="shared" si="36"/>
        <v>-6845.4964567379575</v>
      </c>
      <c r="BG10" s="28">
        <f t="shared" si="36"/>
        <v>-6845.4964567379575</v>
      </c>
      <c r="BH10" s="28">
        <f t="shared" ref="BH10:BI10" si="37">+-BH3+BH13</f>
        <v>-6824.9733048594799</v>
      </c>
      <c r="BI10" s="29">
        <f t="shared" si="37"/>
        <v>-27432.03480349333</v>
      </c>
    </row>
    <row r="11" spans="1:63">
      <c r="A11" s="1" t="s">
        <v>4</v>
      </c>
      <c r="F11" s="36"/>
      <c r="G11" s="34"/>
      <c r="H11" s="35"/>
      <c r="I11" s="35"/>
      <c r="J11" s="35"/>
      <c r="K11" s="36"/>
      <c r="L11" s="34">
        <f t="shared" ref="L11:AC11" si="38">L10/G10-1</f>
        <v>-0.18793379604911908</v>
      </c>
      <c r="M11" s="35">
        <f t="shared" si="38"/>
        <v>-0.10015898251192368</v>
      </c>
      <c r="N11" s="35">
        <f t="shared" si="38"/>
        <v>-0.12010796221322539</v>
      </c>
      <c r="O11" s="35">
        <f t="shared" si="38"/>
        <v>-9.6658961966800128E-3</v>
      </c>
      <c r="P11" s="36">
        <f t="shared" si="38"/>
        <v>-0.10821964363742298</v>
      </c>
      <c r="Q11" s="34">
        <f t="shared" si="38"/>
        <v>0.25443786982248517</v>
      </c>
      <c r="R11" s="35">
        <f t="shared" si="38"/>
        <v>0.26413427561837466</v>
      </c>
      <c r="S11" s="35">
        <f t="shared" si="38"/>
        <v>0.57405784399649429</v>
      </c>
      <c r="T11" s="35">
        <f t="shared" si="38"/>
        <v>0.29492892000848725</v>
      </c>
      <c r="U11" s="36">
        <f t="shared" si="38"/>
        <v>0.34663545296167242</v>
      </c>
      <c r="V11" s="34">
        <f t="shared" si="38"/>
        <v>1.9217330538086053E-3</v>
      </c>
      <c r="W11" s="35">
        <f t="shared" si="38"/>
        <v>-1.5199161425576535E-2</v>
      </c>
      <c r="X11" s="35">
        <f t="shared" si="38"/>
        <v>-0.1248608017817372</v>
      </c>
      <c r="Y11" s="35">
        <f t="shared" si="38"/>
        <v>-2.3431099459282345E-2</v>
      </c>
      <c r="Z11" s="36">
        <f t="shared" si="38"/>
        <v>-4.5118253486961746E-2</v>
      </c>
      <c r="AA11" s="34">
        <f t="shared" si="38"/>
        <v>8.6835222319093353E-2</v>
      </c>
      <c r="AB11" s="34">
        <f t="shared" si="38"/>
        <v>6.2267163384779112E-2</v>
      </c>
      <c r="AC11" s="34">
        <f t="shared" si="38"/>
        <v>-1.0656911086368681E-2</v>
      </c>
      <c r="AD11" s="35">
        <f t="shared" ref="AD11:AR11" si="39">AD10/Y10-1</f>
        <v>5.3187919463087319E-2</v>
      </c>
      <c r="AE11" s="36">
        <f t="shared" si="39"/>
        <v>4.6530335746644669E-2</v>
      </c>
      <c r="AF11" s="34">
        <f t="shared" si="39"/>
        <v>8.7758703673993299E-2</v>
      </c>
      <c r="AG11" s="34">
        <f t="shared" si="39"/>
        <v>-1.1690046760187034E-2</v>
      </c>
      <c r="AH11" s="34">
        <f t="shared" si="39"/>
        <v>-6.2700964630224565E-3</v>
      </c>
      <c r="AI11" s="35">
        <f t="shared" si="39"/>
        <v>-2.5489883702405569E-2</v>
      </c>
      <c r="AJ11" s="36">
        <f t="shared" si="39"/>
        <v>1.1246864633061016E-2</v>
      </c>
      <c r="AK11" s="34">
        <f t="shared" si="39"/>
        <v>-5.427728613569327E-2</v>
      </c>
      <c r="AL11" s="34">
        <f t="shared" si="39"/>
        <v>3.4133153092260837E-2</v>
      </c>
      <c r="AM11" s="34">
        <f t="shared" si="39"/>
        <v>0.31127649247694555</v>
      </c>
      <c r="AN11" s="35">
        <f t="shared" ref="AN11" si="40">AN10/AI10-1</f>
        <v>-7.8469838155958982E-3</v>
      </c>
      <c r="AO11" s="36">
        <f t="shared" ref="AO11" si="41">AO10/AJ10-1</f>
        <v>6.8410945751320229E-2</v>
      </c>
      <c r="AP11" s="34">
        <f t="shared" si="39"/>
        <v>5.2869619463505879E-2</v>
      </c>
      <c r="AQ11" s="34">
        <f t="shared" si="39"/>
        <v>9.3790849673202725E-2</v>
      </c>
      <c r="AR11" s="34">
        <f t="shared" si="39"/>
        <v>-0.20974706971005552</v>
      </c>
      <c r="AS11" s="35">
        <f t="shared" ref="AS11" si="42">AS10/AN10-1</f>
        <v>0.12819245345196895</v>
      </c>
      <c r="AT11" s="36">
        <f t="shared" ref="AT11:BB11" si="43">AT10/AO10-1</f>
        <v>-3.3700292069194226E-4</v>
      </c>
      <c r="AU11" s="34">
        <f t="shared" si="43"/>
        <v>7.1100577692193578E-3</v>
      </c>
      <c r="AV11" s="34">
        <f t="shared" si="43"/>
        <v>3.5853002688975177E-2</v>
      </c>
      <c r="AW11" s="34">
        <f t="shared" si="43"/>
        <v>0.2365339578454333</v>
      </c>
      <c r="AX11" s="35">
        <f t="shared" ref="AX11" si="44">AX10/AS10-1</f>
        <v>0.12136702205345418</v>
      </c>
      <c r="AY11" s="36">
        <f t="shared" si="43"/>
        <v>9.8662771097876245E-2</v>
      </c>
      <c r="AZ11" s="34">
        <f t="shared" si="43"/>
        <v>-9.6484777173113656E-2</v>
      </c>
      <c r="BA11" s="34">
        <f t="shared" si="43"/>
        <v>-6.1580617248341518E-2</v>
      </c>
      <c r="BB11" s="34">
        <f t="shared" si="43"/>
        <v>-0.14292929292929291</v>
      </c>
      <c r="BC11" s="35">
        <f t="shared" ref="BC11" si="45">BC10/AX10-1</f>
        <v>3.2039593644178188E-2</v>
      </c>
      <c r="BD11" s="36">
        <f t="shared" ref="BD11" si="46">BD10/AY10-1</f>
        <v>-6.7130339913402226E-2</v>
      </c>
      <c r="BE11" s="34">
        <f t="shared" ref="BE11:BG11" si="47">BE10/AZ10-1</f>
        <v>0.12584544768971773</v>
      </c>
      <c r="BF11" s="34">
        <f t="shared" si="47"/>
        <v>5.2020356037798976E-2</v>
      </c>
      <c r="BG11" s="34">
        <f t="shared" si="47"/>
        <v>8.4703088889153122E-3</v>
      </c>
      <c r="BH11" s="35">
        <f t="shared" ref="BH11" si="48">BH10/BC10-1</f>
        <v>-0.13869594840238775</v>
      </c>
      <c r="BI11" s="36">
        <f t="shared" ref="BI11" si="49">BI10/BD10-1</f>
        <v>2.5595644870013423E-3</v>
      </c>
    </row>
    <row r="12" spans="1:63">
      <c r="A12" s="1"/>
      <c r="F12" s="36"/>
      <c r="G12" s="34"/>
      <c r="H12" s="35"/>
      <c r="I12" s="35"/>
      <c r="J12" s="35"/>
      <c r="K12" s="36"/>
      <c r="L12" s="34"/>
      <c r="M12" s="35"/>
      <c r="N12" s="35"/>
      <c r="O12" s="35"/>
      <c r="P12" s="36"/>
      <c r="Q12" s="34"/>
      <c r="R12" s="35"/>
      <c r="S12" s="35"/>
      <c r="T12" s="35"/>
      <c r="U12" s="36"/>
      <c r="V12" s="34"/>
      <c r="W12" s="35"/>
      <c r="X12" s="35"/>
      <c r="Y12" s="35"/>
      <c r="Z12" s="36"/>
      <c r="AA12" s="34"/>
      <c r="AB12" s="34"/>
      <c r="AC12" s="34"/>
      <c r="AD12" s="35"/>
      <c r="AE12" s="36"/>
      <c r="AF12" s="34"/>
      <c r="AG12" s="34"/>
      <c r="AH12" s="34"/>
      <c r="AI12" s="35"/>
      <c r="AJ12" s="36"/>
      <c r="AK12" s="34"/>
      <c r="AL12" s="34"/>
      <c r="AM12" s="34"/>
      <c r="AN12" s="35"/>
      <c r="AO12" s="36"/>
      <c r="AP12" s="34"/>
      <c r="AQ12" s="34"/>
      <c r="AR12" s="34"/>
      <c r="AS12" s="35"/>
      <c r="AT12" s="36"/>
      <c r="AU12" s="34"/>
      <c r="AV12" s="34"/>
      <c r="AW12" s="34"/>
      <c r="AX12" s="35"/>
      <c r="AY12" s="36"/>
      <c r="AZ12" s="34"/>
      <c r="BA12" s="34"/>
      <c r="BB12" s="34"/>
      <c r="BC12" s="35"/>
      <c r="BD12" s="36"/>
      <c r="BE12" s="34"/>
      <c r="BF12" s="34"/>
      <c r="BG12" s="34"/>
      <c r="BH12" s="35"/>
      <c r="BI12" s="36"/>
    </row>
    <row r="13" spans="1:63">
      <c r="A13" s="9" t="s">
        <v>9</v>
      </c>
      <c r="B13" s="30"/>
      <c r="C13" s="30"/>
      <c r="D13" s="24"/>
      <c r="E13" s="24"/>
      <c r="F13" s="25"/>
      <c r="G13" s="30">
        <v>517</v>
      </c>
      <c r="H13" s="30">
        <v>362</v>
      </c>
      <c r="I13" s="30">
        <v>564</v>
      </c>
      <c r="J13" s="24">
        <f>+K13-SUM(G13,H13,I13)</f>
        <v>523</v>
      </c>
      <c r="K13" s="31">
        <v>1966</v>
      </c>
      <c r="L13" s="30">
        <v>549</v>
      </c>
      <c r="M13" s="30">
        <v>614</v>
      </c>
      <c r="N13" s="30">
        <v>486</v>
      </c>
      <c r="O13" s="24">
        <f>+P13-SUM(L13,M13,N13)</f>
        <v>544</v>
      </c>
      <c r="P13" s="31">
        <v>2193</v>
      </c>
      <c r="Q13" s="30">
        <v>757</v>
      </c>
      <c r="R13" s="30">
        <v>376</v>
      </c>
      <c r="S13" s="30">
        <v>-247</v>
      </c>
      <c r="T13" s="24">
        <f>+U13-SUM(Q13,R13,S13)</f>
        <v>771</v>
      </c>
      <c r="U13" s="31">
        <v>1657</v>
      </c>
      <c r="V13" s="30">
        <v>852</v>
      </c>
      <c r="W13" s="30">
        <v>975</v>
      </c>
      <c r="X13" s="30">
        <v>755</v>
      </c>
      <c r="Y13" s="24">
        <f>+Z13-SUM(V13,W13,X13)</f>
        <v>26</v>
      </c>
      <c r="Z13" s="31">
        <v>2608</v>
      </c>
      <c r="AA13" s="30">
        <v>-191</v>
      </c>
      <c r="AB13" s="30">
        <v>600</v>
      </c>
      <c r="AC13" s="30">
        <v>628</v>
      </c>
      <c r="AD13" s="24">
        <f>+AE13-SUM(AA13,AB13,AC13)</f>
        <v>502</v>
      </c>
      <c r="AE13" s="31">
        <v>1539</v>
      </c>
      <c r="AF13" s="30">
        <v>405</v>
      </c>
      <c r="AG13" s="30">
        <v>958</v>
      </c>
      <c r="AH13" s="30">
        <v>436</v>
      </c>
      <c r="AI13" s="24">
        <f>+AJ13-SUM(AF13,AG13,AH13)</f>
        <v>-255</v>
      </c>
      <c r="AJ13" s="31">
        <v>1544</v>
      </c>
      <c r="AK13" s="30">
        <v>-929</v>
      </c>
      <c r="AL13" s="30">
        <v>71</v>
      </c>
      <c r="AM13" s="30">
        <v>-2798</v>
      </c>
      <c r="AN13" s="24">
        <f>+AO13-SUM(AK13,AL13,AM13)</f>
        <v>112</v>
      </c>
      <c r="AO13" s="31">
        <v>-3544</v>
      </c>
      <c r="AP13" s="30">
        <v>-212</v>
      </c>
      <c r="AQ13" s="30">
        <v>-527</v>
      </c>
      <c r="AR13" s="30">
        <v>-924</v>
      </c>
      <c r="AS13" s="24">
        <f>+AT13-SUM(AP13,AQ13,AR13)</f>
        <v>-101</v>
      </c>
      <c r="AT13" s="31">
        <v>-1764</v>
      </c>
      <c r="AU13" s="30">
        <v>151</v>
      </c>
      <c r="AV13" s="30">
        <v>-913</v>
      </c>
      <c r="AW13" s="30">
        <v>-2384</v>
      </c>
      <c r="AX13" s="24">
        <f>AX19-AX17</f>
        <v>-2267</v>
      </c>
      <c r="AY13" s="31">
        <v>-5413</v>
      </c>
      <c r="AZ13" s="30">
        <v>155</v>
      </c>
      <c r="BA13" s="30">
        <v>110</v>
      </c>
      <c r="BB13" s="30">
        <v>114</v>
      </c>
      <c r="BC13" s="24">
        <f>BC19-BC17</f>
        <v>-507</v>
      </c>
      <c r="BD13" s="31">
        <v>-128</v>
      </c>
      <c r="BE13" s="24">
        <f t="shared" ref="BE13:BG13" si="50">BE19-BE17</f>
        <v>141.1442568399579</v>
      </c>
      <c r="BF13" s="24">
        <f t="shared" si="50"/>
        <v>211.71638525993683</v>
      </c>
      <c r="BG13" s="24">
        <f t="shared" si="50"/>
        <v>211.71638525993683</v>
      </c>
      <c r="BH13" s="24">
        <f>BH19-BH17</f>
        <v>232.2395371384149</v>
      </c>
      <c r="BI13" s="25">
        <f>SUM(BE13:BH13)</f>
        <v>796.81656449824652</v>
      </c>
    </row>
    <row r="14" spans="1:63">
      <c r="A14" s="1" t="s">
        <v>4</v>
      </c>
      <c r="F14" s="36"/>
      <c r="G14" s="34"/>
      <c r="H14" s="35"/>
      <c r="I14" s="35"/>
      <c r="J14" s="35"/>
      <c r="K14" s="36"/>
      <c r="L14" s="34">
        <f t="shared" ref="L14:Z14" si="51">L13/G13-1</f>
        <v>6.1895551257253434E-2</v>
      </c>
      <c r="M14" s="35">
        <f t="shared" si="51"/>
        <v>0.69613259668508287</v>
      </c>
      <c r="N14" s="35">
        <f t="shared" si="51"/>
        <v>-0.13829787234042556</v>
      </c>
      <c r="O14" s="35">
        <f t="shared" si="51"/>
        <v>4.0152963671128195E-2</v>
      </c>
      <c r="P14" s="36">
        <f t="shared" si="51"/>
        <v>0.11546286876907419</v>
      </c>
      <c r="Q14" s="34">
        <f t="shared" si="51"/>
        <v>0.37887067395264107</v>
      </c>
      <c r="R14" s="35">
        <f t="shared" si="51"/>
        <v>-0.3876221498371335</v>
      </c>
      <c r="S14" s="35">
        <f t="shared" si="51"/>
        <v>-1.5082304526748971</v>
      </c>
      <c r="T14" s="35">
        <f t="shared" si="51"/>
        <v>0.41727941176470584</v>
      </c>
      <c r="U14" s="36">
        <f t="shared" si="51"/>
        <v>-0.2444140446876425</v>
      </c>
      <c r="V14" s="34">
        <f t="shared" si="51"/>
        <v>0.12549537648612952</v>
      </c>
      <c r="W14" s="35">
        <f t="shared" si="51"/>
        <v>1.5930851063829787</v>
      </c>
      <c r="X14" s="35">
        <f t="shared" si="51"/>
        <v>-4.0566801619433193</v>
      </c>
      <c r="Y14" s="35">
        <f t="shared" si="51"/>
        <v>-0.96627756160830092</v>
      </c>
      <c r="Z14" s="36">
        <f t="shared" si="51"/>
        <v>0.57392878696439342</v>
      </c>
      <c r="AA14" s="34">
        <f t="shared" ref="AA14:AH14" si="52">AA13/V13-1</f>
        <v>-1.2241784037558685</v>
      </c>
      <c r="AB14" s="34">
        <f t="shared" si="52"/>
        <v>-0.38461538461538458</v>
      </c>
      <c r="AC14" s="34">
        <f t="shared" si="52"/>
        <v>-0.16821192052980127</v>
      </c>
      <c r="AD14" s="35">
        <f>AD13/Y13-1</f>
        <v>18.307692307692307</v>
      </c>
      <c r="AE14" s="36">
        <f>AE13/Z13-1</f>
        <v>-0.40989263803680986</v>
      </c>
      <c r="AF14" s="34">
        <f>AF13/AA13-1</f>
        <v>-3.1204188481675392</v>
      </c>
      <c r="AG14" s="34">
        <f t="shared" si="52"/>
        <v>0.59666666666666668</v>
      </c>
      <c r="AH14" s="34">
        <f t="shared" si="52"/>
        <v>-0.30573248407643316</v>
      </c>
      <c r="AI14" s="35">
        <f t="shared" ref="AI14:AR14" si="53">AI13/AD13-1</f>
        <v>-1.5079681274900398</v>
      </c>
      <c r="AJ14" s="36">
        <f t="shared" si="53"/>
        <v>3.2488628979856493E-3</v>
      </c>
      <c r="AK14" s="34">
        <f t="shared" si="53"/>
        <v>-3.293827160493827</v>
      </c>
      <c r="AL14" s="34">
        <f t="shared" si="53"/>
        <v>-0.92588726513569941</v>
      </c>
      <c r="AM14" s="34">
        <f t="shared" si="53"/>
        <v>-7.4174311926605503</v>
      </c>
      <c r="AN14" s="35">
        <f t="shared" ref="AN14" si="54">AN13/AI13-1</f>
        <v>-1.4392156862745098</v>
      </c>
      <c r="AO14" s="36">
        <f t="shared" ref="AO14" si="55">AO13/AJ13-1</f>
        <v>-3.295336787564767</v>
      </c>
      <c r="AP14" s="34">
        <f t="shared" si="53"/>
        <v>-0.7717976318622175</v>
      </c>
      <c r="AQ14" s="34">
        <f t="shared" si="53"/>
        <v>-8.422535211267606</v>
      </c>
      <c r="AR14" s="34">
        <f t="shared" si="53"/>
        <v>-0.66976411722659046</v>
      </c>
      <c r="AS14" s="35">
        <f t="shared" ref="AS14" si="56">AS13/AN13-1</f>
        <v>-1.9017857142857144</v>
      </c>
      <c r="AT14" s="36">
        <f t="shared" ref="AT14:BB14" si="57">AT13/AO13-1</f>
        <v>-0.50225733634311509</v>
      </c>
      <c r="AU14" s="34">
        <f t="shared" si="57"/>
        <v>-1.7122641509433962</v>
      </c>
      <c r="AV14" s="34">
        <f t="shared" si="57"/>
        <v>0.73244781783681212</v>
      </c>
      <c r="AW14" s="34">
        <f t="shared" si="57"/>
        <v>1.5800865800865802</v>
      </c>
      <c r="AX14" s="35">
        <f t="shared" ref="AX14" si="58">AX13/AS13-1</f>
        <v>21.445544554455445</v>
      </c>
      <c r="AY14" s="36">
        <f t="shared" si="57"/>
        <v>2.06859410430839</v>
      </c>
      <c r="AZ14" s="34">
        <f t="shared" si="57"/>
        <v>2.6490066225165476E-2</v>
      </c>
      <c r="BA14" s="34">
        <f t="shared" si="57"/>
        <v>-1.1204819277108433</v>
      </c>
      <c r="BB14" s="34">
        <f t="shared" si="57"/>
        <v>-1.0478187919463087</v>
      </c>
      <c r="BC14" s="35">
        <f t="shared" ref="BC14" si="59">BC13/AX13-1</f>
        <v>-0.77635641817379797</v>
      </c>
      <c r="BD14" s="36">
        <f t="shared" ref="BD14" si="60">BD13/AY13-1</f>
        <v>-0.97635322372067246</v>
      </c>
      <c r="BE14" s="35">
        <f t="shared" ref="BE14:BG14" si="61">BE13/AZ13-1</f>
        <v>-8.9391891355110276E-2</v>
      </c>
      <c r="BF14" s="35">
        <f t="shared" si="61"/>
        <v>0.92469441145397124</v>
      </c>
      <c r="BG14" s="35">
        <f t="shared" si="61"/>
        <v>0.85716127420997212</v>
      </c>
      <c r="BH14" s="35">
        <f t="shared" ref="BH14" si="62">BH13/BC13-1</f>
        <v>-1.4580661482020019</v>
      </c>
      <c r="BI14" s="36">
        <f t="shared" ref="BI14" si="63">BI13/BD13-1</f>
        <v>-7.2251294101425509</v>
      </c>
    </row>
    <row r="15" spans="1:63">
      <c r="A15" s="1" t="s">
        <v>212</v>
      </c>
      <c r="B15" s="34"/>
      <c r="C15" s="35"/>
      <c r="D15" s="35"/>
      <c r="E15" s="35"/>
      <c r="F15" s="36"/>
      <c r="G15" s="34">
        <f t="shared" ref="G15:AA15" si="64">G13/G3</f>
        <v>8.4256844850065182E-2</v>
      </c>
      <c r="H15" s="35">
        <f t="shared" si="64"/>
        <v>6.7111605487578788E-2</v>
      </c>
      <c r="I15" s="35">
        <f t="shared" si="64"/>
        <v>9.80699008868023E-2</v>
      </c>
      <c r="J15" s="35">
        <f t="shared" si="64"/>
        <v>9.9015524422567211E-2</v>
      </c>
      <c r="K15" s="36">
        <f t="shared" si="64"/>
        <v>8.7133803129016529E-2</v>
      </c>
      <c r="L15" s="34">
        <f t="shared" si="64"/>
        <v>0.10739436619718309</v>
      </c>
      <c r="M15" s="35">
        <f t="shared" si="64"/>
        <v>0.11940879035394789</v>
      </c>
      <c r="N15" s="35">
        <f t="shared" si="64"/>
        <v>9.623762376237624E-2</v>
      </c>
      <c r="O15" s="35">
        <f t="shared" si="64"/>
        <v>0.10348107285524064</v>
      </c>
      <c r="P15" s="36">
        <f t="shared" si="64"/>
        <v>0.10665823646709791</v>
      </c>
      <c r="Q15" s="34">
        <f t="shared" si="64"/>
        <v>0.11680296250578615</v>
      </c>
      <c r="R15" s="35">
        <f t="shared" si="64"/>
        <v>6.163934426229508E-2</v>
      </c>
      <c r="S15" s="35">
        <f t="shared" si="64"/>
        <v>-3.5606169814040654E-2</v>
      </c>
      <c r="T15" s="35">
        <f t="shared" si="64"/>
        <v>0.11216176898457958</v>
      </c>
      <c r="U15" s="36">
        <f t="shared" si="64"/>
        <v>6.278417702334041E-2</v>
      </c>
      <c r="V15" s="34">
        <f t="shared" si="64"/>
        <v>0.12934568088659482</v>
      </c>
      <c r="W15" s="35">
        <f t="shared" si="64"/>
        <v>0.14745916515426497</v>
      </c>
      <c r="X15" s="35">
        <f t="shared" si="64"/>
        <v>0.10721385969894916</v>
      </c>
      <c r="Y15" s="35">
        <f t="shared" si="64"/>
        <v>4.3434680922151683E-3</v>
      </c>
      <c r="Z15" s="36">
        <f t="shared" si="64"/>
        <v>9.9439508903038848E-2</v>
      </c>
      <c r="AA15" s="34">
        <f t="shared" si="64"/>
        <v>-3.1612048990400529E-2</v>
      </c>
      <c r="AB15" s="34">
        <f t="shared" ref="AB15:AM15" si="65">AB13/AB3</f>
        <v>9.107468123861566E-2</v>
      </c>
      <c r="AC15" s="34">
        <f t="shared" si="65"/>
        <v>9.1705607476635517E-2</v>
      </c>
      <c r="AD15" s="35">
        <f t="shared" si="65"/>
        <v>7.4052220091458912E-2</v>
      </c>
      <c r="AE15" s="36">
        <f t="shared" si="65"/>
        <v>5.8612941310888525E-2</v>
      </c>
      <c r="AF15" s="34">
        <f t="shared" si="65"/>
        <v>5.6367432150313153E-2</v>
      </c>
      <c r="AG15" s="34">
        <f t="shared" si="65"/>
        <v>0.13932518906340896</v>
      </c>
      <c r="AH15" s="34">
        <f t="shared" si="65"/>
        <v>6.5890887108961765E-2</v>
      </c>
      <c r="AI15" s="35">
        <f t="shared" si="65"/>
        <v>-4.3500511770726717E-2</v>
      </c>
      <c r="AJ15" s="36">
        <f t="shared" si="65"/>
        <v>5.8176337603617179E-2</v>
      </c>
      <c r="AK15" s="34">
        <f t="shared" si="65"/>
        <v>-0.16943279226700711</v>
      </c>
      <c r="AL15" s="34">
        <f t="shared" si="65"/>
        <v>1.1468260377968019E-2</v>
      </c>
      <c r="AM15" s="34">
        <f t="shared" si="65"/>
        <v>-0.52722818918409653</v>
      </c>
      <c r="AN15" s="35">
        <f t="shared" ref="AN15:AR15" si="66">AN13/AN3</f>
        <v>1.8120045300113252E-2</v>
      </c>
      <c r="AO15" s="36">
        <f t="shared" si="66"/>
        <v>-0.15300923927122009</v>
      </c>
      <c r="AP15" s="34">
        <f t="shared" si="66"/>
        <v>-3.2420859458632816E-2</v>
      </c>
      <c r="AQ15" s="34">
        <f t="shared" si="66"/>
        <v>-8.5454840278903849E-2</v>
      </c>
      <c r="AR15" s="34">
        <f t="shared" si="66"/>
        <v>-0.16858237547892721</v>
      </c>
      <c r="AS15" s="35">
        <f t="shared" ref="AS15:AW15" si="67">AS13/AS3</f>
        <v>-1.4971835161577232E-2</v>
      </c>
      <c r="AT15" s="36">
        <f t="shared" si="67"/>
        <v>-7.0749608951991338E-2</v>
      </c>
      <c r="AU15" s="34">
        <f t="shared" si="67"/>
        <v>2.172661870503597E-2</v>
      </c>
      <c r="AV15" s="34">
        <f t="shared" si="67"/>
        <v>-0.15163594087360904</v>
      </c>
      <c r="AW15" s="34">
        <f t="shared" si="67"/>
        <v>-0.430635838150289</v>
      </c>
      <c r="AX15" s="35">
        <f t="shared" ref="AX15:BB15" si="68">AX13/AX3</f>
        <v>-0.41896137497689889</v>
      </c>
      <c r="AY15" s="36">
        <f t="shared" si="68"/>
        <v>-0.22631490927335063</v>
      </c>
      <c r="AZ15" s="34">
        <f t="shared" si="68"/>
        <v>2.461098761511591E-2</v>
      </c>
      <c r="BA15" s="34">
        <f t="shared" si="68"/>
        <v>1.6623847665105034E-2</v>
      </c>
      <c r="BB15" s="34">
        <f t="shared" si="68"/>
        <v>1.65169516082295E-2</v>
      </c>
      <c r="BC15" s="35">
        <f t="shared" ref="BC15:BD15" si="69">BC13/BC3</f>
        <v>-6.8356478360523124E-2</v>
      </c>
      <c r="BD15" s="36">
        <f t="shared" si="69"/>
        <v>-4.700007343761475E-3</v>
      </c>
      <c r="BE15" s="35">
        <f t="shared" ref="BE15:BG15" si="70">BE13/BE3</f>
        <v>2.0000000000000004E-2</v>
      </c>
      <c r="BF15" s="35">
        <f t="shared" si="70"/>
        <v>0.03</v>
      </c>
      <c r="BG15" s="35">
        <f t="shared" si="70"/>
        <v>0.03</v>
      </c>
      <c r="BH15" s="35">
        <f t="shared" ref="BH15:BI15" si="71">BH13/BH3</f>
        <v>3.2908110090763248E-2</v>
      </c>
      <c r="BI15" s="36">
        <f t="shared" si="71"/>
        <v>2.8227027522690816E-2</v>
      </c>
    </row>
    <row r="16" spans="1:63">
      <c r="F16" s="27"/>
      <c r="K16" s="27"/>
      <c r="P16" s="27"/>
      <c r="U16" s="27"/>
      <c r="Z16" s="27"/>
      <c r="AE16" s="27"/>
      <c r="AJ16" s="27"/>
      <c r="AO16" s="27"/>
      <c r="AT16" s="27"/>
      <c r="AY16" s="27"/>
      <c r="BD16" s="27"/>
      <c r="BI16" s="27"/>
    </row>
    <row r="17" spans="1:63">
      <c r="A17" t="s">
        <v>221</v>
      </c>
      <c r="B17" s="19"/>
      <c r="C17" s="19"/>
      <c r="D17" s="19"/>
      <c r="E17" s="20"/>
      <c r="F17" s="21"/>
      <c r="G17" s="19">
        <v>0</v>
      </c>
      <c r="H17" s="19">
        <v>0</v>
      </c>
      <c r="I17" s="19">
        <v>0</v>
      </c>
      <c r="J17" s="20">
        <f>+K17-SUM(G17,H17,I17)</f>
        <v>0</v>
      </c>
      <c r="K17" s="21">
        <v>0</v>
      </c>
      <c r="L17" s="19">
        <v>0</v>
      </c>
      <c r="M17" s="19">
        <v>0</v>
      </c>
      <c r="N17" s="19">
        <v>0</v>
      </c>
      <c r="O17" s="20">
        <f>+P17-SUM(L17,M17,N17)</f>
        <v>0</v>
      </c>
      <c r="P17" s="21">
        <v>0</v>
      </c>
      <c r="Q17" s="19">
        <v>0</v>
      </c>
      <c r="R17" s="19">
        <v>0</v>
      </c>
      <c r="S17" s="19">
        <v>0</v>
      </c>
      <c r="T17" s="20">
        <f>+U17-SUM(Q17,R17,S17)</f>
        <v>0</v>
      </c>
      <c r="U17" s="21">
        <v>0</v>
      </c>
      <c r="V17" s="19">
        <v>0</v>
      </c>
      <c r="W17" s="19">
        <v>0</v>
      </c>
      <c r="X17" s="19">
        <v>0</v>
      </c>
      <c r="Y17" s="20">
        <f>+Z17-SUM(V17,W17,X17)</f>
        <v>0</v>
      </c>
      <c r="Z17" s="21">
        <v>0</v>
      </c>
      <c r="AA17" s="19">
        <v>0</v>
      </c>
      <c r="AB17" s="19">
        <v>0</v>
      </c>
      <c r="AC17" s="19">
        <v>0</v>
      </c>
      <c r="AD17" s="20">
        <f>+AE17-SUM(AA17,AB17,AC17)</f>
        <v>0</v>
      </c>
      <c r="AE17" s="21">
        <v>0</v>
      </c>
      <c r="AF17" s="19">
        <v>0</v>
      </c>
      <c r="AG17" s="19">
        <v>0</v>
      </c>
      <c r="AH17" s="41">
        <v>0</v>
      </c>
      <c r="AI17" s="19">
        <v>0</v>
      </c>
      <c r="AJ17" s="21">
        <v>0</v>
      </c>
      <c r="AK17" s="19">
        <v>0</v>
      </c>
      <c r="AL17" s="19">
        <v>0</v>
      </c>
      <c r="AM17" s="41">
        <v>0</v>
      </c>
      <c r="AN17" s="19">
        <v>0</v>
      </c>
      <c r="AO17" s="21">
        <v>0</v>
      </c>
      <c r="AP17" s="19">
        <v>0</v>
      </c>
      <c r="AQ17" s="19">
        <v>0</v>
      </c>
      <c r="AR17" s="41">
        <v>0</v>
      </c>
      <c r="AS17" s="19">
        <v>0</v>
      </c>
      <c r="AT17" s="21">
        <v>0</v>
      </c>
      <c r="AU17" s="19">
        <v>0</v>
      </c>
      <c r="AV17" s="19">
        <v>0</v>
      </c>
      <c r="AW17" s="41">
        <v>0</v>
      </c>
      <c r="AX17" s="41">
        <v>0</v>
      </c>
      <c r="AY17" s="21">
        <v>0</v>
      </c>
      <c r="AZ17" s="19">
        <v>0</v>
      </c>
      <c r="BA17" s="19">
        <v>0</v>
      </c>
      <c r="BB17" s="41">
        <v>0</v>
      </c>
      <c r="BC17" s="41">
        <v>0</v>
      </c>
      <c r="BD17" s="21">
        <v>0</v>
      </c>
      <c r="BE17" s="41">
        <v>0</v>
      </c>
      <c r="BF17" s="41">
        <v>0</v>
      </c>
      <c r="BG17" s="41">
        <v>0</v>
      </c>
      <c r="BH17" s="41">
        <v>0</v>
      </c>
      <c r="BI17" s="23">
        <f>SUM(BE17:BH17)</f>
        <v>0</v>
      </c>
    </row>
    <row r="18" spans="1:63">
      <c r="F18" s="27"/>
      <c r="K18" s="27"/>
      <c r="P18" s="27"/>
      <c r="U18" s="27"/>
      <c r="Z18" s="27"/>
      <c r="AE18" s="27"/>
      <c r="AJ18" s="27"/>
      <c r="AO18" s="27"/>
      <c r="AT18" s="27"/>
      <c r="AY18" s="27"/>
      <c r="BD18" s="27"/>
      <c r="BI18" s="27"/>
    </row>
    <row r="19" spans="1:63">
      <c r="A19" s="9" t="s">
        <v>210</v>
      </c>
      <c r="B19" s="24"/>
      <c r="C19" s="24"/>
      <c r="D19" s="71"/>
      <c r="E19" s="24"/>
      <c r="F19" s="178"/>
      <c r="G19" s="24">
        <f t="shared" ref="G19:AA19" si="72">G13+G17</f>
        <v>517</v>
      </c>
      <c r="H19" s="24">
        <f t="shared" si="72"/>
        <v>362</v>
      </c>
      <c r="I19" s="24">
        <f t="shared" si="72"/>
        <v>564</v>
      </c>
      <c r="J19" s="24">
        <f>+K19-SUM(G19,H19,I19)</f>
        <v>523</v>
      </c>
      <c r="K19" s="25">
        <f t="shared" si="72"/>
        <v>1966</v>
      </c>
      <c r="L19" s="24">
        <f t="shared" si="72"/>
        <v>549</v>
      </c>
      <c r="M19" s="24">
        <f t="shared" si="72"/>
        <v>614</v>
      </c>
      <c r="N19" s="24">
        <f t="shared" si="72"/>
        <v>486</v>
      </c>
      <c r="O19" s="24">
        <f>+P19-SUM(L19,M19,N19)</f>
        <v>544</v>
      </c>
      <c r="P19" s="25">
        <f t="shared" si="72"/>
        <v>2193</v>
      </c>
      <c r="Q19" s="24">
        <f t="shared" si="72"/>
        <v>757</v>
      </c>
      <c r="R19" s="24">
        <f t="shared" si="72"/>
        <v>376</v>
      </c>
      <c r="S19" s="24">
        <f t="shared" si="72"/>
        <v>-247</v>
      </c>
      <c r="T19" s="24">
        <f>+U19-SUM(Q19,R19,S19)</f>
        <v>771</v>
      </c>
      <c r="U19" s="25">
        <f t="shared" si="72"/>
        <v>1657</v>
      </c>
      <c r="V19" s="24">
        <f t="shared" si="72"/>
        <v>852</v>
      </c>
      <c r="W19" s="24">
        <f t="shared" si="72"/>
        <v>975</v>
      </c>
      <c r="X19" s="24">
        <f t="shared" si="72"/>
        <v>755</v>
      </c>
      <c r="Y19" s="24">
        <f>+Z19-SUM(V19,W19,X19)</f>
        <v>26</v>
      </c>
      <c r="Z19" s="25">
        <f t="shared" si="72"/>
        <v>2608</v>
      </c>
      <c r="AA19" s="24">
        <f t="shared" si="72"/>
        <v>-191</v>
      </c>
      <c r="AB19" s="24">
        <f>AB13+AB17</f>
        <v>600</v>
      </c>
      <c r="AC19" s="24">
        <f>AC13+AC17</f>
        <v>628</v>
      </c>
      <c r="AD19" s="24">
        <f>+AE19-SUM(AA19,AB19,AC19)</f>
        <v>502</v>
      </c>
      <c r="AE19" s="25">
        <f>AE13+AE17</f>
        <v>1539</v>
      </c>
      <c r="AF19" s="24">
        <f>AF13+AF17</f>
        <v>405</v>
      </c>
      <c r="AG19" s="24">
        <f>AG13+AG17</f>
        <v>958</v>
      </c>
      <c r="AH19" s="24">
        <f>AH13+AH17</f>
        <v>436</v>
      </c>
      <c r="AI19" s="24">
        <f>+AJ19-SUM(AF19,AG19,AH19)</f>
        <v>-255</v>
      </c>
      <c r="AJ19" s="25">
        <f>AJ13+AJ17</f>
        <v>1544</v>
      </c>
      <c r="AK19" s="24">
        <f>AK13+AK17</f>
        <v>-929</v>
      </c>
      <c r="AL19" s="24">
        <f>AL13+AL17</f>
        <v>71</v>
      </c>
      <c r="AM19" s="24">
        <f>AM13+AM17</f>
        <v>-2798</v>
      </c>
      <c r="AN19" s="24">
        <f>+AO19-SUM(AK19,AL19,AM19)</f>
        <v>112</v>
      </c>
      <c r="AO19" s="25">
        <f>AO13+AO17</f>
        <v>-3544</v>
      </c>
      <c r="AP19" s="24">
        <f>AP13+AP17</f>
        <v>-212</v>
      </c>
      <c r="AQ19" s="24">
        <f>AQ13+AQ17</f>
        <v>-527</v>
      </c>
      <c r="AR19" s="24">
        <f>AR13+AR17</f>
        <v>-924</v>
      </c>
      <c r="AS19" s="24">
        <f>+AT19-SUM(AP19,AQ19,AR19)</f>
        <v>-101</v>
      </c>
      <c r="AT19" s="25">
        <f>AT13+AT17</f>
        <v>-1764</v>
      </c>
      <c r="AU19" s="24">
        <f>AU13+AU17</f>
        <v>151</v>
      </c>
      <c r="AV19" s="24">
        <f>AV13+AV17</f>
        <v>-913</v>
      </c>
      <c r="AW19" s="24">
        <f>AW13+AW17</f>
        <v>-2384</v>
      </c>
      <c r="AX19" s="24">
        <f>AY19-SUM(AU19:AW19)</f>
        <v>-2267</v>
      </c>
      <c r="AY19" s="25">
        <f>AY13+AY17</f>
        <v>-5413</v>
      </c>
      <c r="AZ19" s="24">
        <f>AZ13+AZ17</f>
        <v>155</v>
      </c>
      <c r="BA19" s="24">
        <f>BA13+BA17</f>
        <v>110</v>
      </c>
      <c r="BB19" s="24">
        <f>BB13+BB17</f>
        <v>114</v>
      </c>
      <c r="BC19" s="24">
        <f>BD19-SUM(AZ19:BB19)</f>
        <v>-507</v>
      </c>
      <c r="BD19" s="25">
        <f>BD13+BD17</f>
        <v>-128</v>
      </c>
      <c r="BE19" s="24">
        <f>BE3*BE22</f>
        <v>141.1442568399579</v>
      </c>
      <c r="BF19" s="24">
        <f>BF3*BF22</f>
        <v>211.71638525993683</v>
      </c>
      <c r="BG19" s="24">
        <f>BG3*BG22</f>
        <v>211.71638525993683</v>
      </c>
      <c r="BH19" s="24">
        <f>BI19-SUM(BE19:BG19)</f>
        <v>232.2395371384149</v>
      </c>
      <c r="BI19" s="178">
        <f>BDS_Driver_Annual!AB67</f>
        <v>796.81656449824652</v>
      </c>
    </row>
    <row r="20" spans="1:63">
      <c r="A20" s="1" t="s">
        <v>4</v>
      </c>
      <c r="B20" s="34"/>
      <c r="C20" s="35"/>
      <c r="D20" s="35"/>
      <c r="E20" s="35"/>
      <c r="F20" s="36"/>
      <c r="G20" s="34"/>
      <c r="H20" s="35"/>
      <c r="I20" s="35"/>
      <c r="J20" s="35"/>
      <c r="K20" s="36"/>
      <c r="L20" s="34">
        <f t="shared" ref="L20:AC20" si="73">L19/G19-1</f>
        <v>6.1895551257253434E-2</v>
      </c>
      <c r="M20" s="35">
        <f t="shared" si="73"/>
        <v>0.69613259668508287</v>
      </c>
      <c r="N20" s="35">
        <f t="shared" si="73"/>
        <v>-0.13829787234042556</v>
      </c>
      <c r="O20" s="35">
        <f t="shared" si="73"/>
        <v>4.0152963671128195E-2</v>
      </c>
      <c r="P20" s="36">
        <f t="shared" si="73"/>
        <v>0.11546286876907419</v>
      </c>
      <c r="Q20" s="34">
        <f t="shared" si="73"/>
        <v>0.37887067395264107</v>
      </c>
      <c r="R20" s="35">
        <f t="shared" si="73"/>
        <v>-0.3876221498371335</v>
      </c>
      <c r="S20" s="35">
        <f t="shared" si="73"/>
        <v>-1.5082304526748971</v>
      </c>
      <c r="T20" s="35">
        <f t="shared" si="73"/>
        <v>0.41727941176470584</v>
      </c>
      <c r="U20" s="36">
        <f t="shared" si="73"/>
        <v>-0.2444140446876425</v>
      </c>
      <c r="V20" s="34">
        <f t="shared" si="73"/>
        <v>0.12549537648612952</v>
      </c>
      <c r="W20" s="35">
        <f t="shared" si="73"/>
        <v>1.5930851063829787</v>
      </c>
      <c r="X20" s="35">
        <f t="shared" si="73"/>
        <v>-4.0566801619433193</v>
      </c>
      <c r="Y20" s="35">
        <f t="shared" si="73"/>
        <v>-0.96627756160830092</v>
      </c>
      <c r="Z20" s="36">
        <f t="shared" si="73"/>
        <v>0.57392878696439342</v>
      </c>
      <c r="AA20" s="34">
        <f t="shared" si="73"/>
        <v>-1.2241784037558685</v>
      </c>
      <c r="AB20" s="34">
        <f t="shared" si="73"/>
        <v>-0.38461538461538458</v>
      </c>
      <c r="AC20" s="34">
        <f t="shared" si="73"/>
        <v>-0.16821192052980127</v>
      </c>
      <c r="AD20" s="35">
        <f t="shared" ref="AD20:AR20" si="74">AD19/Y19-1</f>
        <v>18.307692307692307</v>
      </c>
      <c r="AE20" s="36">
        <f t="shared" si="74"/>
        <v>-0.40989263803680986</v>
      </c>
      <c r="AF20" s="34">
        <f t="shared" si="74"/>
        <v>-3.1204188481675392</v>
      </c>
      <c r="AG20" s="34">
        <f t="shared" si="74"/>
        <v>0.59666666666666668</v>
      </c>
      <c r="AH20" s="34">
        <f t="shared" si="74"/>
        <v>-0.30573248407643316</v>
      </c>
      <c r="AI20" s="35">
        <f t="shared" si="74"/>
        <v>-1.5079681274900398</v>
      </c>
      <c r="AJ20" s="36">
        <f t="shared" si="74"/>
        <v>3.2488628979856493E-3</v>
      </c>
      <c r="AK20" s="34">
        <f t="shared" si="74"/>
        <v>-3.293827160493827</v>
      </c>
      <c r="AL20" s="34">
        <f t="shared" si="74"/>
        <v>-0.92588726513569941</v>
      </c>
      <c r="AM20" s="34">
        <f t="shared" si="74"/>
        <v>-7.4174311926605503</v>
      </c>
      <c r="AN20" s="35">
        <f t="shared" ref="AN20" si="75">AN19/AI19-1</f>
        <v>-1.4392156862745098</v>
      </c>
      <c r="AO20" s="36">
        <f t="shared" ref="AO20" si="76">AO19/AJ19-1</f>
        <v>-3.295336787564767</v>
      </c>
      <c r="AP20" s="34">
        <f t="shared" si="74"/>
        <v>-0.7717976318622175</v>
      </c>
      <c r="AQ20" s="34">
        <f t="shared" si="74"/>
        <v>-8.422535211267606</v>
      </c>
      <c r="AR20" s="34">
        <f t="shared" si="74"/>
        <v>-0.66976411722659046</v>
      </c>
      <c r="AS20" s="35">
        <f t="shared" ref="AS20" si="77">AS19/AN19-1</f>
        <v>-1.9017857142857144</v>
      </c>
      <c r="AT20" s="36">
        <f t="shared" ref="AT20:BB20" si="78">AT19/AO19-1</f>
        <v>-0.50225733634311509</v>
      </c>
      <c r="AU20" s="34">
        <f t="shared" si="78"/>
        <v>-1.7122641509433962</v>
      </c>
      <c r="AV20" s="34">
        <f t="shared" si="78"/>
        <v>0.73244781783681212</v>
      </c>
      <c r="AW20" s="34">
        <f t="shared" si="78"/>
        <v>1.5800865800865802</v>
      </c>
      <c r="AX20" s="35">
        <f t="shared" ref="AX20" si="79">AX19/AS19-1</f>
        <v>21.445544554455445</v>
      </c>
      <c r="AY20" s="36">
        <f t="shared" si="78"/>
        <v>2.06859410430839</v>
      </c>
      <c r="AZ20" s="34">
        <f t="shared" si="78"/>
        <v>2.6490066225165476E-2</v>
      </c>
      <c r="BA20" s="34">
        <f t="shared" si="78"/>
        <v>-1.1204819277108433</v>
      </c>
      <c r="BB20" s="34">
        <f t="shared" si="78"/>
        <v>-1.0478187919463087</v>
      </c>
      <c r="BC20" s="35">
        <f t="shared" ref="BC20" si="80">BC19/AX19-1</f>
        <v>-0.77635641817379797</v>
      </c>
      <c r="BD20" s="36">
        <f t="shared" ref="BD20" si="81">BD19/AY19-1</f>
        <v>-0.97635322372067246</v>
      </c>
      <c r="BE20" s="34">
        <f t="shared" ref="BE20:BG20" si="82">BE19/AZ19-1</f>
        <v>-8.9391891355110276E-2</v>
      </c>
      <c r="BF20" s="34">
        <f t="shared" si="82"/>
        <v>0.92469441145397124</v>
      </c>
      <c r="BG20" s="34">
        <f t="shared" si="82"/>
        <v>0.85716127420997212</v>
      </c>
      <c r="BH20" s="35">
        <f t="shared" ref="BH20" si="83">BH19/BC19-1</f>
        <v>-1.4580661482020019</v>
      </c>
      <c r="BI20" s="36">
        <f t="shared" ref="BI20" si="84">BI19/BD19-1</f>
        <v>-7.2251294101425509</v>
      </c>
    </row>
    <row r="21" spans="1:63">
      <c r="F21" s="27"/>
      <c r="K21" s="27"/>
      <c r="P21" s="27"/>
      <c r="U21" s="27"/>
      <c r="Z21" s="27"/>
      <c r="AE21" s="27"/>
      <c r="AJ21" s="27"/>
      <c r="AO21" s="27"/>
      <c r="AT21" s="27"/>
      <c r="AY21" s="27"/>
      <c r="BD21" s="27"/>
      <c r="BI21" s="27"/>
    </row>
    <row r="22" spans="1:63" s="5" customFormat="1">
      <c r="A22" s="9" t="s">
        <v>211</v>
      </c>
      <c r="B22" s="118"/>
      <c r="C22" s="118"/>
      <c r="D22" s="118"/>
      <c r="E22" s="118"/>
      <c r="F22" s="119"/>
      <c r="G22" s="118">
        <f t="shared" ref="G22:AA22" si="85">+G19/G3</f>
        <v>8.4256844850065182E-2</v>
      </c>
      <c r="H22" s="118">
        <f t="shared" si="85"/>
        <v>6.7111605487578788E-2</v>
      </c>
      <c r="I22" s="118">
        <f t="shared" si="85"/>
        <v>9.80699008868023E-2</v>
      </c>
      <c r="J22" s="118">
        <f t="shared" si="85"/>
        <v>9.9015524422567211E-2</v>
      </c>
      <c r="K22" s="119">
        <f t="shared" si="85"/>
        <v>8.7133803129016529E-2</v>
      </c>
      <c r="L22" s="118">
        <f t="shared" si="85"/>
        <v>0.10739436619718309</v>
      </c>
      <c r="M22" s="118">
        <f t="shared" si="85"/>
        <v>0.11940879035394789</v>
      </c>
      <c r="N22" s="118">
        <f t="shared" si="85"/>
        <v>9.623762376237624E-2</v>
      </c>
      <c r="O22" s="118">
        <f t="shared" si="85"/>
        <v>0.10348107285524064</v>
      </c>
      <c r="P22" s="119">
        <f t="shared" si="85"/>
        <v>0.10665823646709791</v>
      </c>
      <c r="Q22" s="118">
        <f t="shared" si="85"/>
        <v>0.11680296250578615</v>
      </c>
      <c r="R22" s="118">
        <f t="shared" si="85"/>
        <v>6.163934426229508E-2</v>
      </c>
      <c r="S22" s="118">
        <f t="shared" si="85"/>
        <v>-3.5606169814040654E-2</v>
      </c>
      <c r="T22" s="118">
        <f t="shared" si="85"/>
        <v>0.11216176898457958</v>
      </c>
      <c r="U22" s="119">
        <f t="shared" si="85"/>
        <v>6.278417702334041E-2</v>
      </c>
      <c r="V22" s="118">
        <f t="shared" si="85"/>
        <v>0.12934568088659482</v>
      </c>
      <c r="W22" s="118">
        <f t="shared" si="85"/>
        <v>0.14745916515426497</v>
      </c>
      <c r="X22" s="118">
        <f t="shared" si="85"/>
        <v>0.10721385969894916</v>
      </c>
      <c r="Y22" s="118">
        <f t="shared" si="85"/>
        <v>4.3434680922151683E-3</v>
      </c>
      <c r="Z22" s="119">
        <f t="shared" si="85"/>
        <v>9.9439508903038848E-2</v>
      </c>
      <c r="AA22" s="118">
        <f t="shared" si="85"/>
        <v>-3.1612048990400529E-2</v>
      </c>
      <c r="AB22" s="118">
        <f t="shared" ref="AB22:AM22" si="86">+AB19/AB3</f>
        <v>9.107468123861566E-2</v>
      </c>
      <c r="AC22" s="118">
        <f t="shared" si="86"/>
        <v>9.1705607476635517E-2</v>
      </c>
      <c r="AD22" s="118">
        <f t="shared" si="86"/>
        <v>7.4052220091458912E-2</v>
      </c>
      <c r="AE22" s="119">
        <f t="shared" si="86"/>
        <v>5.8612941310888525E-2</v>
      </c>
      <c r="AF22" s="118">
        <f t="shared" si="86"/>
        <v>5.6367432150313153E-2</v>
      </c>
      <c r="AG22" s="118">
        <f t="shared" si="86"/>
        <v>0.13932518906340896</v>
      </c>
      <c r="AH22" s="118">
        <f t="shared" si="86"/>
        <v>6.5890887108961765E-2</v>
      </c>
      <c r="AI22" s="118">
        <f t="shared" si="86"/>
        <v>-4.3500511770726717E-2</v>
      </c>
      <c r="AJ22" s="119">
        <f t="shared" si="86"/>
        <v>5.8176337603617179E-2</v>
      </c>
      <c r="AK22" s="118">
        <f t="shared" si="86"/>
        <v>-0.16943279226700711</v>
      </c>
      <c r="AL22" s="118">
        <f t="shared" si="86"/>
        <v>1.1468260377968019E-2</v>
      </c>
      <c r="AM22" s="118">
        <f t="shared" si="86"/>
        <v>-0.52722818918409653</v>
      </c>
      <c r="AN22" s="118">
        <f t="shared" ref="AN22:AR22" si="87">+AN19/AN3</f>
        <v>1.8120045300113252E-2</v>
      </c>
      <c r="AO22" s="119">
        <f t="shared" si="87"/>
        <v>-0.15300923927122009</v>
      </c>
      <c r="AP22" s="118">
        <f t="shared" si="87"/>
        <v>-3.2420859458632816E-2</v>
      </c>
      <c r="AQ22" s="118">
        <f t="shared" si="87"/>
        <v>-8.5454840278903849E-2</v>
      </c>
      <c r="AR22" s="118">
        <f t="shared" si="87"/>
        <v>-0.16858237547892721</v>
      </c>
      <c r="AS22" s="118">
        <f t="shared" ref="AS22:AW22" si="88">+AS19/AS3</f>
        <v>-1.4971835161577232E-2</v>
      </c>
      <c r="AT22" s="119">
        <f t="shared" si="88"/>
        <v>-7.0749608951991338E-2</v>
      </c>
      <c r="AU22" s="118">
        <f t="shared" si="88"/>
        <v>2.172661870503597E-2</v>
      </c>
      <c r="AV22" s="118">
        <f t="shared" si="88"/>
        <v>-0.15163594087360904</v>
      </c>
      <c r="AW22" s="118">
        <f t="shared" si="88"/>
        <v>-0.430635838150289</v>
      </c>
      <c r="AX22" s="118">
        <f t="shared" ref="AX22:BB22" si="89">+AX19/AX3</f>
        <v>-0.41896137497689889</v>
      </c>
      <c r="AY22" s="119">
        <f t="shared" si="89"/>
        <v>-0.22631490927335063</v>
      </c>
      <c r="AZ22" s="118">
        <f t="shared" si="89"/>
        <v>2.461098761511591E-2</v>
      </c>
      <c r="BA22" s="118">
        <f t="shared" si="89"/>
        <v>1.6623847665105034E-2</v>
      </c>
      <c r="BB22" s="118">
        <f t="shared" si="89"/>
        <v>1.65169516082295E-2</v>
      </c>
      <c r="BC22" s="118">
        <f t="shared" ref="BC22:BD22" si="90">+BC19/BC3</f>
        <v>-6.8356478360523124E-2</v>
      </c>
      <c r="BD22" s="119">
        <f t="shared" si="90"/>
        <v>-4.700007343761475E-3</v>
      </c>
      <c r="BE22" s="192">
        <v>0.02</v>
      </c>
      <c r="BF22" s="192">
        <v>0.03</v>
      </c>
      <c r="BG22" s="192">
        <v>0.03</v>
      </c>
      <c r="BH22" s="118">
        <f t="shared" ref="BH22:BI22" si="91">+BH19/BH3</f>
        <v>3.2908110090763248E-2</v>
      </c>
      <c r="BI22" s="119">
        <f t="shared" si="91"/>
        <v>2.8227027522690816E-2</v>
      </c>
      <c r="BK22" s="5" t="s">
        <v>598</v>
      </c>
    </row>
    <row r="23" spans="1:63">
      <c r="A23" s="1" t="s">
        <v>4</v>
      </c>
      <c r="F23" s="36"/>
      <c r="G23" s="34"/>
      <c r="H23" s="35"/>
      <c r="I23" s="35"/>
      <c r="J23" s="35"/>
      <c r="K23" s="36"/>
      <c r="L23" s="34">
        <f t="shared" ref="L23:AC23" si="92">L22/G22-1</f>
        <v>0.27460702318358909</v>
      </c>
      <c r="M23" s="35">
        <f t="shared" si="92"/>
        <v>0.77925694798120149</v>
      </c>
      <c r="N23" s="35">
        <f t="shared" si="92"/>
        <v>-1.8683378976195542E-2</v>
      </c>
      <c r="O23" s="35">
        <f t="shared" si="92"/>
        <v>4.509947766994471E-2</v>
      </c>
      <c r="P23" s="36">
        <f t="shared" si="92"/>
        <v>0.2240741553444201</v>
      </c>
      <c r="Q23" s="34">
        <f t="shared" si="92"/>
        <v>8.760791316863159E-2</v>
      </c>
      <c r="R23" s="35">
        <f t="shared" si="92"/>
        <v>-0.48379558925615429</v>
      </c>
      <c r="S23" s="35">
        <f t="shared" si="92"/>
        <v>-1.369981805680875</v>
      </c>
      <c r="T23" s="35">
        <f t="shared" si="92"/>
        <v>8.3886800646939097E-2</v>
      </c>
      <c r="U23" s="36">
        <f t="shared" si="92"/>
        <v>-0.41135181770319096</v>
      </c>
      <c r="V23" s="34">
        <f t="shared" si="92"/>
        <v>0.10738356383886516</v>
      </c>
      <c r="W23" s="35">
        <f t="shared" si="92"/>
        <v>1.3922896474495117</v>
      </c>
      <c r="X23" s="35">
        <f t="shared" si="92"/>
        <v>-4.0111034199660338</v>
      </c>
      <c r="Y23" s="35">
        <f t="shared" si="92"/>
        <v>-0.96127496800792855</v>
      </c>
      <c r="Z23" s="36">
        <f t="shared" si="92"/>
        <v>0.58383072961315707</v>
      </c>
      <c r="AA23" s="34">
        <f t="shared" si="92"/>
        <v>-1.244399726173437</v>
      </c>
      <c r="AB23" s="34">
        <f t="shared" si="92"/>
        <v>-0.38237354630797249</v>
      </c>
      <c r="AC23" s="34">
        <f t="shared" si="92"/>
        <v>-0.14464783066163267</v>
      </c>
      <c r="AD23" s="35">
        <f t="shared" ref="AD23:AR23" si="93">AD22/Y22-1</f>
        <v>16.04909959490281</v>
      </c>
      <c r="AE23" s="36">
        <f t="shared" si="93"/>
        <v>-0.41056686665618347</v>
      </c>
      <c r="AF23" s="34">
        <f t="shared" si="93"/>
        <v>-2.7830996076030998</v>
      </c>
      <c r="AG23" s="34">
        <f t="shared" si="93"/>
        <v>0.52979057591623047</v>
      </c>
      <c r="AH23" s="34">
        <f t="shared" si="93"/>
        <v>-0.28149554948699018</v>
      </c>
      <c r="AI23" s="35">
        <f t="shared" si="93"/>
        <v>-1.5874302177166464</v>
      </c>
      <c r="AJ23" s="36">
        <f t="shared" si="93"/>
        <v>-7.4489301766236249E-3</v>
      </c>
      <c r="AK23" s="34">
        <f t="shared" si="93"/>
        <v>-4.0058632405887558</v>
      </c>
      <c r="AL23" s="34">
        <f t="shared" si="93"/>
        <v>-0.91768709983412511</v>
      </c>
      <c r="AM23" s="34">
        <f t="shared" si="93"/>
        <v>-9.0015342381448775</v>
      </c>
      <c r="AN23" s="35">
        <f t="shared" ref="AN23" si="94">AN22/AI22-1</f>
        <v>-1.4165478648990741</v>
      </c>
      <c r="AO23" s="36">
        <f t="shared" ref="AO23" si="95">AO22/AJ22-1</f>
        <v>-3.6300940480946773</v>
      </c>
      <c r="AP23" s="34">
        <f t="shared" si="93"/>
        <v>-0.80865062173123392</v>
      </c>
      <c r="AQ23" s="34">
        <f t="shared" si="93"/>
        <v>-8.451421354460475</v>
      </c>
      <c r="AR23" s="34">
        <f t="shared" si="93"/>
        <v>-0.68024779604479391</v>
      </c>
      <c r="AS23" s="35">
        <f t="shared" ref="AS23" si="96">AS22/AN22-1</f>
        <v>-1.8262581529795434</v>
      </c>
      <c r="AT23" s="36">
        <f t="shared" ref="AT23:BB23" si="97">AT22/AO22-1</f>
        <v>-0.5376121776111672</v>
      </c>
      <c r="AU23" s="34">
        <f t="shared" si="97"/>
        <v>-1.6701432061897652</v>
      </c>
      <c r="AV23" s="34">
        <f t="shared" si="97"/>
        <v>0.77445701587769822</v>
      </c>
      <c r="AW23" s="34">
        <f t="shared" si="97"/>
        <v>1.554453494482396</v>
      </c>
      <c r="AX23" s="35">
        <f t="shared" ref="AX23" si="98">AX22/AS22-1</f>
        <v>26.983301342516434</v>
      </c>
      <c r="AY23" s="36">
        <f t="shared" si="97"/>
        <v>2.1988149846442466</v>
      </c>
      <c r="AZ23" s="34">
        <f t="shared" si="97"/>
        <v>0.13275737698712309</v>
      </c>
      <c r="BA23" s="34">
        <f t="shared" si="97"/>
        <v>-1.109629996485868</v>
      </c>
      <c r="BB23" s="34">
        <f t="shared" si="97"/>
        <v>-1.0383548003788416</v>
      </c>
      <c r="BC23" s="35">
        <f t="shared" ref="BC23" si="99">BC22/AX22-1</f>
        <v>-0.83684300643635168</v>
      </c>
      <c r="BD23" s="36">
        <f t="shared" ref="BD23" si="100">BD22/AY22-1</f>
        <v>-0.97923244491999129</v>
      </c>
      <c r="BE23" s="34">
        <f t="shared" ref="BE23:BG23" si="101">BE22/AZ22-1</f>
        <v>-0.1873548387096774</v>
      </c>
      <c r="BF23" s="34">
        <f t="shared" si="101"/>
        <v>0.80463636363636337</v>
      </c>
      <c r="BG23" s="34">
        <f t="shared" si="101"/>
        <v>0.81631578947368411</v>
      </c>
      <c r="BH23" s="35">
        <f t="shared" ref="BH23" si="102">BH22/BC22-1</f>
        <v>-1.4814190385467279</v>
      </c>
      <c r="BI23" s="36">
        <f t="shared" ref="BI23" si="103">BI22/BD22-1</f>
        <v>-7.0057411527575129</v>
      </c>
    </row>
    <row r="24" spans="1:63">
      <c r="A24" s="1"/>
      <c r="F24" s="27"/>
      <c r="K24" s="27"/>
      <c r="P24" s="27"/>
      <c r="U24" s="27"/>
      <c r="Z24" s="27"/>
      <c r="AE24" s="27"/>
      <c r="AJ24" s="27"/>
      <c r="AO24" s="27"/>
      <c r="AT24" s="27"/>
      <c r="AY24" s="27"/>
      <c r="BD24" s="27"/>
      <c r="BI24" s="27"/>
    </row>
    <row r="25" spans="1:63">
      <c r="A25" s="14" t="s">
        <v>64</v>
      </c>
      <c r="F25" s="27"/>
      <c r="K25" s="27"/>
      <c r="P25" s="27"/>
      <c r="U25" s="27"/>
      <c r="Z25" s="27"/>
      <c r="AE25" s="27"/>
      <c r="AJ25" s="27"/>
      <c r="AO25" s="27"/>
      <c r="AT25" s="27"/>
      <c r="AY25" s="27"/>
      <c r="BD25" s="23"/>
      <c r="BI25" s="23"/>
    </row>
    <row r="26" spans="1:63">
      <c r="A26" s="1" t="s">
        <v>0</v>
      </c>
      <c r="B26" s="116"/>
      <c r="C26" s="117"/>
      <c r="D26" s="117"/>
      <c r="E26" s="117"/>
      <c r="F26" s="115"/>
      <c r="G26" s="116">
        <f>G3/$K$3</f>
        <v>0.27194965208527233</v>
      </c>
      <c r="H26" s="117">
        <f>H3/$K$3</f>
        <v>0.2390639542614014</v>
      </c>
      <c r="I26" s="117">
        <f>I3/$K$3</f>
        <v>0.25488631830873554</v>
      </c>
      <c r="J26" s="117">
        <f>J3/$K$3</f>
        <v>0.23410007534459071</v>
      </c>
      <c r="K26" s="115" t="b">
        <f>1=SUM(G26:J26)</f>
        <v>1</v>
      </c>
      <c r="L26" s="116">
        <f>L3/$P$3</f>
        <v>0.24862603958951413</v>
      </c>
      <c r="M26" s="117">
        <f>M3/$P$3</f>
        <v>0.2500851125918</v>
      </c>
      <c r="N26" s="117">
        <f>N3/$P$3</f>
        <v>0.24561062205145665</v>
      </c>
      <c r="O26" s="117">
        <f>O3/$P$3</f>
        <v>0.25567822576722921</v>
      </c>
      <c r="P26" s="115" t="b">
        <f>1=SUM(L26:O26)</f>
        <v>1</v>
      </c>
      <c r="Q26" s="116">
        <f>Q3/$U$3</f>
        <v>0.24556683843588967</v>
      </c>
      <c r="R26" s="117">
        <f>R3/$U$3</f>
        <v>0.23113064565019703</v>
      </c>
      <c r="S26" s="117">
        <f>S3/$U$3</f>
        <v>0.26284480145498634</v>
      </c>
      <c r="T26" s="117">
        <f>T3/$U$3</f>
        <v>0.26045771445892696</v>
      </c>
      <c r="U26" s="115" t="b">
        <f>1=SUM(Q26:T26)</f>
        <v>1</v>
      </c>
      <c r="V26" s="116">
        <f>V3/$Z$3</f>
        <v>0.25115339154306632</v>
      </c>
      <c r="W26" s="117">
        <f>W3/$Z$3</f>
        <v>0.25210660769436077</v>
      </c>
      <c r="X26" s="117">
        <f>X3/$Z$3</f>
        <v>0.2685019254966256</v>
      </c>
      <c r="Y26" s="117">
        <f>Y3/$Z$3</f>
        <v>0.2282380752659473</v>
      </c>
      <c r="Z26" s="115" t="b">
        <f>1=SUM(V26:Y26)</f>
        <v>1</v>
      </c>
      <c r="AA26" s="116">
        <f>AA3/$AE$3</f>
        <v>0.23011006588719199</v>
      </c>
      <c r="AB26" s="116">
        <f>AB3/$AE$3</f>
        <v>0.25090452069924213</v>
      </c>
      <c r="AC26" s="116">
        <f>AC3/$AE$3</f>
        <v>0.26080664203831361</v>
      </c>
      <c r="AD26" s="117">
        <f>AD3/$AE$3</f>
        <v>0.2581787713752523</v>
      </c>
      <c r="AE26" s="115" t="b">
        <f>1=SUM(AA26:AD26)</f>
        <v>1</v>
      </c>
      <c r="AF26" s="116">
        <f>AF3/$AJ$3</f>
        <v>0.27072343632253204</v>
      </c>
      <c r="AG26" s="116">
        <f>AG3/$AJ$3</f>
        <v>0.25908063300678219</v>
      </c>
      <c r="AH26" s="116">
        <f>AH3/$AJ$3</f>
        <v>0.24932177844762624</v>
      </c>
      <c r="AI26" s="116">
        <f>AI3/$AJ$3</f>
        <v>0.22087415222305953</v>
      </c>
      <c r="AJ26" s="115" t="b">
        <f>1=SUM(AF26:AI26)</f>
        <v>1</v>
      </c>
      <c r="AK26" s="116">
        <f>AK3/$AO$3</f>
        <v>0.23672394439167602</v>
      </c>
      <c r="AL26" s="116">
        <f>AL3/$AO$3</f>
        <v>0.26729125291425609</v>
      </c>
      <c r="AM26" s="116">
        <f>AM3/$AO$3</f>
        <v>0.22912529142561092</v>
      </c>
      <c r="AN26" s="116">
        <f>AN3/$AO$3</f>
        <v>0.26685951126845697</v>
      </c>
      <c r="AO26" s="115" t="b">
        <f>1=SUM(AK26:AN26)</f>
        <v>1</v>
      </c>
      <c r="AP26" s="116">
        <f>AP3/$AT$3</f>
        <v>0.26226286447679781</v>
      </c>
      <c r="AQ26" s="116">
        <f>AQ3/$AT$3</f>
        <v>0.24734287891549353</v>
      </c>
      <c r="AR26" s="116">
        <f>AR3/$AT$3</f>
        <v>0.21982914210083024</v>
      </c>
      <c r="AS26" s="116">
        <f>AS3/$AT$3</f>
        <v>0.27056511450687842</v>
      </c>
      <c r="AT26" s="115" t="b">
        <f>1=SUM(AP26:AS26)</f>
        <v>1</v>
      </c>
      <c r="AU26" s="116">
        <f>AU3/$AY$3</f>
        <v>0.29057613512835523</v>
      </c>
      <c r="AV26" s="116">
        <f>AV3/$AY$3</f>
        <v>0.25173509490760099</v>
      </c>
      <c r="AW26" s="116">
        <f>AW3/$AY$3</f>
        <v>0.23145747972238481</v>
      </c>
      <c r="AX26" s="116">
        <f>AX3/$AY$3</f>
        <v>0.226231290241659</v>
      </c>
      <c r="AY26" s="115" t="b">
        <f>1=SUM(AU26:AX26)</f>
        <v>1</v>
      </c>
      <c r="AZ26" s="116">
        <f>AZ3/$BD$3</f>
        <v>0.2312550488360138</v>
      </c>
      <c r="BA26" s="116">
        <f t="shared" ref="BA26:BC26" si="104">BA3/$BD$3</f>
        <v>0.24296834838804435</v>
      </c>
      <c r="BB26" s="116">
        <f t="shared" si="104"/>
        <v>0.25343320848938827</v>
      </c>
      <c r="BC26" s="116">
        <f t="shared" si="104"/>
        <v>0.27234339428655358</v>
      </c>
      <c r="BD26" s="115" t="b">
        <f>1=SUM(AZ26:BC26)</f>
        <v>1</v>
      </c>
      <c r="BE26" s="565">
        <v>0.25</v>
      </c>
      <c r="BF26" s="565">
        <v>0.25</v>
      </c>
      <c r="BG26" s="565">
        <v>0.25</v>
      </c>
      <c r="BH26" s="116">
        <f>BH3/$BI$3</f>
        <v>0.25</v>
      </c>
      <c r="BI26" s="115" t="b">
        <f>1=SUM(BE26:BH26)</f>
        <v>1</v>
      </c>
    </row>
    <row r="27" spans="1:63">
      <c r="A27" s="1" t="s">
        <v>9</v>
      </c>
      <c r="B27" s="116"/>
      <c r="C27" s="117"/>
      <c r="D27" s="117"/>
      <c r="E27" s="117"/>
      <c r="F27" s="115"/>
      <c r="G27" s="116">
        <f>G19/$K$19</f>
        <v>0.26297049847405901</v>
      </c>
      <c r="H27" s="117">
        <f>H19/$K$19</f>
        <v>0.18413021363173956</v>
      </c>
      <c r="I27" s="117">
        <f>I19/$K$19</f>
        <v>0.28687690742624616</v>
      </c>
      <c r="J27" s="117">
        <f>J19/$K$19</f>
        <v>0.26602238046795523</v>
      </c>
      <c r="K27" s="115" t="b">
        <f>1=SUM(G27:J27)</f>
        <v>1</v>
      </c>
      <c r="L27" s="116">
        <f>L19/$P$19</f>
        <v>0.2503419972640219</v>
      </c>
      <c r="M27" s="117">
        <f>M19/$P$19</f>
        <v>0.27998176014591886</v>
      </c>
      <c r="N27" s="117">
        <f>N19/$P$19</f>
        <v>0.22161422708618331</v>
      </c>
      <c r="O27" s="117">
        <f>O19/$P$19</f>
        <v>0.24806201550387597</v>
      </c>
      <c r="P27" s="115" t="b">
        <f>1=SUM(L27:O27)</f>
        <v>1</v>
      </c>
      <c r="Q27" s="116">
        <f>Q19/$U$19</f>
        <v>0.45684972842486421</v>
      </c>
      <c r="R27" s="117">
        <f>R19/$U$19</f>
        <v>0.22691611345805673</v>
      </c>
      <c r="S27" s="117">
        <f>S19/$U$19</f>
        <v>-0.14906457453228728</v>
      </c>
      <c r="T27" s="117">
        <f>T19/$U$19</f>
        <v>0.46529873264936633</v>
      </c>
      <c r="U27" s="115" t="b">
        <f>1=SUM(Q27:T27)</f>
        <v>1</v>
      </c>
      <c r="V27" s="116">
        <f>V19/$Z$19</f>
        <v>0.32668711656441718</v>
      </c>
      <c r="W27" s="117">
        <f>W19/$Z$19</f>
        <v>0.37384969325153372</v>
      </c>
      <c r="X27" s="117">
        <f>X19/$Z$19</f>
        <v>0.28949386503067487</v>
      </c>
      <c r="Y27" s="117">
        <f>Y19/$Z$19</f>
        <v>9.9693251533742328E-3</v>
      </c>
      <c r="Z27" s="115" t="b">
        <f>1=SUM(V27:Y27)</f>
        <v>1</v>
      </c>
      <c r="AA27" s="116">
        <f>AA19/$AE$19</f>
        <v>-0.12410656270305392</v>
      </c>
      <c r="AB27" s="116">
        <f>AB19/$AE$19</f>
        <v>0.38986354775828458</v>
      </c>
      <c r="AC27" s="116">
        <f>AC19/$AE$19</f>
        <v>0.40805717998700453</v>
      </c>
      <c r="AD27" s="117">
        <f>AD19/$AE$19</f>
        <v>0.32618583495776476</v>
      </c>
      <c r="AE27" s="115" t="b">
        <f>1=SUM(AA27:AD27)</f>
        <v>1</v>
      </c>
      <c r="AF27" s="116">
        <f>AF19/$AJ$19</f>
        <v>0.26230569948186527</v>
      </c>
      <c r="AG27" s="116">
        <f>AG19/$AJ$19</f>
        <v>0.6204663212435233</v>
      </c>
      <c r="AH27" s="116">
        <f>AH19/$AJ$19</f>
        <v>0.28238341968911918</v>
      </c>
      <c r="AI27" s="116">
        <f>AI19/$AJ$19</f>
        <v>-0.16515544041450778</v>
      </c>
      <c r="AJ27" s="115" t="b">
        <f>1=SUM(AF27:AI27)</f>
        <v>1</v>
      </c>
      <c r="AK27" s="116">
        <f>AK19/$AO$19</f>
        <v>0.26213318284424381</v>
      </c>
      <c r="AL27" s="116">
        <f>AL19/$AO$19</f>
        <v>-2.0033860045146727E-2</v>
      </c>
      <c r="AM27" s="116">
        <f>AM19/$AO$19</f>
        <v>0.78950338600451464</v>
      </c>
      <c r="AN27" s="116">
        <f>AN19/$AO$19</f>
        <v>-3.160270880361174E-2</v>
      </c>
      <c r="AO27" s="115" t="b">
        <f>1=SUM(AK27:AN27)</f>
        <v>1</v>
      </c>
      <c r="AP27" s="116">
        <f>AP19/$AT$19</f>
        <v>0.12018140589569161</v>
      </c>
      <c r="AQ27" s="116">
        <f>AQ19/$AT$19</f>
        <v>0.2987528344671202</v>
      </c>
      <c r="AR27" s="116">
        <f>AR19/$AT$19</f>
        <v>0.52380952380952384</v>
      </c>
      <c r="AS27" s="116">
        <f>AS19/$AT$19</f>
        <v>5.7256235827664398E-2</v>
      </c>
      <c r="AT27" s="115" t="b">
        <f>1=SUM(AP27:AS27)</f>
        <v>1</v>
      </c>
      <c r="AU27" s="116">
        <f>AU19/$AY$19</f>
        <v>-2.7895806392019214E-2</v>
      </c>
      <c r="AV27" s="116">
        <f>AV19/$AY$19</f>
        <v>0.16866802142989101</v>
      </c>
      <c r="AW27" s="116">
        <f>AW19/$AY$19</f>
        <v>0.44042120820247554</v>
      </c>
      <c r="AX27" s="116">
        <f>AX19/$AY$19</f>
        <v>0.41880657675965272</v>
      </c>
      <c r="AY27" s="115" t="b">
        <f>1=SUM(AU27:AX27)</f>
        <v>1</v>
      </c>
      <c r="AZ27" s="116">
        <f>AZ19/$BD$19</f>
        <v>-1.2109375</v>
      </c>
      <c r="BA27" s="116">
        <f t="shared" ref="BA27:BC27" si="105">BA19/$BD$19</f>
        <v>-0.859375</v>
      </c>
      <c r="BB27" s="116">
        <f t="shared" si="105"/>
        <v>-0.890625</v>
      </c>
      <c r="BC27" s="116">
        <f t="shared" si="105"/>
        <v>3.9609375</v>
      </c>
      <c r="BD27" s="115" t="b">
        <f>1=SUM(AZ27:BC27)</f>
        <v>1</v>
      </c>
      <c r="BE27" s="116">
        <f>BE19/$BI$19</f>
        <v>0.17713519413195947</v>
      </c>
      <c r="BF27" s="116">
        <f>BF19/$BI$19</f>
        <v>0.26570279119793916</v>
      </c>
      <c r="BG27" s="116">
        <f>BG19/$BI$19</f>
        <v>0.26570279119793916</v>
      </c>
      <c r="BH27" s="116">
        <f>BH19/$BI$19</f>
        <v>0.29145922347216213</v>
      </c>
      <c r="BI27" s="115" t="b">
        <f>1=SUM(BE27:BH27)</f>
        <v>1</v>
      </c>
    </row>
    <row r="28" spans="1:63">
      <c r="B28" s="19"/>
      <c r="C28" s="19"/>
      <c r="D28" s="19"/>
      <c r="E28" s="20"/>
      <c r="F28" s="21"/>
      <c r="G28" s="19"/>
      <c r="H28" s="19"/>
      <c r="I28" s="19"/>
      <c r="J28" s="20"/>
      <c r="K28" s="21"/>
      <c r="L28" s="19"/>
      <c r="M28" s="19"/>
      <c r="N28" s="19"/>
      <c r="O28" s="20"/>
      <c r="P28" s="21"/>
      <c r="Q28" s="19"/>
      <c r="R28" s="19"/>
      <c r="S28" s="19"/>
      <c r="T28" s="20"/>
      <c r="U28" s="21"/>
      <c r="V28" s="19"/>
      <c r="W28" s="19"/>
      <c r="X28" s="19"/>
      <c r="Y28" s="20"/>
      <c r="Z28" s="21"/>
      <c r="AA28" s="41"/>
      <c r="AB28" s="41"/>
      <c r="AC28" s="41"/>
      <c r="AD28" s="41"/>
      <c r="AE28" s="23"/>
      <c r="AF28" s="41"/>
      <c r="AG28" s="41"/>
      <c r="AH28" s="41"/>
      <c r="AI28" s="41"/>
      <c r="AJ28" s="23"/>
      <c r="AK28" s="41"/>
      <c r="AL28" s="41"/>
      <c r="AM28" s="41"/>
      <c r="AN28" s="41"/>
      <c r="AO28" s="23"/>
      <c r="AP28" s="41"/>
      <c r="AQ28" s="41"/>
      <c r="AR28" s="41"/>
      <c r="AS28" s="41"/>
      <c r="AT28" s="23"/>
      <c r="AU28" s="41"/>
      <c r="AV28" s="41"/>
      <c r="AW28" s="41"/>
      <c r="AX28" s="41"/>
      <c r="AY28" s="23"/>
      <c r="AZ28" s="41"/>
      <c r="BA28" s="41"/>
      <c r="BB28" s="41"/>
      <c r="BC28" s="41"/>
      <c r="BD28" s="23"/>
      <c r="BE28" s="41"/>
      <c r="BF28" s="41"/>
      <c r="BG28" s="41"/>
      <c r="BH28" s="41"/>
      <c r="BI28" s="23"/>
    </row>
    <row r="29" spans="1:63" s="5" customFormat="1">
      <c r="A29" s="9" t="s">
        <v>418</v>
      </c>
      <c r="B29" s="118"/>
      <c r="C29" s="118"/>
      <c r="D29" s="118"/>
      <c r="E29" s="118"/>
      <c r="F29" s="119"/>
      <c r="G29" s="118"/>
      <c r="H29" s="118"/>
      <c r="I29" s="118"/>
      <c r="J29" s="118"/>
      <c r="K29" s="119"/>
      <c r="L29" s="118"/>
      <c r="M29" s="118"/>
      <c r="N29" s="118"/>
      <c r="O29" s="118"/>
      <c r="P29" s="119"/>
      <c r="Q29" s="118"/>
      <c r="R29" s="118"/>
      <c r="S29" s="118"/>
      <c r="T29" s="118"/>
      <c r="U29" s="119"/>
      <c r="V29" s="118"/>
      <c r="W29" s="118"/>
      <c r="X29" s="118"/>
      <c r="Y29" s="118"/>
      <c r="Z29" s="119"/>
      <c r="AA29" s="118"/>
      <c r="AB29" s="192"/>
      <c r="AC29" s="192"/>
      <c r="AD29" s="192"/>
      <c r="AE29" s="119"/>
      <c r="AF29" s="118"/>
      <c r="AG29" s="192"/>
      <c r="AH29" s="192"/>
      <c r="AI29" s="192"/>
      <c r="AJ29" s="119"/>
      <c r="AK29" s="118"/>
      <c r="AL29" s="192"/>
      <c r="AM29" s="192"/>
      <c r="AN29" s="192"/>
      <c r="AO29" s="119"/>
      <c r="AP29" s="192"/>
      <c r="AQ29" s="192"/>
      <c r="AR29" s="192"/>
      <c r="AS29" s="192"/>
      <c r="AT29" s="119"/>
      <c r="AU29" s="192"/>
      <c r="AV29" s="192"/>
      <c r="AW29" s="192"/>
      <c r="AX29" s="192"/>
      <c r="AY29" s="119"/>
      <c r="AZ29" s="192"/>
      <c r="BA29" s="192"/>
      <c r="BB29" s="192"/>
      <c r="BC29" s="192"/>
      <c r="BD29" s="119"/>
      <c r="BE29" s="192"/>
      <c r="BF29" s="192"/>
      <c r="BG29" s="192"/>
      <c r="BH29" s="192"/>
      <c r="BI29" s="119"/>
    </row>
    <row r="30" spans="1:63">
      <c r="A30" s="5" t="s">
        <v>342</v>
      </c>
      <c r="B30" s="19"/>
      <c r="C30" s="19"/>
      <c r="D30" s="19"/>
      <c r="E30" s="20"/>
      <c r="F30" s="21"/>
      <c r="G30" s="19"/>
      <c r="H30" s="19"/>
      <c r="I30" s="19"/>
      <c r="J30" s="20"/>
      <c r="K30" s="21"/>
      <c r="L30" s="19"/>
      <c r="M30" s="19"/>
      <c r="N30" s="19"/>
      <c r="O30" s="20"/>
      <c r="P30" s="21"/>
      <c r="Q30" s="19"/>
      <c r="R30" s="19"/>
      <c r="S30" s="19"/>
      <c r="T30" s="20"/>
      <c r="U30" s="21"/>
      <c r="V30" s="19"/>
      <c r="W30" s="19"/>
      <c r="X30" s="19"/>
      <c r="Y30" s="20"/>
      <c r="Z30" s="21"/>
      <c r="AA30" s="41"/>
      <c r="AB30" s="41"/>
      <c r="AC30" s="41"/>
      <c r="AD30" s="41"/>
      <c r="AE30" s="23"/>
      <c r="AF30" s="41"/>
      <c r="AG30" s="41"/>
      <c r="AH30" s="41"/>
      <c r="AI30" s="41"/>
      <c r="AJ30" s="23"/>
      <c r="AK30" s="41"/>
      <c r="AL30" s="41"/>
      <c r="AM30" s="41"/>
      <c r="AN30" s="41"/>
      <c r="AO30" s="23"/>
      <c r="AP30" s="41"/>
      <c r="AQ30" s="41"/>
      <c r="AR30" s="41"/>
      <c r="AS30" s="41"/>
      <c r="AT30" s="23"/>
      <c r="AU30" s="41"/>
      <c r="AV30" s="41"/>
      <c r="AW30" s="41"/>
      <c r="AX30" s="41"/>
      <c r="AY30" s="23"/>
      <c r="AZ30" s="41"/>
      <c r="BA30" s="41"/>
      <c r="BB30" s="41"/>
      <c r="BC30" s="41"/>
      <c r="BD30" s="23"/>
      <c r="BE30" s="41"/>
      <c r="BF30" s="41"/>
      <c r="BG30" s="41"/>
      <c r="BH30" s="41"/>
      <c r="BI30" s="23"/>
    </row>
    <row r="31" spans="1:63">
      <c r="A31" s="1" t="s">
        <v>431</v>
      </c>
      <c r="B31" s="19"/>
      <c r="C31" s="19"/>
      <c r="D31" s="19"/>
      <c r="E31" s="19"/>
      <c r="F31" s="289"/>
      <c r="G31" s="19"/>
      <c r="H31" s="19"/>
      <c r="I31" s="19"/>
      <c r="J31" s="20"/>
      <c r="K31" s="21"/>
      <c r="L31" s="19">
        <f>-78+-19</f>
        <v>-97</v>
      </c>
      <c r="M31" s="19">
        <f>-82+-54</f>
        <v>-136</v>
      </c>
      <c r="N31" s="19">
        <v>0</v>
      </c>
      <c r="O31" s="19">
        <v>0</v>
      </c>
      <c r="P31" s="289">
        <f>SUM(L31:O31)</f>
        <v>-233</v>
      </c>
      <c r="Q31" s="19">
        <v>0</v>
      </c>
      <c r="R31" s="19">
        <v>0</v>
      </c>
      <c r="S31" s="41">
        <v>0</v>
      </c>
      <c r="T31" s="19">
        <v>0</v>
      </c>
      <c r="U31" s="289">
        <f>SUM(Q31:T31)</f>
        <v>0</v>
      </c>
      <c r="V31" s="19">
        <v>0</v>
      </c>
      <c r="W31" s="19">
        <v>0</v>
      </c>
      <c r="X31" s="19">
        <v>0</v>
      </c>
      <c r="Y31" s="41">
        <v>0</v>
      </c>
      <c r="Z31" s="289">
        <f>SUM(V31:Y31)</f>
        <v>0</v>
      </c>
      <c r="AA31" s="41">
        <v>0</v>
      </c>
      <c r="AB31" s="19">
        <v>0</v>
      </c>
      <c r="AC31" s="19">
        <v>0</v>
      </c>
      <c r="AD31" s="41">
        <v>0</v>
      </c>
      <c r="AE31" s="289">
        <f>SUM(AA31:AD31)</f>
        <v>0</v>
      </c>
      <c r="AF31" s="41">
        <v>0</v>
      </c>
      <c r="AG31" s="41">
        <v>0</v>
      </c>
      <c r="AH31" s="41">
        <v>0</v>
      </c>
      <c r="AI31" s="41">
        <v>0</v>
      </c>
      <c r="AJ31" s="289">
        <f>SUM(AF31:AI31)</f>
        <v>0</v>
      </c>
      <c r="AK31" s="41">
        <v>0</v>
      </c>
      <c r="AL31" s="19">
        <v>0</v>
      </c>
      <c r="AM31" s="41">
        <v>0</v>
      </c>
      <c r="AN31" s="41">
        <v>0</v>
      </c>
      <c r="AO31" s="289">
        <f>SUM(AK31:AN31)</f>
        <v>0</v>
      </c>
      <c r="AP31" s="41"/>
      <c r="AQ31" s="41"/>
      <c r="AR31" s="41"/>
      <c r="AS31" s="41"/>
      <c r="AT31" s="289">
        <f>SUM(AP31:AS31)</f>
        <v>0</v>
      </c>
      <c r="AU31" s="41"/>
      <c r="AV31" s="41"/>
      <c r="AW31" s="41"/>
      <c r="AX31" s="41"/>
      <c r="AY31" s="23"/>
      <c r="AZ31" s="41"/>
      <c r="BA31" s="41"/>
      <c r="BB31" s="41"/>
      <c r="BC31" s="41"/>
      <c r="BD31" s="23"/>
      <c r="BE31" s="41"/>
      <c r="BF31" s="41"/>
      <c r="BG31" s="41"/>
      <c r="BH31" s="41"/>
      <c r="BI31" s="23"/>
    </row>
    <row r="32" spans="1:63">
      <c r="A32" s="1" t="s">
        <v>409</v>
      </c>
      <c r="B32" s="19"/>
      <c r="C32" s="19"/>
      <c r="D32" s="19"/>
      <c r="E32" s="19"/>
      <c r="F32" s="289"/>
      <c r="G32" s="19">
        <v>0</v>
      </c>
      <c r="H32" s="19">
        <v>0</v>
      </c>
      <c r="I32" s="19">
        <v>0</v>
      </c>
      <c r="J32" s="19">
        <v>0</v>
      </c>
      <c r="K32" s="289">
        <f>SUM(G32:J32)</f>
        <v>0</v>
      </c>
      <c r="L32" s="19">
        <v>0</v>
      </c>
      <c r="M32" s="19">
        <v>0</v>
      </c>
      <c r="N32" s="19">
        <v>0</v>
      </c>
      <c r="O32" s="19">
        <v>0</v>
      </c>
      <c r="P32" s="289">
        <f>SUM(L32:O32)</f>
        <v>0</v>
      </c>
      <c r="Q32" s="19">
        <v>0</v>
      </c>
      <c r="R32" s="19">
        <v>0</v>
      </c>
      <c r="S32" s="41">
        <f>-400-291</f>
        <v>-691</v>
      </c>
      <c r="T32" s="20">
        <v>0</v>
      </c>
      <c r="U32" s="289">
        <f>SUM(Q32:T32)</f>
        <v>-691</v>
      </c>
      <c r="V32" s="19">
        <v>0</v>
      </c>
      <c r="W32" s="19">
        <v>0</v>
      </c>
      <c r="X32" s="19">
        <v>0</v>
      </c>
      <c r="Y32" s="41">
        <v>0</v>
      </c>
      <c r="Z32" s="289">
        <f>SUM(V32:Y32)</f>
        <v>0</v>
      </c>
      <c r="AA32" s="41">
        <v>0</v>
      </c>
      <c r="AB32" s="19">
        <v>0</v>
      </c>
      <c r="AC32" s="19">
        <v>0</v>
      </c>
      <c r="AD32" s="41">
        <v>0</v>
      </c>
      <c r="AE32" s="289">
        <f>SUM(AA32:AD32)</f>
        <v>0</v>
      </c>
      <c r="AF32" s="41">
        <v>0</v>
      </c>
      <c r="AG32" s="41">
        <v>0</v>
      </c>
      <c r="AH32" s="41">
        <v>0</v>
      </c>
      <c r="AI32" s="41">
        <v>0</v>
      </c>
      <c r="AJ32" s="289">
        <f>SUM(AF32:AI32)</f>
        <v>0</v>
      </c>
      <c r="AK32" s="41">
        <v>0</v>
      </c>
      <c r="AL32" s="19">
        <v>0</v>
      </c>
      <c r="AM32" s="41">
        <v>0</v>
      </c>
      <c r="AN32" s="41">
        <v>0</v>
      </c>
      <c r="AO32" s="289">
        <f>SUM(AK32:AN32)</f>
        <v>0</v>
      </c>
      <c r="AP32" s="41"/>
      <c r="AQ32" s="41"/>
      <c r="AR32" s="41"/>
      <c r="AS32" s="41"/>
      <c r="AT32" s="289">
        <f>SUM(AP32:AS32)</f>
        <v>0</v>
      </c>
      <c r="AU32" s="41"/>
      <c r="AV32" s="41"/>
      <c r="AW32" s="41"/>
      <c r="AX32" s="41"/>
      <c r="AY32" s="23"/>
      <c r="AZ32" s="41"/>
      <c r="BA32" s="41"/>
      <c r="BB32" s="41"/>
      <c r="BC32" s="41"/>
      <c r="BD32" s="23"/>
      <c r="BE32" s="41"/>
      <c r="BF32" s="41"/>
      <c r="BG32" s="41"/>
      <c r="BH32" s="41"/>
      <c r="BI32" s="23"/>
    </row>
    <row r="33" spans="1:62">
      <c r="A33" s="1"/>
      <c r="B33" s="19"/>
      <c r="C33" s="19"/>
      <c r="D33" s="19"/>
      <c r="E33" s="20"/>
      <c r="F33" s="21"/>
      <c r="G33" s="19"/>
      <c r="H33" s="19"/>
      <c r="I33" s="19"/>
      <c r="J33" s="20"/>
      <c r="K33" s="21"/>
      <c r="L33" s="19"/>
      <c r="M33" s="19"/>
      <c r="N33" s="19"/>
      <c r="O33" s="20"/>
      <c r="P33" s="21"/>
      <c r="Q33" s="19"/>
      <c r="R33" s="19"/>
      <c r="S33" s="41"/>
      <c r="T33" s="20"/>
      <c r="U33" s="21"/>
      <c r="V33" s="19"/>
      <c r="W33" s="19"/>
      <c r="X33" s="19"/>
      <c r="Y33" s="41"/>
      <c r="Z33" s="21"/>
      <c r="AA33" s="41"/>
      <c r="AB33" s="41"/>
      <c r="AC33" s="41"/>
      <c r="AD33" s="41"/>
      <c r="AE33" s="23"/>
      <c r="AF33" s="41"/>
      <c r="AG33" s="41"/>
      <c r="AH33" s="41"/>
      <c r="AI33" s="41"/>
      <c r="AJ33" s="23"/>
      <c r="AK33" s="41"/>
      <c r="AL33" s="19"/>
      <c r="AM33" s="41"/>
      <c r="AN33" s="41"/>
      <c r="AO33" s="23"/>
      <c r="AP33" s="41"/>
      <c r="AQ33" s="41"/>
      <c r="AR33" s="41"/>
      <c r="AS33" s="41"/>
      <c r="AT33" s="23"/>
      <c r="AU33" s="41"/>
      <c r="AV33" s="41"/>
      <c r="AW33" s="41"/>
      <c r="AX33" s="41"/>
      <c r="AY33" s="23"/>
      <c r="AZ33" s="41"/>
      <c r="BA33" s="41"/>
      <c r="BB33" s="41"/>
      <c r="BC33" s="41"/>
      <c r="BD33" s="23"/>
      <c r="BE33" s="41"/>
      <c r="BF33" s="41"/>
      <c r="BG33" s="41"/>
      <c r="BH33" s="41"/>
      <c r="BI33" s="23"/>
    </row>
    <row r="34" spans="1:62">
      <c r="A34" s="5" t="s">
        <v>432</v>
      </c>
      <c r="B34" s="19"/>
      <c r="C34" s="19"/>
      <c r="D34" s="19"/>
      <c r="E34" s="20"/>
      <c r="F34" s="21"/>
      <c r="G34" s="19"/>
      <c r="H34" s="19"/>
      <c r="I34" s="19"/>
      <c r="J34" s="20"/>
      <c r="K34" s="21"/>
      <c r="L34" s="19"/>
      <c r="M34" s="19"/>
      <c r="N34" s="19"/>
      <c r="O34" s="20"/>
      <c r="P34" s="21"/>
      <c r="Q34" s="19"/>
      <c r="R34" s="19"/>
      <c r="S34" s="19"/>
      <c r="T34" s="20"/>
      <c r="U34" s="21"/>
      <c r="V34" s="19"/>
      <c r="W34" s="19"/>
      <c r="X34" s="19"/>
      <c r="Y34" s="20"/>
      <c r="Z34" s="21"/>
      <c r="AA34" s="41"/>
      <c r="AB34" s="41"/>
      <c r="AC34" s="41"/>
      <c r="AD34" s="41"/>
      <c r="AE34" s="23"/>
      <c r="AF34" s="41"/>
      <c r="AG34" s="41"/>
      <c r="AH34" s="41"/>
      <c r="AI34" s="41"/>
      <c r="AJ34" s="23"/>
      <c r="AK34" s="41"/>
      <c r="AL34" s="19"/>
      <c r="AM34" s="41"/>
      <c r="AN34" s="41"/>
      <c r="AO34" s="23"/>
      <c r="AP34" s="41"/>
      <c r="AQ34" s="190"/>
      <c r="AR34" s="41"/>
      <c r="AS34" s="41"/>
      <c r="AT34" s="23"/>
      <c r="AU34" s="41"/>
      <c r="AV34" s="190"/>
      <c r="AW34" s="41"/>
      <c r="AX34" s="41"/>
      <c r="AY34" s="23"/>
      <c r="AZ34" s="41"/>
      <c r="BA34" s="41"/>
      <c r="BB34" s="41"/>
      <c r="BC34" s="41"/>
      <c r="BD34" s="23"/>
      <c r="BE34" s="41"/>
      <c r="BF34" s="41"/>
      <c r="BG34" s="41"/>
      <c r="BH34" s="41"/>
      <c r="BI34" s="23"/>
    </row>
    <row r="35" spans="1:62">
      <c r="A35" s="1" t="s">
        <v>344</v>
      </c>
      <c r="B35" s="19"/>
      <c r="C35" s="19"/>
      <c r="D35" s="19"/>
      <c r="E35" s="20"/>
      <c r="F35" s="21"/>
      <c r="G35" s="41">
        <v>-81</v>
      </c>
      <c r="H35" s="41">
        <v>-219</v>
      </c>
      <c r="I35" s="41">
        <v>0</v>
      </c>
      <c r="J35" s="41">
        <f>-356-SUM(G35:I35)</f>
        <v>-56</v>
      </c>
      <c r="K35" s="289">
        <f>SUM(G35:J35)</f>
        <v>-356</v>
      </c>
      <c r="L35" s="41">
        <v>-22</v>
      </c>
      <c r="M35" s="19">
        <v>0</v>
      </c>
      <c r="N35" s="41">
        <v>-73</v>
      </c>
      <c r="O35" s="19">
        <v>0</v>
      </c>
      <c r="P35" s="289">
        <f>SUM(L35:O35)</f>
        <v>-95</v>
      </c>
      <c r="Q35" s="19">
        <v>0</v>
      </c>
      <c r="R35" s="19">
        <v>-111</v>
      </c>
      <c r="S35" s="19">
        <v>-64</v>
      </c>
      <c r="T35" s="19">
        <v>0</v>
      </c>
      <c r="U35" s="21">
        <v>-199</v>
      </c>
      <c r="V35" s="19">
        <v>0</v>
      </c>
      <c r="W35" s="19">
        <v>0</v>
      </c>
      <c r="X35" s="19">
        <v>0</v>
      </c>
      <c r="Y35" s="41">
        <v>-108</v>
      </c>
      <c r="Z35" s="289">
        <f>SUM(V35:Y35)</f>
        <v>-108</v>
      </c>
      <c r="AA35" s="41">
        <v>-827</v>
      </c>
      <c r="AB35" s="41">
        <f>-978-AA35</f>
        <v>-151</v>
      </c>
      <c r="AC35" s="41">
        <f>-1045-AB35-AA35</f>
        <v>-67</v>
      </c>
      <c r="AD35" s="41">
        <v>0</v>
      </c>
      <c r="AE35" s="289">
        <f>SUM(AA35:AD35)</f>
        <v>-1045</v>
      </c>
      <c r="AF35" s="41">
        <v>0</v>
      </c>
      <c r="AG35" s="41">
        <v>0</v>
      </c>
      <c r="AH35" s="41">
        <v>0</v>
      </c>
      <c r="AI35" s="41">
        <v>-402</v>
      </c>
      <c r="AJ35" s="289">
        <f>SUM(AF35:AI35)</f>
        <v>-402</v>
      </c>
      <c r="AK35" s="41">
        <v>-165</v>
      </c>
      <c r="AL35" s="19">
        <v>0</v>
      </c>
      <c r="AM35" s="41">
        <v>-1165</v>
      </c>
      <c r="AN35" s="41">
        <f>-1374-SUM(AK35:AM35)</f>
        <v>-44</v>
      </c>
      <c r="AO35" s="289">
        <f>SUM(AK35:AN35)</f>
        <v>-1374</v>
      </c>
      <c r="AP35" s="41">
        <v>-245</v>
      </c>
      <c r="AQ35" s="41"/>
      <c r="AR35" s="41"/>
      <c r="AS35" s="41"/>
      <c r="AT35" s="289">
        <f>SUM(AP35:AS35)</f>
        <v>-245</v>
      </c>
      <c r="AU35" s="41">
        <v>-128</v>
      </c>
      <c r="AV35" s="41"/>
      <c r="AW35" s="41"/>
      <c r="AX35" s="41">
        <v>-800</v>
      </c>
      <c r="AY35" s="23">
        <f>SUM(AU35:AX35)</f>
        <v>-928</v>
      </c>
      <c r="AZ35" s="41"/>
      <c r="BA35" s="41"/>
      <c r="BB35" s="41"/>
      <c r="BC35" s="41"/>
      <c r="BD35" s="422">
        <f>SUM(AZ35:BC35)</f>
        <v>0</v>
      </c>
      <c r="BE35" s="41"/>
      <c r="BF35" s="41"/>
      <c r="BG35" s="41"/>
      <c r="BH35" s="41"/>
      <c r="BI35" s="23">
        <f>SUM(BE35:BH35)</f>
        <v>0</v>
      </c>
      <c r="BJ35" s="311"/>
    </row>
    <row r="36" spans="1:62" outlineLevel="1">
      <c r="A36" s="3" t="s">
        <v>433</v>
      </c>
      <c r="B36" s="19"/>
      <c r="C36" s="19"/>
      <c r="D36" s="19"/>
      <c r="E36" s="20"/>
      <c r="F36" s="21"/>
      <c r="G36" s="19">
        <v>0</v>
      </c>
      <c r="H36" s="19">
        <v>0</v>
      </c>
      <c r="I36" s="19">
        <v>0</v>
      </c>
      <c r="J36" s="19">
        <v>0</v>
      </c>
      <c r="K36" s="289">
        <f>SUM(G36:J36)</f>
        <v>0</v>
      </c>
      <c r="L36" s="19">
        <v>0</v>
      </c>
      <c r="M36" s="19">
        <v>0</v>
      </c>
      <c r="N36" s="19">
        <v>0</v>
      </c>
      <c r="O36" s="19">
        <v>0</v>
      </c>
      <c r="P36" s="289">
        <f>SUM(L36:O36)</f>
        <v>0</v>
      </c>
      <c r="Q36" s="19">
        <v>0</v>
      </c>
      <c r="R36" s="19">
        <v>0</v>
      </c>
      <c r="S36" s="19">
        <v>0</v>
      </c>
      <c r="T36" s="19">
        <v>0</v>
      </c>
      <c r="U36" s="289">
        <f>SUM(Q36:T36)</f>
        <v>0</v>
      </c>
      <c r="V36" s="19">
        <v>0</v>
      </c>
      <c r="W36" s="19">
        <v>0</v>
      </c>
      <c r="X36" s="19">
        <v>0</v>
      </c>
      <c r="Y36" s="19">
        <v>0</v>
      </c>
      <c r="Z36" s="289">
        <f>SUM(V36:Y36)</f>
        <v>0</v>
      </c>
      <c r="AA36" s="22">
        <f>AA35-AA37</f>
        <v>-276</v>
      </c>
      <c r="AB36" s="19">
        <v>0</v>
      </c>
      <c r="AC36" s="19">
        <v>0</v>
      </c>
      <c r="AD36" s="41">
        <v>0</v>
      </c>
      <c r="AE36" s="289">
        <f>SUM(AA36:AD36)</f>
        <v>-276</v>
      </c>
      <c r="AF36" s="22">
        <f>AF35-AF37</f>
        <v>0</v>
      </c>
      <c r="AG36" s="41">
        <f>AG35-AG37</f>
        <v>0</v>
      </c>
      <c r="AH36" s="41">
        <v>0</v>
      </c>
      <c r="AI36" s="41">
        <v>0</v>
      </c>
      <c r="AJ36" s="289">
        <f>SUM(AF36:AI36)</f>
        <v>0</v>
      </c>
      <c r="AK36" s="41">
        <v>0</v>
      </c>
      <c r="AL36" s="19">
        <v>0</v>
      </c>
      <c r="AM36" s="41">
        <v>0</v>
      </c>
      <c r="AN36" s="41">
        <v>0</v>
      </c>
      <c r="AO36" s="289">
        <f>SUM(AK36:AN36)</f>
        <v>0</v>
      </c>
      <c r="AP36" s="41"/>
      <c r="AQ36" s="41"/>
      <c r="AR36" s="41"/>
      <c r="AS36" s="41"/>
      <c r="AT36" s="289">
        <f>SUM(AP36:AS36)</f>
        <v>0</v>
      </c>
      <c r="AU36" s="41"/>
      <c r="AV36" s="41"/>
      <c r="AW36" s="41"/>
      <c r="AX36" s="41"/>
      <c r="AY36" s="23">
        <f>SUM(AU36:AX36)</f>
        <v>0</v>
      </c>
      <c r="AZ36" s="41"/>
      <c r="BA36" s="41"/>
      <c r="BB36" s="41"/>
      <c r="BC36" s="41"/>
      <c r="BD36" s="422">
        <f>SUM(AZ36:BC36)</f>
        <v>0</v>
      </c>
      <c r="BE36" s="41"/>
      <c r="BF36" s="41"/>
      <c r="BG36" s="41"/>
      <c r="BH36" s="41"/>
      <c r="BI36" s="23">
        <f>SUM(BE36:BH36)</f>
        <v>0</v>
      </c>
    </row>
    <row r="37" spans="1:62" outlineLevel="1">
      <c r="A37" s="3" t="s">
        <v>1</v>
      </c>
      <c r="B37" s="19"/>
      <c r="C37" s="19"/>
      <c r="D37" s="19"/>
      <c r="E37" s="20"/>
      <c r="F37" s="21"/>
      <c r="G37" s="19">
        <v>0</v>
      </c>
      <c r="H37" s="19">
        <v>0</v>
      </c>
      <c r="I37" s="19">
        <v>0</v>
      </c>
      <c r="J37" s="19">
        <v>0</v>
      </c>
      <c r="K37" s="289">
        <f>SUM(G37:J37)</f>
        <v>0</v>
      </c>
      <c r="L37" s="19">
        <v>0</v>
      </c>
      <c r="M37" s="19">
        <v>0</v>
      </c>
      <c r="N37" s="41">
        <v>0</v>
      </c>
      <c r="O37" s="19">
        <v>0</v>
      </c>
      <c r="P37" s="289">
        <f>SUM(L37:O37)</f>
        <v>0</v>
      </c>
      <c r="Q37" s="19">
        <v>0</v>
      </c>
      <c r="R37" s="19">
        <v>0</v>
      </c>
      <c r="S37" s="19">
        <v>0</v>
      </c>
      <c r="T37" s="19">
        <v>0</v>
      </c>
      <c r="U37" s="289">
        <f>SUM(Q37:T37)</f>
        <v>0</v>
      </c>
      <c r="V37" s="19">
        <v>0</v>
      </c>
      <c r="W37" s="19">
        <v>0</v>
      </c>
      <c r="X37" s="19">
        <v>0</v>
      </c>
      <c r="Y37" s="19">
        <v>0</v>
      </c>
      <c r="Z37" s="289">
        <f>SUM(V37:Y37)</f>
        <v>0</v>
      </c>
      <c r="AA37" s="41">
        <v>-551</v>
      </c>
      <c r="AB37" s="19">
        <f>AB35</f>
        <v>-151</v>
      </c>
      <c r="AC37" s="19">
        <f>AC35</f>
        <v>-67</v>
      </c>
      <c r="AD37" s="41">
        <v>0</v>
      </c>
      <c r="AE37" s="289">
        <f>SUM(AA37:AD37)</f>
        <v>-769</v>
      </c>
      <c r="AF37" s="41">
        <v>0</v>
      </c>
      <c r="AG37" s="41">
        <v>0</v>
      </c>
      <c r="AH37" s="41">
        <v>0</v>
      </c>
      <c r="AI37" s="41">
        <v>0</v>
      </c>
      <c r="AJ37" s="289">
        <f>SUM(AF37:AI37)</f>
        <v>0</v>
      </c>
      <c r="AK37" s="41">
        <f>-367+-78</f>
        <v>-445</v>
      </c>
      <c r="AL37" s="19">
        <f>-147-51-36</f>
        <v>-234</v>
      </c>
      <c r="AM37" s="41">
        <f>-100-351-223</f>
        <v>-674</v>
      </c>
      <c r="AN37" s="41">
        <v>0</v>
      </c>
      <c r="AO37" s="289">
        <f>SUM(AK37:AN37)</f>
        <v>-1353</v>
      </c>
      <c r="AP37" s="41"/>
      <c r="AQ37" s="41">
        <f>-189-68</f>
        <v>-257</v>
      </c>
      <c r="AR37" s="41">
        <f>-315-(618-482)</f>
        <v>-451</v>
      </c>
      <c r="AS37" s="41">
        <v>-139</v>
      </c>
      <c r="AT37" s="289">
        <f>SUM(AP37:AS37)</f>
        <v>-847</v>
      </c>
      <c r="AU37" s="41">
        <v>-94</v>
      </c>
      <c r="AV37" s="543">
        <v>-1000</v>
      </c>
      <c r="AW37" s="543">
        <v>-2000</v>
      </c>
      <c r="AX37" s="41">
        <v>-900</v>
      </c>
      <c r="AY37" s="23">
        <f>SUM(AU37:AX37)</f>
        <v>-3994</v>
      </c>
      <c r="AZ37" s="41"/>
      <c r="BA37" s="41"/>
      <c r="BB37" s="41"/>
      <c r="BC37" s="446">
        <v>-600</v>
      </c>
      <c r="BD37" s="422">
        <v>-600</v>
      </c>
      <c r="BE37" s="543">
        <v>0</v>
      </c>
      <c r="BF37" s="543">
        <v>0</v>
      </c>
      <c r="BG37" s="543">
        <v>0</v>
      </c>
      <c r="BH37" s="543">
        <v>0</v>
      </c>
      <c r="BI37" s="23">
        <f>SUM(BE37:BH37)</f>
        <v>0</v>
      </c>
    </row>
    <row r="38" spans="1:62">
      <c r="A38" s="1" t="s">
        <v>434</v>
      </c>
      <c r="B38" s="19"/>
      <c r="C38" s="19"/>
      <c r="D38" s="19"/>
      <c r="E38" s="20"/>
      <c r="F38" s="21"/>
      <c r="G38" s="41">
        <v>0</v>
      </c>
      <c r="H38" s="41">
        <v>0</v>
      </c>
      <c r="I38" s="41">
        <v>-162</v>
      </c>
      <c r="J38" s="19">
        <v>0</v>
      </c>
      <c r="K38" s="289">
        <f>SUM(G38:J38)</f>
        <v>-162</v>
      </c>
      <c r="L38" s="19">
        <v>0</v>
      </c>
      <c r="M38" s="19">
        <v>0</v>
      </c>
      <c r="N38" s="19">
        <v>0</v>
      </c>
      <c r="O38" s="19">
        <v>0</v>
      </c>
      <c r="P38" s="289">
        <f>SUM(L38:O38)</f>
        <v>0</v>
      </c>
      <c r="Q38" s="19">
        <v>0</v>
      </c>
      <c r="R38" s="19">
        <v>0</v>
      </c>
      <c r="S38" s="19">
        <v>0</v>
      </c>
      <c r="T38" s="19">
        <v>0</v>
      </c>
      <c r="U38" s="289">
        <f>SUM(Q38:T38)</f>
        <v>0</v>
      </c>
      <c r="V38" s="19">
        <v>0</v>
      </c>
      <c r="W38" s="19">
        <v>0</v>
      </c>
      <c r="X38" s="19">
        <v>0</v>
      </c>
      <c r="Y38" s="41">
        <v>-410</v>
      </c>
      <c r="Z38" s="289">
        <f>SUM(V38:Y38)</f>
        <v>-410</v>
      </c>
      <c r="AA38" s="41">
        <v>0</v>
      </c>
      <c r="AB38" s="19">
        <v>0</v>
      </c>
      <c r="AC38" s="19">
        <v>0</v>
      </c>
      <c r="AD38" s="41">
        <v>0</v>
      </c>
      <c r="AE38" s="289">
        <f>SUM(AA38:AD38)</f>
        <v>0</v>
      </c>
      <c r="AF38" s="41">
        <v>0</v>
      </c>
      <c r="AG38" s="41">
        <v>0</v>
      </c>
      <c r="AH38" s="41">
        <v>0</v>
      </c>
      <c r="AI38" s="41">
        <v>0</v>
      </c>
      <c r="AJ38" s="289">
        <f>SUM(AF38:AI38)</f>
        <v>0</v>
      </c>
      <c r="AK38" s="41">
        <v>0</v>
      </c>
      <c r="AL38" s="19">
        <v>-93</v>
      </c>
      <c r="AM38" s="41">
        <v>-195</v>
      </c>
      <c r="AN38" s="41">
        <v>0</v>
      </c>
      <c r="AO38" s="289">
        <f>SUM(AK38:AN38)</f>
        <v>-288</v>
      </c>
      <c r="AP38" s="41"/>
      <c r="AQ38" s="41">
        <v>-257</v>
      </c>
      <c r="AR38" s="41"/>
      <c r="AS38" s="41"/>
      <c r="AT38" s="289">
        <f>SUM(AP38:AS38)</f>
        <v>-257</v>
      </c>
      <c r="AU38" s="41"/>
      <c r="AV38" s="41"/>
      <c r="AW38" s="41"/>
      <c r="AX38" s="41"/>
      <c r="AY38" s="23">
        <f>SUM(AU38:AX38)</f>
        <v>0</v>
      </c>
      <c r="AZ38" s="41"/>
      <c r="BA38" s="41"/>
      <c r="BB38" s="41"/>
      <c r="BC38" s="41"/>
      <c r="BD38" s="422">
        <f>SUM(AZ38:BC38)</f>
        <v>0</v>
      </c>
      <c r="BE38" s="41"/>
      <c r="BF38" s="41"/>
      <c r="BG38" s="41"/>
      <c r="BH38" s="41"/>
      <c r="BI38" s="23">
        <f>SUM(BE38:BH38)</f>
        <v>0</v>
      </c>
    </row>
    <row r="39" spans="1:62">
      <c r="A39" s="1" t="s">
        <v>580</v>
      </c>
      <c r="B39" s="19"/>
      <c r="C39" s="19"/>
      <c r="D39" s="19"/>
      <c r="E39" s="20"/>
      <c r="F39" s="21"/>
      <c r="G39" s="41">
        <v>0</v>
      </c>
      <c r="H39" s="41">
        <v>0</v>
      </c>
      <c r="I39" s="41">
        <v>0</v>
      </c>
      <c r="J39" s="19">
        <v>0</v>
      </c>
      <c r="K39" s="289">
        <f>SUM(G39:J39)</f>
        <v>0</v>
      </c>
      <c r="L39" s="19">
        <v>0</v>
      </c>
      <c r="M39" s="19">
        <v>0</v>
      </c>
      <c r="N39" s="19">
        <v>0</v>
      </c>
      <c r="O39" s="19">
        <v>0</v>
      </c>
      <c r="P39" s="289">
        <f>SUM(L39:O39)</f>
        <v>0</v>
      </c>
      <c r="Q39" s="19">
        <v>0</v>
      </c>
      <c r="R39" s="19">
        <v>0</v>
      </c>
      <c r="S39" s="19">
        <v>0</v>
      </c>
      <c r="T39" s="19">
        <v>0</v>
      </c>
      <c r="U39" s="289">
        <f>SUM(Q39:T39)</f>
        <v>0</v>
      </c>
      <c r="V39" s="19">
        <v>0</v>
      </c>
      <c r="W39" s="19">
        <v>0</v>
      </c>
      <c r="X39" s="19">
        <v>0</v>
      </c>
      <c r="Y39" s="19">
        <v>0</v>
      </c>
      <c r="Z39" s="289">
        <f>SUM(V39:Y39)</f>
        <v>0</v>
      </c>
      <c r="AA39" s="41">
        <v>-168</v>
      </c>
      <c r="AB39" s="19">
        <v>0</v>
      </c>
      <c r="AC39" s="19">
        <v>0</v>
      </c>
      <c r="AD39" s="41">
        <v>0</v>
      </c>
      <c r="AE39" s="289">
        <f>SUM(AA39:AD39)</f>
        <v>-168</v>
      </c>
      <c r="AF39" s="41">
        <v>0</v>
      </c>
      <c r="AG39" s="41">
        <v>0</v>
      </c>
      <c r="AH39" s="41">
        <v>0</v>
      </c>
      <c r="AI39" s="41">
        <v>0</v>
      </c>
      <c r="AJ39" s="289">
        <f>SUM(AF39:AI39)</f>
        <v>0</v>
      </c>
      <c r="AK39" s="41">
        <v>-660</v>
      </c>
      <c r="AL39" s="19">
        <v>0</v>
      </c>
      <c r="AM39" s="41">
        <v>-766</v>
      </c>
      <c r="AN39" s="41">
        <f>-1452-SUM(AK39:AM39)</f>
        <v>-26</v>
      </c>
      <c r="AO39" s="289">
        <f>SUM(AK39:AN39)</f>
        <v>-1452</v>
      </c>
      <c r="AP39" s="41"/>
      <c r="AQ39" s="41"/>
      <c r="AR39" s="41">
        <v>-482</v>
      </c>
      <c r="AS39" s="41"/>
      <c r="AT39" s="289">
        <f>SUM(AP39:AS39)</f>
        <v>-482</v>
      </c>
      <c r="AU39" s="41"/>
      <c r="AV39" s="41"/>
      <c r="AW39" s="41"/>
      <c r="AX39" s="41"/>
      <c r="AY39" s="23">
        <f>SUM(AU39:AX39)</f>
        <v>0</v>
      </c>
      <c r="AZ39" s="41"/>
      <c r="BA39" s="41"/>
      <c r="BB39" s="41"/>
      <c r="BC39" s="41"/>
      <c r="BD39" s="422">
        <f>SUM(AZ39:BC39)</f>
        <v>0</v>
      </c>
      <c r="BE39" s="41"/>
      <c r="BF39" s="41"/>
      <c r="BG39" s="41"/>
      <c r="BH39" s="41"/>
      <c r="BI39" s="23">
        <f>SUM(BE39:BH39)</f>
        <v>0</v>
      </c>
    </row>
    <row r="40" spans="1:62">
      <c r="A40" s="5" t="s">
        <v>11</v>
      </c>
      <c r="F40" s="21"/>
      <c r="G40" s="41"/>
      <c r="H40" s="41"/>
      <c r="I40" s="41"/>
      <c r="J40" s="19"/>
      <c r="K40" s="289"/>
      <c r="L40" s="19"/>
      <c r="M40" s="19"/>
      <c r="N40" s="19"/>
      <c r="O40" s="19"/>
      <c r="P40" s="289"/>
      <c r="Q40" s="19"/>
      <c r="R40" s="19"/>
      <c r="S40" s="19"/>
      <c r="T40" s="19"/>
      <c r="U40" s="289"/>
      <c r="V40" s="19"/>
      <c r="W40" s="19"/>
      <c r="X40" s="19"/>
      <c r="Y40" s="19"/>
      <c r="Z40" s="289"/>
      <c r="AA40" s="41"/>
      <c r="AB40" s="19"/>
      <c r="AC40" s="19"/>
      <c r="AD40" s="41"/>
      <c r="AE40" s="289"/>
      <c r="AF40" s="41"/>
      <c r="AG40" s="41"/>
      <c r="AH40" s="41"/>
      <c r="AI40" s="41"/>
      <c r="AJ40" s="474"/>
      <c r="AK40" s="154"/>
      <c r="AL40" s="41"/>
      <c r="AM40" s="41"/>
      <c r="AN40" s="230"/>
      <c r="AO40" s="506"/>
      <c r="AR40" s="41"/>
      <c r="AS40" s="230"/>
      <c r="AT40" s="506"/>
      <c r="AW40" s="41"/>
      <c r="AX40" s="41"/>
      <c r="AY40" s="23">
        <f>SUM(AY35:AY39)</f>
        <v>-4922</v>
      </c>
      <c r="BA40" s="41"/>
      <c r="BB40" s="41"/>
      <c r="BC40" s="41"/>
      <c r="BD40" s="422">
        <f>SUM(BD35:BD39)</f>
        <v>-600</v>
      </c>
      <c r="BE40" s="41"/>
      <c r="BF40" s="41"/>
      <c r="BG40" s="41"/>
      <c r="BH40" s="41"/>
      <c r="BI40" s="23">
        <f>SUM(BI35:BI39)</f>
        <v>0</v>
      </c>
    </row>
    <row r="41" spans="1:62">
      <c r="AK41" s="154"/>
      <c r="AM41" s="41"/>
      <c r="AN41" s="237"/>
      <c r="AO41" s="27"/>
      <c r="AR41" s="41"/>
      <c r="AS41" s="237"/>
      <c r="AT41" s="27"/>
      <c r="AW41" s="41"/>
      <c r="AX41" s="41"/>
      <c r="AY41" s="23"/>
      <c r="BA41" s="41"/>
      <c r="BB41" s="41"/>
      <c r="BC41" s="41"/>
      <c r="BD41" s="23"/>
      <c r="BE41" s="41"/>
      <c r="BF41" s="41"/>
      <c r="BG41" s="41"/>
      <c r="BH41" s="41"/>
      <c r="BI41" s="23"/>
    </row>
    <row r="42" spans="1:62">
      <c r="A42" s="1" t="s">
        <v>342</v>
      </c>
      <c r="AK42" s="210">
        <f>SUM(AK35:AK39)</f>
        <v>-1270</v>
      </c>
      <c r="AL42" s="22">
        <f t="shared" ref="AL42:AW42" si="106">SUM(AL35:AL39)</f>
        <v>-327</v>
      </c>
      <c r="AM42" s="22">
        <f t="shared" si="106"/>
        <v>-2800</v>
      </c>
      <c r="AN42" s="423">
        <f t="shared" si="106"/>
        <v>-70</v>
      </c>
      <c r="AO42" s="23">
        <f t="shared" si="106"/>
        <v>-4467</v>
      </c>
      <c r="AP42" s="22">
        <f t="shared" si="106"/>
        <v>-245</v>
      </c>
      <c r="AQ42" s="22">
        <f t="shared" si="106"/>
        <v>-514</v>
      </c>
      <c r="AR42" s="22">
        <f t="shared" ref="AR42:AT42" si="107">SUM(AR35:AR39)</f>
        <v>-933</v>
      </c>
      <c r="AS42" s="423">
        <f t="shared" si="107"/>
        <v>-139</v>
      </c>
      <c r="AT42" s="23">
        <f t="shared" si="107"/>
        <v>-1831</v>
      </c>
      <c r="AU42" s="22">
        <f t="shared" si="106"/>
        <v>-222</v>
      </c>
      <c r="AV42" s="22">
        <f t="shared" si="106"/>
        <v>-1000</v>
      </c>
      <c r="AW42" s="22">
        <f t="shared" si="106"/>
        <v>-2000</v>
      </c>
      <c r="AX42" s="22">
        <f t="shared" ref="AX42:BB42" si="108">SUM(AX35:AX39)</f>
        <v>-1700</v>
      </c>
      <c r="AY42" s="23">
        <f t="shared" si="108"/>
        <v>-4922</v>
      </c>
      <c r="AZ42" s="22">
        <f t="shared" si="108"/>
        <v>0</v>
      </c>
      <c r="BA42" s="22">
        <f t="shared" si="108"/>
        <v>0</v>
      </c>
      <c r="BB42" s="22">
        <f t="shared" si="108"/>
        <v>0</v>
      </c>
      <c r="BC42" s="22">
        <f t="shared" ref="BC42:BG42" si="109">SUM(BC35:BC39)</f>
        <v>-600</v>
      </c>
      <c r="BD42" s="23">
        <f t="shared" si="109"/>
        <v>-600</v>
      </c>
      <c r="BE42" s="22">
        <f t="shared" si="109"/>
        <v>0</v>
      </c>
      <c r="BF42" s="22">
        <f t="shared" si="109"/>
        <v>0</v>
      </c>
      <c r="BG42" s="22">
        <f t="shared" si="109"/>
        <v>0</v>
      </c>
      <c r="BH42" s="22">
        <f t="shared" ref="BH42:BI42" si="110">SUM(BH35:BH39)</f>
        <v>0</v>
      </c>
      <c r="BI42" s="23">
        <f t="shared" si="110"/>
        <v>0</v>
      </c>
    </row>
    <row r="43" spans="1:62">
      <c r="A43" s="1" t="s">
        <v>210</v>
      </c>
      <c r="AK43" s="176">
        <f>AK13-AK42</f>
        <v>341</v>
      </c>
      <c r="AL43" s="74">
        <f t="shared" ref="AL43:AW43" si="111">AL13-AL42</f>
        <v>398</v>
      </c>
      <c r="AM43" s="74">
        <f t="shared" si="111"/>
        <v>2</v>
      </c>
      <c r="AN43" s="436">
        <f t="shared" si="111"/>
        <v>182</v>
      </c>
      <c r="AO43" s="76">
        <f t="shared" si="111"/>
        <v>923</v>
      </c>
      <c r="AP43" s="74">
        <f t="shared" si="111"/>
        <v>33</v>
      </c>
      <c r="AQ43" s="74">
        <f t="shared" si="111"/>
        <v>-13</v>
      </c>
      <c r="AR43" s="74">
        <f t="shared" ref="AR43:AT43" si="112">AR13-AR42</f>
        <v>9</v>
      </c>
      <c r="AS43" s="436">
        <f t="shared" si="112"/>
        <v>38</v>
      </c>
      <c r="AT43" s="76">
        <f t="shared" si="112"/>
        <v>67</v>
      </c>
      <c r="AU43" s="74">
        <f t="shared" si="111"/>
        <v>373</v>
      </c>
      <c r="AV43" s="74">
        <f t="shared" si="111"/>
        <v>87</v>
      </c>
      <c r="AW43" s="74">
        <f t="shared" si="111"/>
        <v>-384</v>
      </c>
      <c r="AX43" s="74">
        <f t="shared" ref="AX43:BB43" si="113">AX13-AX42</f>
        <v>-567</v>
      </c>
      <c r="AY43" s="76">
        <f t="shared" si="113"/>
        <v>-491</v>
      </c>
      <c r="AZ43" s="74">
        <f t="shared" si="113"/>
        <v>155</v>
      </c>
      <c r="BA43" s="74">
        <f t="shared" si="113"/>
        <v>110</v>
      </c>
      <c r="BB43" s="74">
        <f t="shared" si="113"/>
        <v>114</v>
      </c>
      <c r="BC43" s="74">
        <f t="shared" ref="BC43:BG43" si="114">BC13-BC42</f>
        <v>93</v>
      </c>
      <c r="BD43" s="76">
        <f t="shared" si="114"/>
        <v>472</v>
      </c>
      <c r="BE43" s="74">
        <f t="shared" si="114"/>
        <v>141.1442568399579</v>
      </c>
      <c r="BF43" s="74">
        <f t="shared" si="114"/>
        <v>211.71638525993683</v>
      </c>
      <c r="BG43" s="74">
        <f t="shared" si="114"/>
        <v>211.71638525993683</v>
      </c>
      <c r="BH43" s="74">
        <f t="shared" ref="BH43:BI43" si="115">BH13-BH42</f>
        <v>232.2395371384149</v>
      </c>
      <c r="BI43" s="76">
        <f t="shared" si="115"/>
        <v>796.81656449824652</v>
      </c>
    </row>
    <row r="44" spans="1:62">
      <c r="A44" s="5" t="s">
        <v>537</v>
      </c>
      <c r="AK44" s="89">
        <f>AK43/AK3</f>
        <v>6.2192230530731349E-2</v>
      </c>
      <c r="AL44" s="34">
        <f t="shared" ref="AL44:AW44" si="116">AL43/AL3</f>
        <v>6.4286868034243258E-2</v>
      </c>
      <c r="AM44" s="34">
        <f t="shared" si="116"/>
        <v>3.768607499528924E-4</v>
      </c>
      <c r="AN44" s="228">
        <f t="shared" si="116"/>
        <v>2.9445073612684031E-2</v>
      </c>
      <c r="AO44" s="36">
        <f t="shared" si="116"/>
        <v>3.9849753907261892E-2</v>
      </c>
      <c r="AP44" s="35">
        <f t="shared" si="116"/>
        <v>5.0466432176173729E-3</v>
      </c>
      <c r="AQ44" s="35">
        <f t="shared" si="116"/>
        <v>-2.1079941624777038E-3</v>
      </c>
      <c r="AR44" s="34">
        <f t="shared" ref="AR44:AT44" si="117">AR43/AR3</f>
        <v>1.6420361247947454E-3</v>
      </c>
      <c r="AS44" s="228">
        <f t="shared" si="117"/>
        <v>5.6329676845538095E-3</v>
      </c>
      <c r="AT44" s="36">
        <f t="shared" si="117"/>
        <v>2.6872017005574941E-3</v>
      </c>
      <c r="AU44" s="35">
        <f t="shared" si="116"/>
        <v>5.3669064748201441E-2</v>
      </c>
      <c r="AV44" s="35">
        <f t="shared" si="116"/>
        <v>1.4449427005480818E-2</v>
      </c>
      <c r="AW44" s="35">
        <f t="shared" si="116"/>
        <v>-6.9364161849710976E-2</v>
      </c>
      <c r="AX44" s="35">
        <f t="shared" ref="AX44:BB44" si="118">AX43/AX3</f>
        <v>-0.10478654592496765</v>
      </c>
      <c r="AY44" s="36">
        <f t="shared" si="118"/>
        <v>-2.0528472280290994E-2</v>
      </c>
      <c r="AZ44" s="35">
        <f t="shared" si="118"/>
        <v>2.461098761511591E-2</v>
      </c>
      <c r="BA44" s="35">
        <f t="shared" si="118"/>
        <v>1.6623847665105034E-2</v>
      </c>
      <c r="BB44" s="35">
        <f t="shared" si="118"/>
        <v>1.65169516082295E-2</v>
      </c>
      <c r="BC44" s="35">
        <f t="shared" ref="BC44:BG44" si="119">BC43/BC3</f>
        <v>1.2538762302817851E-2</v>
      </c>
      <c r="BD44" s="36">
        <f t="shared" si="119"/>
        <v>1.7331277080120437E-2</v>
      </c>
      <c r="BE44" s="35">
        <f t="shared" si="119"/>
        <v>2.0000000000000004E-2</v>
      </c>
      <c r="BF44" s="35">
        <f t="shared" si="119"/>
        <v>0.03</v>
      </c>
      <c r="BG44" s="35">
        <f t="shared" si="119"/>
        <v>0.03</v>
      </c>
      <c r="BH44" s="35">
        <f t="shared" ref="BH44:BI44" si="120">BH43/BH3</f>
        <v>3.2908110090763248E-2</v>
      </c>
      <c r="BI44" s="36">
        <f t="shared" si="120"/>
        <v>2.8227027522690816E-2</v>
      </c>
    </row>
    <row r="45" spans="1:62">
      <c r="AL45" s="487"/>
    </row>
    <row r="48" spans="1:62">
      <c r="AS48" s="41"/>
    </row>
  </sheetData>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
  <dimension ref="A1:AF73"/>
  <sheetViews>
    <sheetView showGridLines="0" zoomScale="80" zoomScaleNormal="80" workbookViewId="0">
      <pane xSplit="1" ySplit="2" topLeftCell="B6" activePane="bottomRight" state="frozen"/>
      <selection activeCell="S55" sqref="S55"/>
      <selection pane="topRight" activeCell="S55" sqref="S55"/>
      <selection pane="bottomLeft" activeCell="S55" sqref="S55"/>
      <selection pane="bottomRight" activeCell="AB57" sqref="AB57"/>
    </sheetView>
  </sheetViews>
  <sheetFormatPr defaultRowHeight="14.5"/>
  <cols>
    <col min="1" max="1" width="48.1796875" customWidth="1"/>
    <col min="2" max="21" width="12.1796875" style="26" customWidth="1"/>
    <col min="22" max="32" width="12.1796875" customWidth="1"/>
  </cols>
  <sheetData>
    <row r="1" spans="1:32">
      <c r="A1" s="15" t="s">
        <v>447</v>
      </c>
      <c r="B1" s="68"/>
      <c r="C1" s="68"/>
      <c r="D1" s="68"/>
      <c r="E1" s="68"/>
      <c r="F1" s="68"/>
      <c r="G1" s="68"/>
      <c r="H1" s="68"/>
      <c r="I1" s="68"/>
      <c r="J1" s="68"/>
      <c r="K1" s="68"/>
      <c r="L1" s="68"/>
      <c r="M1" s="68"/>
      <c r="N1" s="68"/>
      <c r="O1" s="68"/>
      <c r="P1" s="68"/>
      <c r="Q1" s="68"/>
      <c r="R1" s="68"/>
      <c r="S1" s="68"/>
      <c r="T1" s="68"/>
      <c r="U1" s="90"/>
      <c r="V1" s="90"/>
      <c r="W1" s="90"/>
      <c r="X1" s="90"/>
      <c r="Y1" s="90"/>
      <c r="Z1" s="90"/>
      <c r="AA1" s="90"/>
      <c r="AB1" s="90"/>
      <c r="AC1" s="90"/>
      <c r="AD1" s="90"/>
      <c r="AE1" s="90"/>
      <c r="AF1" s="90"/>
    </row>
    <row r="2" spans="1:32">
      <c r="B2" s="101" t="str">
        <f>Income_Statement_Annual!B2</f>
        <v>CY2000A</v>
      </c>
      <c r="C2" s="179" t="str">
        <f>Income_Statement_Annual!C2</f>
        <v>CY2001A</v>
      </c>
      <c r="D2" s="69" t="str">
        <f>Income_Statement_Annual!D2</f>
        <v>CY2002A</v>
      </c>
      <c r="E2" s="179" t="str">
        <f>Income_Statement_Annual!E2</f>
        <v>CY2003A</v>
      </c>
      <c r="F2" s="69" t="str">
        <f>Income_Statement_Annual!F2</f>
        <v>CY2004A</v>
      </c>
      <c r="G2" s="179" t="str">
        <f>Income_Statement_Annual!G2</f>
        <v>CY2005A</v>
      </c>
      <c r="H2" s="69" t="str">
        <f>Income_Statement_Annual!H2</f>
        <v>CY2006A</v>
      </c>
      <c r="I2" s="179" t="str">
        <f>Income_Statement_Annual!I2</f>
        <v>CY2007A</v>
      </c>
      <c r="J2" s="69" t="str">
        <f>Income_Statement_Annual!J2</f>
        <v>CY2008A</v>
      </c>
      <c r="K2" s="179" t="str">
        <f>Income_Statement_Annual!K2</f>
        <v>CY2009A</v>
      </c>
      <c r="L2" s="69" t="str">
        <f>Income_Statement_Annual!L2</f>
        <v>CY2010A</v>
      </c>
      <c r="M2" s="179" t="str">
        <f>Income_Statement_Annual!M2</f>
        <v>CY2011A</v>
      </c>
      <c r="N2" s="69" t="str">
        <f>Income_Statement_Annual!N2</f>
        <v>CY2012A</v>
      </c>
      <c r="O2" s="179" t="str">
        <f>Income_Statement_Annual!O2</f>
        <v>CY2013A</v>
      </c>
      <c r="P2" s="179" t="str">
        <f>Income_Statement_Annual!P2</f>
        <v>CY2014A</v>
      </c>
      <c r="Q2" s="179" t="str">
        <f>Income_Statement_Annual!Q2</f>
        <v>CY2015A</v>
      </c>
      <c r="R2" s="179" t="str">
        <f>Income_Statement_Annual!R2</f>
        <v>CY2016A</v>
      </c>
      <c r="S2" s="179" t="str">
        <f>Income_Statement_Annual!S2</f>
        <v>CY2017A</v>
      </c>
      <c r="T2" s="179" t="str">
        <f>Income_Statement_Annual!T2</f>
        <v>CY2018A</v>
      </c>
      <c r="U2" s="179" t="str">
        <f>Income_Statement_Annual!U2</f>
        <v>CY2019A</v>
      </c>
      <c r="V2" s="179" t="str">
        <f>Income_Statement_Annual!V2</f>
        <v>CY2020A</v>
      </c>
      <c r="W2" s="179" t="str">
        <f>Income_Statement_Annual!W2</f>
        <v>CY2021A</v>
      </c>
      <c r="X2" s="179" t="str">
        <f>Income_Statement_Annual!X2</f>
        <v>CY2022A</v>
      </c>
      <c r="Y2" s="179" t="str">
        <f>Income_Statement_Annual!Y2</f>
        <v>CY2023A</v>
      </c>
      <c r="Z2" s="179" t="str">
        <f>Income_Statement_Annual!Z2</f>
        <v>CY2024A</v>
      </c>
      <c r="AA2" s="179" t="str">
        <f>Income_Statement_Annual!AA2</f>
        <v>CY2025A</v>
      </c>
      <c r="AB2" s="179" t="str">
        <f>Income_Statement_Annual!AB2</f>
        <v>CY2026E</v>
      </c>
      <c r="AC2" s="179" t="str">
        <f>Income_Statement_Annual!AC2</f>
        <v>CY2027E</v>
      </c>
      <c r="AD2" s="179" t="str">
        <f>Income_Statement_Annual!AD2</f>
        <v>CY2028E</v>
      </c>
      <c r="AE2" s="179" t="str">
        <f>Income_Statement_Annual!AE2</f>
        <v>CY2029E</v>
      </c>
      <c r="AF2" s="179" t="str">
        <f>Income_Statement_Annual!AF2</f>
        <v>CY2030E</v>
      </c>
    </row>
    <row r="3" spans="1:32">
      <c r="A3" s="9" t="s">
        <v>448</v>
      </c>
      <c r="B3" s="92"/>
      <c r="C3" s="92"/>
      <c r="D3" s="92"/>
      <c r="E3" s="92"/>
      <c r="F3" s="92"/>
      <c r="G3" s="92"/>
      <c r="H3" s="92"/>
      <c r="I3" s="92"/>
      <c r="J3" s="92"/>
      <c r="K3" s="92"/>
      <c r="L3" s="92"/>
      <c r="M3" s="92"/>
      <c r="N3" s="92"/>
      <c r="O3" s="92"/>
      <c r="P3" s="92"/>
      <c r="Q3" s="296"/>
      <c r="R3" s="296"/>
      <c r="S3" s="296"/>
      <c r="T3" s="296"/>
      <c r="U3" s="296"/>
      <c r="V3" s="296"/>
      <c r="W3" s="296"/>
      <c r="X3" s="296"/>
      <c r="Y3" s="296"/>
      <c r="Z3" s="296"/>
      <c r="AA3" s="296"/>
      <c r="AB3" s="296"/>
      <c r="AC3" s="296"/>
      <c r="AD3" s="296"/>
      <c r="AE3" s="296"/>
      <c r="AF3" s="296"/>
    </row>
    <row r="4" spans="1:32">
      <c r="A4" s="1" t="s">
        <v>313</v>
      </c>
      <c r="B4" s="38">
        <f>BDS_Deliveries_Annual!B6</f>
        <v>8</v>
      </c>
      <c r="C4" s="38">
        <f>BDS_Deliveries_Annual!C6</f>
        <v>7</v>
      </c>
      <c r="D4" s="38">
        <f>BDS_Deliveries_Annual!D6</f>
        <v>15</v>
      </c>
      <c r="E4" s="38">
        <f>BDS_Deliveries_Annual!E6</f>
        <v>0</v>
      </c>
      <c r="F4" s="38">
        <f>BDS_Deliveries_Annual!F6</f>
        <v>3</v>
      </c>
      <c r="G4" s="38">
        <f>BDS_Deliveries_Annual!G6</f>
        <v>12</v>
      </c>
      <c r="H4" s="38">
        <f>BDS_Deliveries_Annual!H6</f>
        <v>31</v>
      </c>
      <c r="I4" s="38">
        <f>BDS_Deliveries_Annual!I6</f>
        <v>17</v>
      </c>
      <c r="J4" s="38">
        <f>BDS_Deliveries_Annual!J6</f>
        <v>3</v>
      </c>
      <c r="K4" s="38">
        <f>BDS_Deliveries_Annual!K6</f>
        <v>23</v>
      </c>
      <c r="L4" s="38">
        <f>BDS_Deliveries_Annual!L6</f>
        <v>13</v>
      </c>
      <c r="M4" s="38">
        <f>BDS_Deliveries_Annual!M6</f>
        <v>0</v>
      </c>
      <c r="N4" s="38">
        <f>BDS_Deliveries_Annual!N6</f>
        <v>19</v>
      </c>
      <c r="O4" s="38">
        <f>BDS_Deliveries_Annual!O6</f>
        <v>37</v>
      </c>
      <c r="P4" s="38">
        <f>BDS_Deliveries_Annual!P6</f>
        <v>45</v>
      </c>
      <c r="Q4" s="38">
        <f>BDS_Deliveries_Annual!Q6</f>
        <v>23</v>
      </c>
      <c r="R4" s="38">
        <f>BDS_Deliveries_Annual!R6</f>
        <v>31</v>
      </c>
      <c r="S4" s="38">
        <f>BDS_Deliveries_Annual!S6</f>
        <v>11</v>
      </c>
      <c r="T4" s="38">
        <f>BDS_Deliveries_Annual!T6</f>
        <v>0</v>
      </c>
      <c r="U4" s="38">
        <f>BDS_Deliveries_Annual!U6</f>
        <v>37</v>
      </c>
      <c r="V4" s="38">
        <f>BDS_Deliveries_Annual!V6</f>
        <v>19</v>
      </c>
      <c r="W4" s="38">
        <f>BDS_Deliveries_Annual!W6</f>
        <v>27</v>
      </c>
      <c r="X4" s="38">
        <f>BDS_Deliveries_Annual!X6</f>
        <v>25</v>
      </c>
      <c r="Y4" s="38">
        <f>BDS_Deliveries_Annual!Y6</f>
        <v>20</v>
      </c>
      <c r="Z4" s="38">
        <f>BDS_Deliveries_Annual!Z6</f>
        <v>16</v>
      </c>
      <c r="AA4" s="38">
        <f>BDS_Deliveries_Annual!AA6</f>
        <v>19</v>
      </c>
      <c r="AB4" s="43">
        <v>15</v>
      </c>
      <c r="AC4" s="43">
        <v>15</v>
      </c>
      <c r="AD4" s="43">
        <v>15</v>
      </c>
      <c r="AE4" s="43">
        <v>15</v>
      </c>
      <c r="AF4" s="43">
        <v>15</v>
      </c>
    </row>
    <row r="5" spans="1:32">
      <c r="A5" s="1" t="s">
        <v>314</v>
      </c>
      <c r="B5" s="38">
        <f>BDS_Deliveries_Annual!B7</f>
        <v>0</v>
      </c>
      <c r="C5" s="38">
        <f>BDS_Deliveries_Annual!C7</f>
        <v>0</v>
      </c>
      <c r="D5" s="38">
        <f>BDS_Deliveries_Annual!D7</f>
        <v>0</v>
      </c>
      <c r="E5" s="38">
        <f>BDS_Deliveries_Annual!E7</f>
        <v>0</v>
      </c>
      <c r="F5" s="38">
        <f>BDS_Deliveries_Annual!F7</f>
        <v>0</v>
      </c>
      <c r="G5" s="38">
        <f>BDS_Deliveries_Annual!G7</f>
        <v>0</v>
      </c>
      <c r="H5" s="38">
        <f>BDS_Deliveries_Annual!H7</f>
        <v>0</v>
      </c>
      <c r="I5" s="38">
        <f>BDS_Deliveries_Annual!I7</f>
        <v>0</v>
      </c>
      <c r="J5" s="38">
        <f>BDS_Deliveries_Annual!J7</f>
        <v>0</v>
      </c>
      <c r="K5" s="38">
        <f>BDS_Deliveries_Annual!K7</f>
        <v>0</v>
      </c>
      <c r="L5" s="38">
        <f>BDS_Deliveries_Annual!L7</f>
        <v>0</v>
      </c>
      <c r="M5" s="38">
        <f>BDS_Deliveries_Annual!M7</f>
        <v>0</v>
      </c>
      <c r="N5" s="38">
        <f>BDS_Deliveries_Annual!N7</f>
        <v>0</v>
      </c>
      <c r="O5" s="38">
        <f>BDS_Deliveries_Annual!O7</f>
        <v>0</v>
      </c>
      <c r="P5" s="38">
        <f>BDS_Deliveries_Annual!P7</f>
        <v>37</v>
      </c>
      <c r="Q5" s="38">
        <f>BDS_Deliveries_Annual!Q7</f>
        <v>38</v>
      </c>
      <c r="R5" s="38">
        <f>BDS_Deliveries_Annual!R7</f>
        <v>34</v>
      </c>
      <c r="S5" s="38">
        <f>BDS_Deliveries_Annual!S7</f>
        <v>57</v>
      </c>
      <c r="T5" s="38">
        <f>BDS_Deliveries_Annual!T7</f>
        <v>23</v>
      </c>
      <c r="U5" s="38">
        <f>BDS_Deliveries_Annual!U7</f>
        <v>74</v>
      </c>
      <c r="V5" s="38">
        <f>BDS_Deliveries_Annual!V7</f>
        <v>52</v>
      </c>
      <c r="W5" s="38">
        <f>BDS_Deliveries_Annual!W7</f>
        <v>56</v>
      </c>
      <c r="X5" s="38">
        <f>BDS_Deliveries_Annual!X7</f>
        <v>50</v>
      </c>
      <c r="Y5" s="38">
        <f>BDS_Deliveries_Annual!Y7</f>
        <v>57</v>
      </c>
      <c r="Z5" s="38">
        <f>BDS_Deliveries_Annual!Z7</f>
        <v>34</v>
      </c>
      <c r="AA5" s="38">
        <f>BDS_Deliveries_Annual!AA7</f>
        <v>42</v>
      </c>
      <c r="AB5" s="43">
        <v>50</v>
      </c>
      <c r="AC5" s="43">
        <v>50</v>
      </c>
      <c r="AD5" s="43">
        <v>50</v>
      </c>
      <c r="AE5" s="43">
        <v>50</v>
      </c>
      <c r="AF5" s="43">
        <v>50</v>
      </c>
    </row>
    <row r="6" spans="1:32">
      <c r="A6" s="1" t="s">
        <v>315</v>
      </c>
      <c r="B6" s="38">
        <f>BDS_Deliveries_Annual!B8</f>
        <v>13</v>
      </c>
      <c r="C6" s="38">
        <f>BDS_Deliveries_Annual!C8</f>
        <v>14</v>
      </c>
      <c r="D6" s="38">
        <f>BDS_Deliveries_Annual!D8</f>
        <v>16</v>
      </c>
      <c r="E6" s="38">
        <f>BDS_Deliveries_Annual!E8</f>
        <v>16</v>
      </c>
      <c r="F6" s="38">
        <f>BDS_Deliveries_Annual!F8</f>
        <v>16</v>
      </c>
      <c r="G6" s="38">
        <f>BDS_Deliveries_Annual!G8</f>
        <v>16</v>
      </c>
      <c r="H6" s="38">
        <f>BDS_Deliveries_Annual!H8</f>
        <v>16</v>
      </c>
      <c r="I6" s="38">
        <f>BDS_Deliveries_Annual!I8</f>
        <v>16</v>
      </c>
      <c r="J6" s="38">
        <f>BDS_Deliveries_Annual!J8</f>
        <v>16</v>
      </c>
      <c r="K6" s="38">
        <f>BDS_Deliveries_Annual!K8</f>
        <v>16</v>
      </c>
      <c r="L6" s="38">
        <f>BDS_Deliveries_Annual!L8</f>
        <v>14</v>
      </c>
      <c r="M6" s="38">
        <f>BDS_Deliveries_Annual!M8</f>
        <v>13</v>
      </c>
      <c r="N6" s="38">
        <f>BDS_Deliveries_Annual!N8</f>
        <v>10</v>
      </c>
      <c r="O6" s="38">
        <f>BDS_Deliveries_Annual!O8</f>
        <v>10</v>
      </c>
      <c r="P6" s="38">
        <f>BDS_Deliveries_Annual!P8</f>
        <v>7</v>
      </c>
      <c r="Q6" s="38">
        <f>BDS_Deliveries_Annual!Q8</f>
        <v>5</v>
      </c>
      <c r="R6" s="38">
        <f>BDS_Deliveries_Annual!R8</f>
        <v>4</v>
      </c>
      <c r="S6" s="38">
        <f>BDS_Deliveries_Annual!S8</f>
        <v>0</v>
      </c>
      <c r="T6" s="38">
        <f>BDS_Deliveries_Annual!T8</f>
        <v>0</v>
      </c>
      <c r="U6" s="38">
        <f>BDS_Deliveries_Annual!U8</f>
        <v>1</v>
      </c>
      <c r="V6" s="38">
        <f>BDS_Deliveries_Annual!V8</f>
        <v>0</v>
      </c>
      <c r="W6" s="38">
        <f>BDS_Deliveries_Annual!W8</f>
        <v>0</v>
      </c>
      <c r="X6" s="38">
        <f>BDS_Deliveries_Annual!X8</f>
        <v>0</v>
      </c>
      <c r="Y6" s="38">
        <f>BDS_Deliveries_Annual!Y8</f>
        <v>0</v>
      </c>
      <c r="Z6" s="38">
        <f>BDS_Deliveries_Annual!Z8</f>
        <v>0</v>
      </c>
      <c r="AA6" s="38">
        <f>BDS_Deliveries_Annual!AA8</f>
        <v>0</v>
      </c>
      <c r="AB6" s="43">
        <v>0</v>
      </c>
      <c r="AC6" s="43">
        <v>0</v>
      </c>
      <c r="AD6" s="43">
        <v>0</v>
      </c>
      <c r="AE6" s="43">
        <v>0</v>
      </c>
      <c r="AF6" s="43">
        <v>0</v>
      </c>
    </row>
    <row r="7" spans="1:32">
      <c r="A7" s="1" t="s">
        <v>316</v>
      </c>
      <c r="B7" s="38">
        <f>BDS_Deliveries_Annual!B9</f>
        <v>0</v>
      </c>
      <c r="C7" s="38">
        <f>BDS_Deliveries_Annual!C9</f>
        <v>4</v>
      </c>
      <c r="D7" s="38">
        <f>BDS_Deliveries_Annual!D9</f>
        <v>3</v>
      </c>
      <c r="E7" s="38">
        <f>BDS_Deliveries_Annual!E9</f>
        <v>1</v>
      </c>
      <c r="F7" s="38">
        <f>BDS_Deliveries_Annual!F9</f>
        <v>3</v>
      </c>
      <c r="G7" s="38">
        <f>BDS_Deliveries_Annual!G9</f>
        <v>2</v>
      </c>
      <c r="H7" s="38">
        <f>BDS_Deliveries_Annual!H9</f>
        <v>1</v>
      </c>
      <c r="I7" s="38">
        <f>BDS_Deliveries_Annual!I9</f>
        <v>3</v>
      </c>
      <c r="J7" s="38">
        <f>BDS_Deliveries_Annual!J9</f>
        <v>0</v>
      </c>
      <c r="K7" s="38">
        <f>BDS_Deliveries_Annual!K9</f>
        <v>0</v>
      </c>
      <c r="L7" s="38">
        <f>BDS_Deliveries_Annual!L9</f>
        <v>0</v>
      </c>
      <c r="M7" s="38">
        <f>BDS_Deliveries_Annual!M9</f>
        <v>0</v>
      </c>
      <c r="N7" s="38">
        <f>BDS_Deliveries_Annual!N9</f>
        <v>0</v>
      </c>
      <c r="O7" s="38">
        <f>BDS_Deliveries_Annual!O9</f>
        <v>0</v>
      </c>
      <c r="P7" s="38">
        <f>BDS_Deliveries_Annual!P9</f>
        <v>1</v>
      </c>
      <c r="Q7" s="38">
        <f>BDS_Deliveries_Annual!Q9</f>
        <v>1</v>
      </c>
      <c r="R7" s="38">
        <f>BDS_Deliveries_Annual!R9</f>
        <v>1</v>
      </c>
      <c r="S7" s="38">
        <f>BDS_Deliveries_Annual!S9</f>
        <v>0</v>
      </c>
      <c r="T7" s="38">
        <f>BDS_Deliveries_Annual!T9</f>
        <v>0</v>
      </c>
      <c r="U7" s="38">
        <f>BDS_Deliveries_Annual!U9</f>
        <v>2</v>
      </c>
      <c r="V7" s="38">
        <f>BDS_Deliveries_Annual!V9</f>
        <v>0</v>
      </c>
      <c r="W7" s="38">
        <f>BDS_Deliveries_Annual!W9</f>
        <v>0</v>
      </c>
      <c r="X7" s="38">
        <f>BDS_Deliveries_Annual!X9</f>
        <v>0</v>
      </c>
      <c r="Y7" s="38">
        <f>BDS_Deliveries_Annual!Y9</f>
        <v>0</v>
      </c>
      <c r="Z7" s="38">
        <f>BDS_Deliveries_Annual!Z9</f>
        <v>0</v>
      </c>
      <c r="AA7" s="38">
        <f>BDS_Deliveries_Annual!AA9</f>
        <v>0</v>
      </c>
      <c r="AB7" s="43">
        <v>0</v>
      </c>
      <c r="AC7" s="43">
        <v>0</v>
      </c>
      <c r="AD7" s="43">
        <v>0</v>
      </c>
      <c r="AE7" s="43">
        <v>0</v>
      </c>
      <c r="AF7" s="43">
        <v>0</v>
      </c>
    </row>
    <row r="8" spans="1:32">
      <c r="A8" s="1" t="s">
        <v>317</v>
      </c>
      <c r="B8" s="38">
        <f>BDS_Deliveries_Annual!B10</f>
        <v>7</v>
      </c>
      <c r="C8" s="38">
        <f>BDS_Deliveries_Annual!C10</f>
        <v>11</v>
      </c>
      <c r="D8" s="38">
        <f>BDS_Deliveries_Annual!D10</f>
        <v>7</v>
      </c>
      <c r="E8" s="38">
        <f>BDS_Deliveries_Annual!E10</f>
        <v>0</v>
      </c>
      <c r="F8" s="38">
        <f>BDS_Deliveries_Annual!F10</f>
        <v>0</v>
      </c>
      <c r="G8" s="38">
        <f>BDS_Deliveries_Annual!G10</f>
        <v>0</v>
      </c>
      <c r="H8" s="38">
        <f>BDS_Deliveries_Annual!H10</f>
        <v>2</v>
      </c>
      <c r="I8" s="38">
        <f>BDS_Deliveries_Annual!I10</f>
        <v>10</v>
      </c>
      <c r="J8" s="38">
        <f>BDS_Deliveries_Annual!J10</f>
        <v>12</v>
      </c>
      <c r="K8" s="38">
        <f>BDS_Deliveries_Annual!K10</f>
        <v>11</v>
      </c>
      <c r="L8" s="38">
        <f>BDS_Deliveries_Annual!L10</f>
        <v>20</v>
      </c>
      <c r="M8" s="38">
        <f>BDS_Deliveries_Annual!M10</f>
        <v>32</v>
      </c>
      <c r="N8" s="38">
        <f>BDS_Deliveries_Annual!N10</f>
        <v>51</v>
      </c>
      <c r="O8" s="38">
        <f>BDS_Deliveries_Annual!O10</f>
        <v>44</v>
      </c>
      <c r="P8" s="38">
        <f>BDS_Deliveries_Annual!P10</f>
        <v>54</v>
      </c>
      <c r="Q8" s="38">
        <f>BDS_Deliveries_Annual!Q10</f>
        <v>41</v>
      </c>
      <c r="R8" s="38">
        <f>BDS_Deliveries_Annual!R10</f>
        <v>25</v>
      </c>
      <c r="S8" s="38">
        <f>BDS_Deliveries_Annual!S10</f>
        <v>9</v>
      </c>
      <c r="T8" s="38">
        <f>BDS_Deliveries_Annual!T10</f>
        <v>13</v>
      </c>
      <c r="U8" s="38">
        <f>BDS_Deliveries_Annual!U10</f>
        <v>13</v>
      </c>
      <c r="V8" s="38">
        <f>BDS_Deliveries_Annual!V10</f>
        <v>27</v>
      </c>
      <c r="W8" s="38">
        <f>BDS_Deliveries_Annual!W10</f>
        <v>15</v>
      </c>
      <c r="X8" s="38">
        <f>BDS_Deliveries_Annual!X10</f>
        <v>19</v>
      </c>
      <c r="Y8" s="38">
        <f>BDS_Deliveries_Annual!Y10</f>
        <v>11</v>
      </c>
      <c r="Z8" s="38">
        <f>BDS_Deliveries_Annual!Z10</f>
        <v>4</v>
      </c>
      <c r="AA8" s="38">
        <f>BDS_Deliveries_Annual!AA10</f>
        <v>3</v>
      </c>
      <c r="AB8" s="43">
        <v>15</v>
      </c>
      <c r="AC8" s="43">
        <v>15</v>
      </c>
      <c r="AD8" s="43">
        <v>15</v>
      </c>
      <c r="AE8" s="43">
        <v>15</v>
      </c>
      <c r="AF8" s="43">
        <v>15</v>
      </c>
    </row>
    <row r="9" spans="1:32">
      <c r="A9" s="1" t="s">
        <v>318</v>
      </c>
      <c r="B9" s="38">
        <f>BDS_Deliveries_Annual!B11</f>
        <v>0</v>
      </c>
      <c r="C9" s="38">
        <f>BDS_Deliveries_Annual!C11</f>
        <v>0</v>
      </c>
      <c r="D9" s="38">
        <f>BDS_Deliveries_Annual!D11</f>
        <v>0</v>
      </c>
      <c r="E9" s="38">
        <f>BDS_Deliveries_Annual!E11</f>
        <v>0</v>
      </c>
      <c r="F9" s="38">
        <f>BDS_Deliveries_Annual!F11</f>
        <v>0</v>
      </c>
      <c r="G9" s="38">
        <f>BDS_Deliveries_Annual!G11</f>
        <v>0</v>
      </c>
      <c r="H9" s="38">
        <f>BDS_Deliveries_Annual!H11</f>
        <v>0</v>
      </c>
      <c r="I9" s="38">
        <f>BDS_Deliveries_Annual!I11</f>
        <v>0</v>
      </c>
      <c r="J9" s="38">
        <f>BDS_Deliveries_Annual!J11</f>
        <v>0</v>
      </c>
      <c r="K9" s="38">
        <f>BDS_Deliveries_Annual!K11</f>
        <v>0</v>
      </c>
      <c r="L9" s="38">
        <f>BDS_Deliveries_Annual!L11</f>
        <v>0</v>
      </c>
      <c r="M9" s="38">
        <f>BDS_Deliveries_Annual!M11</f>
        <v>0</v>
      </c>
      <c r="N9" s="38">
        <f>BDS_Deliveries_Annual!N11</f>
        <v>0</v>
      </c>
      <c r="O9" s="38">
        <f>BDS_Deliveries_Annual!O11</f>
        <v>0</v>
      </c>
      <c r="P9" s="38">
        <f>BDS_Deliveries_Annual!P11</f>
        <v>0</v>
      </c>
      <c r="Q9" s="38">
        <f>BDS_Deliveries_Annual!Q11</f>
        <v>16</v>
      </c>
      <c r="R9" s="38">
        <f>BDS_Deliveries_Annual!R11</f>
        <v>25</v>
      </c>
      <c r="S9" s="38">
        <f>BDS_Deliveries_Annual!S11</f>
        <v>35</v>
      </c>
      <c r="T9" s="38">
        <f>BDS_Deliveries_Annual!T11</f>
        <v>17</v>
      </c>
      <c r="U9" s="38">
        <f>BDS_Deliveries_Annual!U11</f>
        <v>22</v>
      </c>
      <c r="V9" s="38">
        <f>BDS_Deliveries_Annual!V11</f>
        <v>3</v>
      </c>
      <c r="W9" s="38">
        <f>BDS_Deliveries_Annual!W11</f>
        <v>5</v>
      </c>
      <c r="X9" s="38">
        <f>BDS_Deliveries_Annual!X11</f>
        <v>9</v>
      </c>
      <c r="Y9" s="38">
        <f>BDS_Deliveries_Annual!Y11</f>
        <v>9</v>
      </c>
      <c r="Z9" s="38">
        <f>BDS_Deliveries_Annual!Z11</f>
        <v>9</v>
      </c>
      <c r="AA9" s="38">
        <f>BDS_Deliveries_Annual!AA11</f>
        <v>11</v>
      </c>
      <c r="AB9" s="43">
        <v>10</v>
      </c>
      <c r="AC9" s="43">
        <v>10</v>
      </c>
      <c r="AD9" s="43">
        <v>10</v>
      </c>
      <c r="AE9" s="43">
        <v>10</v>
      </c>
      <c r="AF9" s="43">
        <v>10</v>
      </c>
    </row>
    <row r="10" spans="1:32">
      <c r="A10" s="1" t="s">
        <v>319</v>
      </c>
      <c r="B10" s="38">
        <f>BDS_Deliveries_Annual!B12</f>
        <v>5</v>
      </c>
      <c r="C10" s="38">
        <f>BDS_Deliveries_Annual!C12</f>
        <v>0</v>
      </c>
      <c r="D10" s="38">
        <f>BDS_Deliveries_Annual!D12</f>
        <v>3</v>
      </c>
      <c r="E10" s="38">
        <f>BDS_Deliveries_Annual!E12</f>
        <v>4</v>
      </c>
      <c r="F10" s="38">
        <f>BDS_Deliveries_Annual!F12</f>
        <v>3</v>
      </c>
      <c r="G10" s="38">
        <f>BDS_Deliveries_Annual!G12</f>
        <v>6</v>
      </c>
      <c r="H10" s="38">
        <f>BDS_Deliveries_Annual!H12</f>
        <v>12</v>
      </c>
      <c r="I10" s="38">
        <f>BDS_Deliveries_Annual!I12</f>
        <v>12</v>
      </c>
      <c r="J10" s="38">
        <f>BDS_Deliveries_Annual!J12</f>
        <v>14</v>
      </c>
      <c r="K10" s="38">
        <f>BDS_Deliveries_Annual!K12</f>
        <v>13</v>
      </c>
      <c r="L10" s="38">
        <f>BDS_Deliveries_Annual!L12</f>
        <v>13</v>
      </c>
      <c r="M10" s="38">
        <f>BDS_Deliveries_Annual!M12</f>
        <v>15</v>
      </c>
      <c r="N10" s="38">
        <f>BDS_Deliveries_Annual!N12</f>
        <v>8</v>
      </c>
      <c r="O10" s="38">
        <f>BDS_Deliveries_Annual!O12</f>
        <v>14</v>
      </c>
      <c r="P10" s="38">
        <f>BDS_Deliveries_Annual!P12</f>
        <v>14</v>
      </c>
      <c r="Q10" s="38">
        <f>BDS_Deliveries_Annual!Q12</f>
        <v>12</v>
      </c>
      <c r="R10" s="38">
        <f>BDS_Deliveries_Annual!R12</f>
        <v>15</v>
      </c>
      <c r="S10" s="38">
        <f>BDS_Deliveries_Annual!S12</f>
        <v>16</v>
      </c>
      <c r="T10" s="38">
        <f>BDS_Deliveries_Annual!T12</f>
        <v>10</v>
      </c>
      <c r="U10" s="38">
        <f>BDS_Deliveries_Annual!U12</f>
        <v>11</v>
      </c>
      <c r="V10" s="38">
        <f>BDS_Deliveries_Annual!V12</f>
        <v>4</v>
      </c>
      <c r="W10" s="38">
        <f>BDS_Deliveries_Annual!W12</f>
        <v>16</v>
      </c>
      <c r="X10" s="38">
        <f>BDS_Deliveries_Annual!X12</f>
        <v>12</v>
      </c>
      <c r="Y10" s="38">
        <f>BDS_Deliveries_Annual!Y12</f>
        <v>9</v>
      </c>
      <c r="Z10" s="38">
        <f>BDS_Deliveries_Annual!Z12</f>
        <v>14</v>
      </c>
      <c r="AA10" s="38">
        <f>BDS_Deliveries_Annual!AA12</f>
        <v>9</v>
      </c>
      <c r="AB10" s="43">
        <v>30</v>
      </c>
      <c r="AC10" s="43">
        <v>30</v>
      </c>
      <c r="AD10" s="43">
        <v>30</v>
      </c>
      <c r="AE10" s="43">
        <v>30</v>
      </c>
      <c r="AF10" s="43">
        <v>30</v>
      </c>
    </row>
    <row r="11" spans="1:32">
      <c r="A11" s="1" t="s">
        <v>320</v>
      </c>
      <c r="B11" s="38">
        <f>BDS_Deliveries_Annual!B13</f>
        <v>42</v>
      </c>
      <c r="C11" s="38">
        <f>BDS_Deliveries_Annual!C13</f>
        <v>36</v>
      </c>
      <c r="D11" s="38">
        <f>BDS_Deliveries_Annual!D13</f>
        <v>40</v>
      </c>
      <c r="E11" s="38">
        <f>BDS_Deliveries_Annual!E13</f>
        <v>44</v>
      </c>
      <c r="F11" s="38">
        <f>BDS_Deliveries_Annual!F13</f>
        <v>48</v>
      </c>
      <c r="G11" s="38">
        <f>BDS_Deliveries_Annual!G13</f>
        <v>42</v>
      </c>
      <c r="H11" s="38">
        <f>BDS_Deliveries_Annual!H13</f>
        <v>42</v>
      </c>
      <c r="I11" s="38">
        <f>BDS_Deliveries_Annual!I13</f>
        <v>44</v>
      </c>
      <c r="J11" s="38">
        <f>BDS_Deliveries_Annual!J13</f>
        <v>45</v>
      </c>
      <c r="K11" s="38">
        <f>BDS_Deliveries_Annual!K13</f>
        <v>49</v>
      </c>
      <c r="L11" s="38">
        <f>BDS_Deliveries_Annual!L13</f>
        <v>50</v>
      </c>
      <c r="M11" s="38">
        <f>BDS_Deliveries_Annual!M13</f>
        <v>49</v>
      </c>
      <c r="N11" s="38">
        <f>BDS_Deliveries_Annual!N13</f>
        <v>48</v>
      </c>
      <c r="O11" s="38">
        <f>BDS_Deliveries_Annual!O13</f>
        <v>48</v>
      </c>
      <c r="P11" s="38">
        <f>BDS_Deliveries_Annual!P13</f>
        <v>44</v>
      </c>
      <c r="Q11" s="38">
        <f>BDS_Deliveries_Annual!Q13</f>
        <v>35</v>
      </c>
      <c r="R11" s="38">
        <f>BDS_Deliveries_Annual!R13</f>
        <v>25</v>
      </c>
      <c r="S11" s="38">
        <f>BDS_Deliveries_Annual!S13</f>
        <v>23</v>
      </c>
      <c r="T11" s="38">
        <f>BDS_Deliveries_Annual!T13</f>
        <v>17</v>
      </c>
      <c r="U11" s="38">
        <f>BDS_Deliveries_Annual!U13</f>
        <v>23</v>
      </c>
      <c r="V11" s="38">
        <f>BDS_Deliveries_Annual!V13</f>
        <v>20</v>
      </c>
      <c r="W11" s="38">
        <f>BDS_Deliveries_Annual!W13</f>
        <v>21</v>
      </c>
      <c r="X11" s="38">
        <f>BDS_Deliveries_Annual!X13</f>
        <v>14</v>
      </c>
      <c r="Y11" s="38">
        <f>BDS_Deliveries_Annual!Y13</f>
        <v>22</v>
      </c>
      <c r="Z11" s="38">
        <f>BDS_Deliveries_Annual!Z13</f>
        <v>11</v>
      </c>
      <c r="AA11" s="38">
        <f>BDS_Deliveries_Annual!AA13</f>
        <v>14</v>
      </c>
      <c r="AB11" s="43">
        <v>10</v>
      </c>
      <c r="AC11" s="43">
        <v>10</v>
      </c>
      <c r="AD11" s="43">
        <v>10</v>
      </c>
      <c r="AE11" s="43">
        <v>10</v>
      </c>
      <c r="AF11" s="43">
        <v>10</v>
      </c>
    </row>
    <row r="12" spans="1:32">
      <c r="A12" s="1" t="s">
        <v>321</v>
      </c>
      <c r="B12" s="38">
        <f>BDS_Deliveries_Annual!B14</f>
        <v>0</v>
      </c>
      <c r="C12" s="38">
        <f>BDS_Deliveries_Annual!C14</f>
        <v>0</v>
      </c>
      <c r="D12" s="38">
        <f>BDS_Deliveries_Annual!D14</f>
        <v>0</v>
      </c>
      <c r="E12" s="38">
        <f>BDS_Deliveries_Annual!E14</f>
        <v>0</v>
      </c>
      <c r="F12" s="38">
        <f>BDS_Deliveries_Annual!F14</f>
        <v>0</v>
      </c>
      <c r="G12" s="38">
        <f>BDS_Deliveries_Annual!G14</f>
        <v>0</v>
      </c>
      <c r="H12" s="38">
        <f>BDS_Deliveries_Annual!H14</f>
        <v>0</v>
      </c>
      <c r="I12" s="38">
        <f>BDS_Deliveries_Annual!I14</f>
        <v>0</v>
      </c>
      <c r="J12" s="38">
        <f>BDS_Deliveries_Annual!J14</f>
        <v>0</v>
      </c>
      <c r="K12" s="38">
        <f>BDS_Deliveries_Annual!K14</f>
        <v>0</v>
      </c>
      <c r="L12" s="38">
        <f>BDS_Deliveries_Annual!L14</f>
        <v>0</v>
      </c>
      <c r="M12" s="38">
        <f>BDS_Deliveries_Annual!M14</f>
        <v>0</v>
      </c>
      <c r="N12" s="38">
        <f>BDS_Deliveries_Annual!N14</f>
        <v>0</v>
      </c>
      <c r="O12" s="38">
        <f>BDS_Deliveries_Annual!O14</f>
        <v>0</v>
      </c>
      <c r="P12" s="38">
        <f>BDS_Deliveries_Annual!P14</f>
        <v>0</v>
      </c>
      <c r="Q12" s="38">
        <f>BDS_Deliveries_Annual!Q14</f>
        <v>0</v>
      </c>
      <c r="R12" s="38">
        <f>BDS_Deliveries_Annual!R14</f>
        <v>0</v>
      </c>
      <c r="S12" s="38">
        <f>BDS_Deliveries_Annual!S14</f>
        <v>0</v>
      </c>
      <c r="T12" s="38">
        <f>BDS_Deliveries_Annual!T14</f>
        <v>0</v>
      </c>
      <c r="U12" s="38">
        <f>BDS_Deliveries_Annual!U14</f>
        <v>28</v>
      </c>
      <c r="V12" s="38">
        <f>BDS_Deliveries_Annual!V14</f>
        <v>14</v>
      </c>
      <c r="W12" s="38">
        <f>BDS_Deliveries_Annual!W14</f>
        <v>13</v>
      </c>
      <c r="X12" s="38">
        <f>BDS_Deliveries_Annual!X14</f>
        <v>15</v>
      </c>
      <c r="Y12" s="38">
        <f>BDS_Deliveries_Annual!Y14</f>
        <v>13</v>
      </c>
      <c r="Z12" s="38">
        <f>BDS_Deliveries_Annual!Z14</f>
        <v>10</v>
      </c>
      <c r="AA12" s="38">
        <f>BDS_Deliveries_Annual!AA14</f>
        <v>14</v>
      </c>
      <c r="AB12" s="43">
        <v>30</v>
      </c>
      <c r="AC12" s="43">
        <v>30</v>
      </c>
      <c r="AD12" s="43">
        <v>30</v>
      </c>
      <c r="AE12" s="43">
        <v>30</v>
      </c>
      <c r="AF12" s="43">
        <v>30</v>
      </c>
    </row>
    <row r="13" spans="1:32">
      <c r="A13" s="1" t="s">
        <v>322</v>
      </c>
      <c r="B13" s="38">
        <f>BDS_Deliveries_Annual!B15</f>
        <v>0</v>
      </c>
      <c r="C13" s="38">
        <f>BDS_Deliveries_Annual!C15</f>
        <v>0</v>
      </c>
      <c r="D13" s="38">
        <f>BDS_Deliveries_Annual!D15</f>
        <v>0</v>
      </c>
      <c r="E13" s="38">
        <f>BDS_Deliveries_Annual!E15</f>
        <v>0</v>
      </c>
      <c r="F13" s="38">
        <f>BDS_Deliveries_Annual!F15</f>
        <v>0</v>
      </c>
      <c r="G13" s="38">
        <f>BDS_Deliveries_Annual!G15</f>
        <v>0</v>
      </c>
      <c r="H13" s="38">
        <f>BDS_Deliveries_Annual!H15</f>
        <v>0</v>
      </c>
      <c r="I13" s="38">
        <f>BDS_Deliveries_Annual!I15</f>
        <v>0</v>
      </c>
      <c r="J13" s="38">
        <f>BDS_Deliveries_Annual!J15</f>
        <v>0</v>
      </c>
      <c r="K13" s="38">
        <f>BDS_Deliveries_Annual!K15</f>
        <v>0</v>
      </c>
      <c r="L13" s="38">
        <f>BDS_Deliveries_Annual!L15</f>
        <v>0</v>
      </c>
      <c r="M13" s="38">
        <f>BDS_Deliveries_Annual!M15</f>
        <v>0</v>
      </c>
      <c r="N13" s="38">
        <f>BDS_Deliveries_Annual!N15</f>
        <v>5</v>
      </c>
      <c r="O13" s="38">
        <f>BDS_Deliveries_Annual!O15</f>
        <v>11</v>
      </c>
      <c r="P13" s="38">
        <f>BDS_Deliveries_Annual!P15</f>
        <v>11</v>
      </c>
      <c r="Q13" s="38">
        <f>BDS_Deliveries_Annual!Q15</f>
        <v>14</v>
      </c>
      <c r="R13" s="38">
        <f>BDS_Deliveries_Annual!R15</f>
        <v>18</v>
      </c>
      <c r="S13" s="38">
        <f>BDS_Deliveries_Annual!S15</f>
        <v>19</v>
      </c>
      <c r="T13" s="38">
        <f>BDS_Deliveries_Annual!T15</f>
        <v>16</v>
      </c>
      <c r="U13" s="38">
        <f>BDS_Deliveries_Annual!U15</f>
        <v>18</v>
      </c>
      <c r="V13" s="38">
        <f>BDS_Deliveries_Annual!V15</f>
        <v>15</v>
      </c>
      <c r="W13" s="38">
        <f>BDS_Deliveries_Annual!W15</f>
        <v>16</v>
      </c>
      <c r="X13" s="38">
        <f>BDS_Deliveries_Annual!X15</f>
        <v>12</v>
      </c>
      <c r="Y13" s="38">
        <f>BDS_Deliveries_Annual!Y15</f>
        <v>11</v>
      </c>
      <c r="Z13" s="38">
        <f>BDS_Deliveries_Annual!Z15</f>
        <v>4</v>
      </c>
      <c r="AA13" s="38">
        <f>BDS_Deliveries_Annual!AA15</f>
        <v>6</v>
      </c>
      <c r="AB13" s="43">
        <v>10</v>
      </c>
      <c r="AC13" s="43">
        <v>10</v>
      </c>
      <c r="AD13" s="43">
        <v>10</v>
      </c>
      <c r="AE13" s="43">
        <v>10</v>
      </c>
      <c r="AF13" s="43">
        <v>10</v>
      </c>
    </row>
    <row r="14" spans="1:32">
      <c r="A14" s="1" t="s">
        <v>411</v>
      </c>
      <c r="B14" s="38">
        <f>BDS_Deliveries_Annual!B16</f>
        <v>0</v>
      </c>
      <c r="C14" s="38">
        <f>BDS_Deliveries_Annual!C16</f>
        <v>0</v>
      </c>
      <c r="D14" s="38">
        <f>BDS_Deliveries_Annual!D16</f>
        <v>0</v>
      </c>
      <c r="E14" s="38">
        <f>BDS_Deliveries_Annual!E16</f>
        <v>0</v>
      </c>
      <c r="F14" s="38">
        <f>BDS_Deliveries_Annual!F16</f>
        <v>0</v>
      </c>
      <c r="G14" s="38">
        <f>BDS_Deliveries_Annual!G16</f>
        <v>0</v>
      </c>
      <c r="H14" s="38">
        <f>BDS_Deliveries_Annual!H16</f>
        <v>0</v>
      </c>
      <c r="I14" s="38">
        <f>BDS_Deliveries_Annual!I16</f>
        <v>0</v>
      </c>
      <c r="J14" s="38">
        <f>BDS_Deliveries_Annual!J16</f>
        <v>0</v>
      </c>
      <c r="K14" s="38">
        <f>BDS_Deliveries_Annual!K16</f>
        <v>0</v>
      </c>
      <c r="L14" s="38">
        <f>BDS_Deliveries_Annual!L16</f>
        <v>4</v>
      </c>
      <c r="M14" s="38">
        <f>BDS_Deliveries_Annual!M16</f>
        <v>3</v>
      </c>
      <c r="N14" s="38">
        <f>BDS_Deliveries_Annual!N16</f>
        <v>3</v>
      </c>
      <c r="O14" s="38">
        <f>BDS_Deliveries_Annual!O16</f>
        <v>0</v>
      </c>
      <c r="P14" s="38">
        <f>BDS_Deliveries_Annual!P16</f>
        <v>3</v>
      </c>
      <c r="Q14" s="38">
        <f>BDS_Deliveries_Annual!Q16</f>
        <v>1</v>
      </c>
      <c r="R14" s="38">
        <f>BDS_Deliveries_Annual!R16</f>
        <v>0</v>
      </c>
      <c r="S14" s="38">
        <f>BDS_Deliveries_Annual!S16</f>
        <v>0</v>
      </c>
      <c r="T14" s="38">
        <f>BDS_Deliveries_Annual!T16</f>
        <v>0</v>
      </c>
      <c r="U14" s="38">
        <f>BDS_Deliveries_Annual!U16</f>
        <v>0</v>
      </c>
      <c r="V14" s="38">
        <f>BDS_Deliveries_Annual!V16</f>
        <v>0</v>
      </c>
      <c r="W14" s="38">
        <f>BDS_Deliveries_Annual!W16</f>
        <v>0</v>
      </c>
      <c r="X14" s="38">
        <f>BDS_Deliveries_Annual!X16</f>
        <v>0</v>
      </c>
      <c r="Y14" s="38">
        <f>BDS_Deliveries_Annual!Y16</f>
        <v>0</v>
      </c>
      <c r="Z14" s="38">
        <f>BDS_Deliveries_Annual!Z16</f>
        <v>0</v>
      </c>
      <c r="AA14" s="38">
        <f>BDS_Deliveries_Annual!AA16</f>
        <v>0</v>
      </c>
      <c r="AB14" s="43">
        <v>0</v>
      </c>
      <c r="AC14" s="43">
        <v>0</v>
      </c>
      <c r="AD14" s="43">
        <v>0</v>
      </c>
      <c r="AE14" s="43">
        <v>0</v>
      </c>
      <c r="AF14" s="43">
        <v>0</v>
      </c>
    </row>
    <row r="15" spans="1:32">
      <c r="A15" s="1" t="s">
        <v>412</v>
      </c>
      <c r="B15" s="38">
        <f>BDS_Deliveries_Annual!B17</f>
        <v>0</v>
      </c>
      <c r="C15" s="38">
        <f>BDS_Deliveries_Annual!C17</f>
        <v>0</v>
      </c>
      <c r="D15" s="38">
        <f>BDS_Deliveries_Annual!D17</f>
        <v>0</v>
      </c>
      <c r="E15" s="38">
        <f>BDS_Deliveries_Annual!E17</f>
        <v>0</v>
      </c>
      <c r="F15" s="38">
        <f>BDS_Deliveries_Annual!F17</f>
        <v>0</v>
      </c>
      <c r="G15" s="38">
        <f>BDS_Deliveries_Annual!G17</f>
        <v>0</v>
      </c>
      <c r="H15" s="38">
        <f>BDS_Deliveries_Annual!H17</f>
        <v>0</v>
      </c>
      <c r="I15" s="38">
        <f>BDS_Deliveries_Annual!I17</f>
        <v>0</v>
      </c>
      <c r="J15" s="38">
        <f>BDS_Deliveries_Annual!J17</f>
        <v>2</v>
      </c>
      <c r="K15" s="38">
        <f>BDS_Deliveries_Annual!K17</f>
        <v>2</v>
      </c>
      <c r="L15" s="38">
        <f>BDS_Deliveries_Annual!L17</f>
        <v>1</v>
      </c>
      <c r="M15" s="38">
        <f>BDS_Deliveries_Annual!M17</f>
        <v>3</v>
      </c>
      <c r="N15" s="38">
        <f>BDS_Deliveries_Annual!N17</f>
        <v>0</v>
      </c>
      <c r="O15" s="38">
        <f>BDS_Deliveries_Annual!O17</f>
        <v>0</v>
      </c>
      <c r="P15" s="38">
        <f>BDS_Deliveries_Annual!P17</f>
        <v>0</v>
      </c>
      <c r="Q15" s="38">
        <f>BDS_Deliveries_Annual!Q17</f>
        <v>0</v>
      </c>
      <c r="R15" s="38">
        <f>BDS_Deliveries_Annual!R17</f>
        <v>0</v>
      </c>
      <c r="S15" s="38">
        <f>BDS_Deliveries_Annual!S17</f>
        <v>0</v>
      </c>
      <c r="T15" s="38">
        <f>BDS_Deliveries_Annual!T17</f>
        <v>0</v>
      </c>
      <c r="U15" s="38">
        <f>BDS_Deliveries_Annual!U17</f>
        <v>0</v>
      </c>
      <c r="V15" s="38">
        <f>BDS_Deliveries_Annual!V17</f>
        <v>0</v>
      </c>
      <c r="W15" s="38">
        <f>BDS_Deliveries_Annual!W17</f>
        <v>0</v>
      </c>
      <c r="X15" s="38">
        <f>BDS_Deliveries_Annual!X17</f>
        <v>0</v>
      </c>
      <c r="Y15" s="38">
        <f>BDS_Deliveries_Annual!Y17</f>
        <v>0</v>
      </c>
      <c r="Z15" s="38">
        <f>BDS_Deliveries_Annual!Z17</f>
        <v>0</v>
      </c>
      <c r="AA15" s="38">
        <f>BDS_Deliveries_Annual!AA17</f>
        <v>0</v>
      </c>
      <c r="AB15" s="43">
        <v>0</v>
      </c>
      <c r="AC15" s="43">
        <v>0</v>
      </c>
      <c r="AD15" s="43">
        <v>0</v>
      </c>
      <c r="AE15" s="43">
        <v>0</v>
      </c>
      <c r="AF15" s="43">
        <v>0</v>
      </c>
    </row>
    <row r="16" spans="1:32">
      <c r="A16" s="1" t="s">
        <v>413</v>
      </c>
      <c r="B16" s="38">
        <f>BDS_Deliveries_Annual!B18</f>
        <v>16</v>
      </c>
      <c r="C16" s="38">
        <f>BDS_Deliveries_Annual!C18</f>
        <v>15</v>
      </c>
      <c r="D16" s="38">
        <f>BDS_Deliveries_Annual!D18</f>
        <v>14</v>
      </c>
      <c r="E16" s="38">
        <f>BDS_Deliveries_Annual!E18</f>
        <v>12</v>
      </c>
      <c r="F16" s="38">
        <f>BDS_Deliveries_Annual!F18</f>
        <v>7</v>
      </c>
      <c r="G16" s="38">
        <f>BDS_Deliveries_Annual!G18</f>
        <v>10</v>
      </c>
      <c r="H16" s="38">
        <f>BDS_Deliveries_Annual!H18</f>
        <v>13</v>
      </c>
      <c r="I16" s="38">
        <f>BDS_Deliveries_Annual!I18</f>
        <v>9</v>
      </c>
      <c r="J16" s="38">
        <f>BDS_Deliveries_Annual!J18</f>
        <v>7</v>
      </c>
      <c r="K16" s="38">
        <f>BDS_Deliveries_Annual!K18</f>
        <v>7</v>
      </c>
      <c r="L16" s="38">
        <f>BDS_Deliveries_Annual!L18</f>
        <v>0</v>
      </c>
      <c r="M16" s="38">
        <f>BDS_Deliveries_Annual!M18</f>
        <v>0</v>
      </c>
      <c r="N16" s="38">
        <f>BDS_Deliveries_Annual!N18</f>
        <v>0</v>
      </c>
      <c r="O16" s="38">
        <f>BDS_Deliveries_Annual!O18</f>
        <v>0</v>
      </c>
      <c r="P16" s="38">
        <f>BDS_Deliveries_Annual!P18</f>
        <v>0</v>
      </c>
      <c r="Q16" s="38">
        <f>BDS_Deliveries_Annual!Q18</f>
        <v>0</v>
      </c>
      <c r="R16" s="38">
        <f>BDS_Deliveries_Annual!R18</f>
        <v>0</v>
      </c>
      <c r="S16" s="38">
        <f>BDS_Deliveries_Annual!S18</f>
        <v>0</v>
      </c>
      <c r="T16" s="38">
        <f>BDS_Deliveries_Annual!T18</f>
        <v>0</v>
      </c>
      <c r="U16" s="38">
        <f>BDS_Deliveries_Annual!U18</f>
        <v>0</v>
      </c>
      <c r="V16" s="38">
        <f>BDS_Deliveries_Annual!V18</f>
        <v>0</v>
      </c>
      <c r="W16" s="38">
        <f>BDS_Deliveries_Annual!W18</f>
        <v>0</v>
      </c>
      <c r="X16" s="38">
        <f>BDS_Deliveries_Annual!X18</f>
        <v>0</v>
      </c>
      <c r="Y16" s="38">
        <f>BDS_Deliveries_Annual!Y18</f>
        <v>0</v>
      </c>
      <c r="Z16" s="38">
        <f>BDS_Deliveries_Annual!Z18</f>
        <v>0</v>
      </c>
      <c r="AA16" s="38">
        <f>BDS_Deliveries_Annual!AA18</f>
        <v>0</v>
      </c>
      <c r="AB16" s="43">
        <v>0</v>
      </c>
      <c r="AC16" s="43">
        <v>0</v>
      </c>
      <c r="AD16" s="43">
        <v>0</v>
      </c>
      <c r="AE16" s="43">
        <v>0</v>
      </c>
      <c r="AF16" s="43">
        <v>0</v>
      </c>
    </row>
    <row r="17" spans="1:32">
      <c r="A17" s="1" t="s">
        <v>449</v>
      </c>
      <c r="B17" s="43">
        <v>0</v>
      </c>
      <c r="C17" s="43">
        <v>0</v>
      </c>
      <c r="D17" s="43">
        <v>0</v>
      </c>
      <c r="E17" s="43">
        <v>0</v>
      </c>
      <c r="F17" s="43">
        <v>0</v>
      </c>
      <c r="G17" s="43">
        <v>0</v>
      </c>
      <c r="H17" s="43">
        <v>0</v>
      </c>
      <c r="I17" s="43">
        <v>0</v>
      </c>
      <c r="J17" s="43">
        <v>0</v>
      </c>
      <c r="K17" s="43">
        <v>0</v>
      </c>
      <c r="L17" s="43">
        <v>0</v>
      </c>
      <c r="M17" s="43">
        <v>0</v>
      </c>
      <c r="N17" s="43">
        <v>0</v>
      </c>
      <c r="O17" s="43">
        <v>0</v>
      </c>
      <c r="P17" s="43">
        <v>0</v>
      </c>
      <c r="Q17" s="43">
        <v>0</v>
      </c>
      <c r="R17" s="43">
        <v>0</v>
      </c>
      <c r="S17" s="43">
        <v>0</v>
      </c>
      <c r="T17" s="43">
        <v>0</v>
      </c>
      <c r="U17" s="43">
        <v>0</v>
      </c>
      <c r="V17" s="43">
        <v>0</v>
      </c>
      <c r="W17" s="38">
        <f>BDS_Deliveries_Annual!W19</f>
        <v>0</v>
      </c>
      <c r="X17" s="38">
        <f>BDS_Deliveries_Annual!X19</f>
        <v>0</v>
      </c>
      <c r="Y17" s="38">
        <f>BDS_Deliveries_Annual!Y19</f>
        <v>3</v>
      </c>
      <c r="Z17" s="38">
        <f>BDS_Deliveries_Annual!Z19</f>
        <v>2</v>
      </c>
      <c r="AA17" s="38">
        <f>BDS_Deliveries_Annual!AA19</f>
        <v>0</v>
      </c>
      <c r="AB17" s="43">
        <v>20</v>
      </c>
      <c r="AC17" s="43">
        <v>20</v>
      </c>
      <c r="AD17" s="43">
        <v>20</v>
      </c>
      <c r="AE17" s="43">
        <v>20</v>
      </c>
      <c r="AF17" s="43">
        <v>20</v>
      </c>
    </row>
    <row r="18" spans="1:32">
      <c r="A18" s="1" t="s">
        <v>450</v>
      </c>
      <c r="B18" s="43">
        <v>0</v>
      </c>
      <c r="C18" s="43">
        <v>0</v>
      </c>
      <c r="D18" s="43">
        <v>0</v>
      </c>
      <c r="E18" s="43">
        <v>0</v>
      </c>
      <c r="F18" s="43">
        <v>0</v>
      </c>
      <c r="G18" s="43">
        <v>0</v>
      </c>
      <c r="H18" s="43">
        <v>0</v>
      </c>
      <c r="I18" s="43">
        <v>0</v>
      </c>
      <c r="J18" s="43">
        <v>0</v>
      </c>
      <c r="K18" s="43">
        <v>0</v>
      </c>
      <c r="L18" s="43">
        <v>0</v>
      </c>
      <c r="M18" s="43">
        <v>0</v>
      </c>
      <c r="N18" s="43">
        <v>0</v>
      </c>
      <c r="O18" s="43">
        <v>0</v>
      </c>
      <c r="P18" s="43">
        <v>0</v>
      </c>
      <c r="Q18" s="43">
        <v>0</v>
      </c>
      <c r="R18" s="43">
        <v>0</v>
      </c>
      <c r="S18" s="43">
        <v>0</v>
      </c>
      <c r="T18" s="43">
        <v>0</v>
      </c>
      <c r="U18" s="43">
        <v>0</v>
      </c>
      <c r="V18" s="43">
        <v>0</v>
      </c>
      <c r="W18" s="38">
        <f>BDS_Deliveries_Annual!W20</f>
        <v>0</v>
      </c>
      <c r="X18" s="38">
        <f>BDS_Deliveries_Annual!X20</f>
        <v>0</v>
      </c>
      <c r="Y18" s="38">
        <f>BDS_Deliveries_Annual!Y20</f>
        <v>0</v>
      </c>
      <c r="Z18" s="38">
        <f>BDS_Deliveries_Annual!Z20</f>
        <v>0</v>
      </c>
      <c r="AA18" s="38">
        <f>BDS_Deliveries_Annual!AA20</f>
        <v>0</v>
      </c>
      <c r="AB18" s="43">
        <v>15</v>
      </c>
      <c r="AC18" s="43">
        <v>15</v>
      </c>
      <c r="AD18" s="43">
        <v>15</v>
      </c>
      <c r="AE18" s="43">
        <v>15</v>
      </c>
      <c r="AF18" s="43">
        <v>15</v>
      </c>
    </row>
    <row r="19" spans="1:32">
      <c r="A19" s="1" t="s">
        <v>451</v>
      </c>
      <c r="B19" s="43">
        <v>0</v>
      </c>
      <c r="C19" s="43">
        <v>0</v>
      </c>
      <c r="D19" s="43">
        <v>0</v>
      </c>
      <c r="E19" s="43">
        <v>0</v>
      </c>
      <c r="F19" s="43">
        <v>0</v>
      </c>
      <c r="G19" s="43">
        <v>0</v>
      </c>
      <c r="H19" s="43">
        <v>0</v>
      </c>
      <c r="I19" s="43">
        <v>0</v>
      </c>
      <c r="J19" s="43">
        <v>0</v>
      </c>
      <c r="K19" s="43">
        <v>0</v>
      </c>
      <c r="L19" s="43">
        <v>0</v>
      </c>
      <c r="M19" s="43">
        <v>0</v>
      </c>
      <c r="N19" s="43">
        <v>0</v>
      </c>
      <c r="O19" s="43">
        <v>0</v>
      </c>
      <c r="P19" s="43">
        <v>0</v>
      </c>
      <c r="Q19" s="43">
        <v>0</v>
      </c>
      <c r="R19" s="43">
        <v>0</v>
      </c>
      <c r="S19" s="43">
        <v>0</v>
      </c>
      <c r="T19" s="43">
        <v>0</v>
      </c>
      <c r="U19" s="43">
        <v>0</v>
      </c>
      <c r="V19" s="43">
        <v>0</v>
      </c>
      <c r="W19" s="38">
        <f>BDS_Deliveries_Annual!W21</f>
        <v>0</v>
      </c>
      <c r="X19" s="38">
        <f>BDS_Deliveries_Annual!X21</f>
        <v>4</v>
      </c>
      <c r="Y19" s="38">
        <f>BDS_Deliveries_Annual!Y21</f>
        <v>2</v>
      </c>
      <c r="Z19" s="38">
        <f>BDS_Deliveries_Annual!Z21</f>
        <v>6</v>
      </c>
      <c r="AA19" s="38">
        <f>BDS_Deliveries_Annual!AA21</f>
        <v>9</v>
      </c>
      <c r="AB19" s="43">
        <v>6</v>
      </c>
      <c r="AC19" s="43">
        <v>6</v>
      </c>
      <c r="AD19" s="43">
        <v>6</v>
      </c>
      <c r="AE19" s="43">
        <v>6</v>
      </c>
      <c r="AF19" s="43">
        <v>6</v>
      </c>
    </row>
    <row r="20" spans="1:32">
      <c r="A20" s="14" t="s">
        <v>11</v>
      </c>
      <c r="B20" s="40">
        <f t="shared" ref="B20:K20" si="0">SUM(B4:B16)</f>
        <v>91</v>
      </c>
      <c r="C20" s="40">
        <f t="shared" si="0"/>
        <v>87</v>
      </c>
      <c r="D20" s="40">
        <f t="shared" si="0"/>
        <v>98</v>
      </c>
      <c r="E20" s="40">
        <f t="shared" si="0"/>
        <v>77</v>
      </c>
      <c r="F20" s="40">
        <f t="shared" si="0"/>
        <v>80</v>
      </c>
      <c r="G20" s="40">
        <f t="shared" si="0"/>
        <v>88</v>
      </c>
      <c r="H20" s="40">
        <f t="shared" si="0"/>
        <v>117</v>
      </c>
      <c r="I20" s="40">
        <f t="shared" si="0"/>
        <v>111</v>
      </c>
      <c r="J20" s="40">
        <f t="shared" si="0"/>
        <v>99</v>
      </c>
      <c r="K20" s="40">
        <f t="shared" si="0"/>
        <v>121</v>
      </c>
      <c r="L20" s="40">
        <f>SUM(L4:L16)</f>
        <v>115</v>
      </c>
      <c r="M20" s="40">
        <f t="shared" ref="M20:X20" si="1">SUM(M4:M16)</f>
        <v>115</v>
      </c>
      <c r="N20" s="40">
        <f t="shared" si="1"/>
        <v>144</v>
      </c>
      <c r="O20" s="40">
        <f t="shared" si="1"/>
        <v>164</v>
      </c>
      <c r="P20" s="40">
        <f t="shared" si="1"/>
        <v>216</v>
      </c>
      <c r="Q20" s="40">
        <f t="shared" si="1"/>
        <v>186</v>
      </c>
      <c r="R20" s="40">
        <f t="shared" si="1"/>
        <v>178</v>
      </c>
      <c r="S20" s="40">
        <f t="shared" si="1"/>
        <v>170</v>
      </c>
      <c r="T20" s="40">
        <f t="shared" si="1"/>
        <v>96</v>
      </c>
      <c r="U20" s="40">
        <f t="shared" si="1"/>
        <v>229</v>
      </c>
      <c r="V20" s="40">
        <f>SUM(V4:V16)</f>
        <v>154</v>
      </c>
      <c r="W20" s="40">
        <f>SUM(W4:W19)</f>
        <v>169</v>
      </c>
      <c r="X20" s="40">
        <f t="shared" si="1"/>
        <v>156</v>
      </c>
      <c r="Y20" s="40">
        <f t="shared" ref="Y20:AD20" si="2">SUM(Y4:Y19)</f>
        <v>157</v>
      </c>
      <c r="Z20" s="40">
        <f t="shared" si="2"/>
        <v>110</v>
      </c>
      <c r="AA20" s="40">
        <f t="shared" si="2"/>
        <v>127</v>
      </c>
      <c r="AB20" s="40">
        <f t="shared" si="2"/>
        <v>211</v>
      </c>
      <c r="AC20" s="40">
        <f t="shared" si="2"/>
        <v>211</v>
      </c>
      <c r="AD20" s="40">
        <f t="shared" si="2"/>
        <v>211</v>
      </c>
      <c r="AE20" s="40">
        <f t="shared" ref="AE20:AF20" si="3">SUM(AE4:AE19)</f>
        <v>211</v>
      </c>
      <c r="AF20" s="40">
        <f t="shared" si="3"/>
        <v>211</v>
      </c>
    </row>
    <row r="22" spans="1:32">
      <c r="A22" s="9" t="s">
        <v>452</v>
      </c>
      <c r="B22" s="92"/>
      <c r="C22" s="92"/>
      <c r="D22" s="92"/>
      <c r="E22" s="92"/>
      <c r="F22" s="92"/>
      <c r="G22" s="92"/>
      <c r="H22" s="92"/>
      <c r="I22" s="92"/>
      <c r="J22" s="92"/>
      <c r="K22" s="92"/>
      <c r="L22" s="92"/>
      <c r="M22" s="92"/>
      <c r="N22" s="92"/>
      <c r="O22" s="92"/>
      <c r="P22" s="92"/>
      <c r="Q22" s="296"/>
      <c r="R22" s="296"/>
      <c r="S22" s="296"/>
      <c r="T22" s="296"/>
      <c r="U22" s="296"/>
      <c r="V22" s="296"/>
      <c r="W22" s="296"/>
      <c r="X22" s="296"/>
      <c r="Y22" s="296"/>
      <c r="Z22" s="296"/>
      <c r="AA22" s="296"/>
      <c r="AB22" s="296"/>
      <c r="AC22" s="296"/>
      <c r="AD22" s="296"/>
      <c r="AE22" s="296"/>
      <c r="AF22" s="296"/>
    </row>
    <row r="23" spans="1:32">
      <c r="A23" s="1" t="s">
        <v>313</v>
      </c>
      <c r="B23" s="171">
        <f t="shared" ref="B23:Q37" si="4">C23*0.985</f>
        <v>13.27244929932985</v>
      </c>
      <c r="C23" s="171">
        <f t="shared" si="4"/>
        <v>13.474567816578528</v>
      </c>
      <c r="D23" s="171">
        <f t="shared" si="4"/>
        <v>13.679764280790383</v>
      </c>
      <c r="E23" s="171">
        <f t="shared" si="4"/>
        <v>13.888085564254197</v>
      </c>
      <c r="F23" s="171">
        <f t="shared" si="4"/>
        <v>14.099579253049948</v>
      </c>
      <c r="G23" s="171">
        <f t="shared" si="4"/>
        <v>14.314293657918729</v>
      </c>
      <c r="H23" s="171">
        <f t="shared" si="4"/>
        <v>14.532277825298202</v>
      </c>
      <c r="I23" s="171">
        <f t="shared" si="4"/>
        <v>14.753581548526093</v>
      </c>
      <c r="J23" s="171">
        <f t="shared" si="4"/>
        <v>14.978255379214307</v>
      </c>
      <c r="K23" s="171">
        <f t="shared" si="4"/>
        <v>15.20635063879625</v>
      </c>
      <c r="L23" s="171">
        <f t="shared" si="4"/>
        <v>15.43791943025</v>
      </c>
      <c r="M23" s="171">
        <f t="shared" si="4"/>
        <v>15.673014650000001</v>
      </c>
      <c r="N23" s="171">
        <f t="shared" si="4"/>
        <v>15.91169</v>
      </c>
      <c r="O23" s="171">
        <f>P23*0.985</f>
        <v>16.154</v>
      </c>
      <c r="P23" s="75">
        <v>16.399999999999999</v>
      </c>
      <c r="Q23" s="75">
        <v>16.399999999999999</v>
      </c>
      <c r="R23" s="75">
        <v>16.873699999999999</v>
      </c>
      <c r="S23" s="75">
        <v>16.873699999999999</v>
      </c>
      <c r="T23" s="75">
        <v>16.873699999999999</v>
      </c>
      <c r="U23" s="75">
        <v>16.873699999999999</v>
      </c>
      <c r="V23" s="75">
        <v>20.399999999999999</v>
      </c>
      <c r="W23" s="75">
        <v>22.228192121619244</v>
      </c>
      <c r="X23" s="75">
        <v>22.228192121619244</v>
      </c>
      <c r="Y23" s="75">
        <v>22.228192121619244</v>
      </c>
      <c r="Z23" s="75">
        <v>22.228192121619244</v>
      </c>
      <c r="AA23" s="75">
        <v>22.228192121619244</v>
      </c>
      <c r="AB23" s="75">
        <v>22.228192121619244</v>
      </c>
      <c r="AC23" s="75">
        <v>22.228192121619244</v>
      </c>
      <c r="AD23" s="75">
        <v>22.228192121619244</v>
      </c>
      <c r="AE23" s="75">
        <v>22.228192121619244</v>
      </c>
      <c r="AF23" s="75">
        <v>22.228192121619244</v>
      </c>
    </row>
    <row r="24" spans="1:32">
      <c r="A24" s="1" t="s">
        <v>314</v>
      </c>
      <c r="B24" s="171">
        <f t="shared" si="4"/>
        <v>12.435637556920879</v>
      </c>
      <c r="C24" s="171">
        <f t="shared" si="4"/>
        <v>12.625012748143025</v>
      </c>
      <c r="D24" s="171">
        <f t="shared" si="4"/>
        <v>12.817271825525914</v>
      </c>
      <c r="E24" s="171">
        <f t="shared" si="4"/>
        <v>13.01245870611768</v>
      </c>
      <c r="F24" s="171">
        <f t="shared" si="4"/>
        <v>13.210617975753991</v>
      </c>
      <c r="G24" s="171">
        <f t="shared" si="4"/>
        <v>13.411794899242631</v>
      </c>
      <c r="H24" s="171">
        <f t="shared" si="4"/>
        <v>13.616035430703178</v>
      </c>
      <c r="I24" s="171">
        <f t="shared" si="4"/>
        <v>13.823386224064141</v>
      </c>
      <c r="J24" s="171">
        <f t="shared" si="4"/>
        <v>14.03389464371994</v>
      </c>
      <c r="K24" s="171">
        <f t="shared" si="4"/>
        <v>14.247608775350193</v>
      </c>
      <c r="L24" s="171">
        <f t="shared" si="4"/>
        <v>14.464577436903749</v>
      </c>
      <c r="M24" s="171">
        <f t="shared" si="4"/>
        <v>14.68485018975</v>
      </c>
      <c r="N24" s="171">
        <f t="shared" si="4"/>
        <v>14.90847735</v>
      </c>
      <c r="O24" s="171">
        <f t="shared" si="4"/>
        <v>15.13551</v>
      </c>
      <c r="P24" s="171">
        <f t="shared" si="4"/>
        <v>15.366</v>
      </c>
      <c r="Q24" s="75">
        <v>15.6</v>
      </c>
      <c r="R24" s="75">
        <v>14.7</v>
      </c>
      <c r="S24" s="75">
        <v>13.8</v>
      </c>
      <c r="T24" s="75">
        <v>13.8</v>
      </c>
      <c r="U24" s="75">
        <v>13.6</v>
      </c>
      <c r="V24" s="75">
        <v>13.8</v>
      </c>
      <c r="W24" s="75">
        <v>15</v>
      </c>
      <c r="X24" s="75">
        <v>15</v>
      </c>
      <c r="Y24" s="75">
        <v>15</v>
      </c>
      <c r="Z24" s="75">
        <v>15</v>
      </c>
      <c r="AA24" s="75">
        <v>15</v>
      </c>
      <c r="AB24" s="75">
        <v>15</v>
      </c>
      <c r="AC24" s="75">
        <v>15</v>
      </c>
      <c r="AD24" s="75">
        <v>15</v>
      </c>
      <c r="AE24" s="75">
        <v>15</v>
      </c>
      <c r="AF24" s="75">
        <v>15</v>
      </c>
    </row>
    <row r="25" spans="1:32">
      <c r="A25" s="1" t="s">
        <v>315</v>
      </c>
      <c r="B25" s="171">
        <f t="shared" si="4"/>
        <v>142.81355499378566</v>
      </c>
      <c r="C25" s="171">
        <f t="shared" si="4"/>
        <v>144.98838070435093</v>
      </c>
      <c r="D25" s="171">
        <f t="shared" si="4"/>
        <v>147.19632558817352</v>
      </c>
      <c r="E25" s="171">
        <f t="shared" si="4"/>
        <v>149.43789399814571</v>
      </c>
      <c r="F25" s="171">
        <f t="shared" si="4"/>
        <v>151.71359796766063</v>
      </c>
      <c r="G25" s="171">
        <f t="shared" si="4"/>
        <v>154.02395732757424</v>
      </c>
      <c r="H25" s="171">
        <f t="shared" si="4"/>
        <v>156.36949982494846</v>
      </c>
      <c r="I25" s="171">
        <f t="shared" si="4"/>
        <v>158.75076124360251</v>
      </c>
      <c r="J25" s="171">
        <f t="shared" si="4"/>
        <v>161.1682855265</v>
      </c>
      <c r="K25" s="171">
        <f t="shared" si="4"/>
        <v>163.62262490000001</v>
      </c>
      <c r="L25" s="171">
        <f t="shared" si="4"/>
        <v>166.11434</v>
      </c>
      <c r="M25" s="75">
        <v>168.64400000000001</v>
      </c>
      <c r="N25" s="75">
        <v>168.64400000000001</v>
      </c>
      <c r="O25" s="75">
        <v>168.64400000000001</v>
      </c>
      <c r="P25" s="75">
        <v>168.64400000000001</v>
      </c>
      <c r="Q25" s="75">
        <v>168.64400000000001</v>
      </c>
      <c r="R25" s="75">
        <v>168.64400000000001</v>
      </c>
      <c r="S25" s="75">
        <v>168.64400000000001</v>
      </c>
      <c r="T25" s="75">
        <v>168.64400000000001</v>
      </c>
      <c r="U25" s="75">
        <v>168.64400000000001</v>
      </c>
      <c r="V25" s="75">
        <v>168.64400000000001</v>
      </c>
      <c r="W25" s="75">
        <v>168.64400000000001</v>
      </c>
      <c r="X25" s="75">
        <v>168.64400000000001</v>
      </c>
      <c r="Y25" s="75">
        <v>168.64400000000001</v>
      </c>
      <c r="Z25" s="75">
        <v>168.64400000000001</v>
      </c>
      <c r="AA25" s="75">
        <v>168.64400000000001</v>
      </c>
      <c r="AB25" s="75">
        <v>168.64400000000001</v>
      </c>
      <c r="AC25" s="75">
        <v>168.64400000000001</v>
      </c>
      <c r="AD25" s="75">
        <v>168.64400000000001</v>
      </c>
      <c r="AE25" s="75">
        <v>168.64400000000001</v>
      </c>
      <c r="AF25" s="75">
        <v>168.64400000000001</v>
      </c>
    </row>
    <row r="26" spans="1:32">
      <c r="A26" s="1" t="s">
        <v>316</v>
      </c>
      <c r="B26" s="171">
        <f t="shared" si="4"/>
        <v>57.254933872470922</v>
      </c>
      <c r="C26" s="171">
        <f t="shared" si="4"/>
        <v>58.126836418752205</v>
      </c>
      <c r="D26" s="171">
        <f t="shared" si="4"/>
        <v>59.012016668783964</v>
      </c>
      <c r="E26" s="171">
        <f t="shared" si="4"/>
        <v>59.910676821100473</v>
      </c>
      <c r="F26" s="171">
        <f t="shared" si="4"/>
        <v>60.823022153401496</v>
      </c>
      <c r="G26" s="171">
        <f t="shared" si="4"/>
        <v>61.749261069443143</v>
      </c>
      <c r="H26" s="171">
        <f t="shared" si="4"/>
        <v>62.689605146642783</v>
      </c>
      <c r="I26" s="171">
        <f t="shared" si="4"/>
        <v>63.64426918440892</v>
      </c>
      <c r="J26" s="171">
        <f t="shared" si="4"/>
        <v>64.613471253207024</v>
      </c>
      <c r="K26" s="171">
        <f t="shared" si="4"/>
        <v>65.597432744372611</v>
      </c>
      <c r="L26" s="171">
        <f t="shared" si="4"/>
        <v>66.596378420682854</v>
      </c>
      <c r="M26" s="171">
        <f t="shared" si="4"/>
        <v>67.610536467698324</v>
      </c>
      <c r="N26" s="171">
        <f t="shared" si="4"/>
        <v>68.640138545886629</v>
      </c>
      <c r="O26" s="171">
        <f t="shared" si="4"/>
        <v>69.685419843539719</v>
      </c>
      <c r="P26" s="171">
        <f t="shared" si="4"/>
        <v>70.74661913049718</v>
      </c>
      <c r="Q26" s="171">
        <f t="shared" si="4"/>
        <v>71.8239788126875</v>
      </c>
      <c r="R26" s="171">
        <f t="shared" ref="R26:Y37" si="5">S26*0.985</f>
        <v>72.917744987500001</v>
      </c>
      <c r="S26" s="171">
        <f t="shared" si="5"/>
        <v>74.028167499999995</v>
      </c>
      <c r="T26" s="171">
        <f t="shared" si="5"/>
        <v>75.155499999999989</v>
      </c>
      <c r="U26" s="75">
        <v>76.3</v>
      </c>
      <c r="V26" s="75">
        <v>76.3</v>
      </c>
      <c r="W26" s="75">
        <v>82.5</v>
      </c>
      <c r="X26" s="75">
        <v>82.5</v>
      </c>
      <c r="Y26" s="75">
        <v>82.5</v>
      </c>
      <c r="Z26" s="75">
        <v>82.5</v>
      </c>
      <c r="AA26" s="75">
        <v>82.5</v>
      </c>
      <c r="AB26" s="75">
        <v>82.5</v>
      </c>
      <c r="AC26" s="75">
        <v>82.5</v>
      </c>
      <c r="AD26" s="75">
        <v>82.5</v>
      </c>
      <c r="AE26" s="75">
        <v>82.5</v>
      </c>
      <c r="AF26" s="75">
        <v>82.5</v>
      </c>
    </row>
    <row r="27" spans="1:32">
      <c r="A27" s="1" t="s">
        <v>317</v>
      </c>
      <c r="B27" s="171">
        <f t="shared" si="4"/>
        <v>13.304455800247826</v>
      </c>
      <c r="C27" s="171">
        <f t="shared" si="4"/>
        <v>13.507061726139925</v>
      </c>
      <c r="D27" s="171">
        <f t="shared" si="4"/>
        <v>13.712753021461854</v>
      </c>
      <c r="E27" s="171">
        <f t="shared" si="4"/>
        <v>13.921576671534877</v>
      </c>
      <c r="F27" s="171">
        <f t="shared" si="4"/>
        <v>14.13358037719277</v>
      </c>
      <c r="G27" s="171">
        <f t="shared" si="4"/>
        <v>14.348812565677939</v>
      </c>
      <c r="H27" s="171">
        <f t="shared" si="4"/>
        <v>14.567322401703491</v>
      </c>
      <c r="I27" s="171">
        <f t="shared" si="4"/>
        <v>14.789159798683746</v>
      </c>
      <c r="J27" s="171">
        <f t="shared" si="4"/>
        <v>15.014375430135784</v>
      </c>
      <c r="K27" s="171">
        <f t="shared" si="4"/>
        <v>15.243020741254604</v>
      </c>
      <c r="L27" s="171">
        <f t="shared" si="4"/>
        <v>15.475147960664573</v>
      </c>
      <c r="M27" s="171">
        <f t="shared" si="4"/>
        <v>15.71081011234982</v>
      </c>
      <c r="N27" s="171">
        <f t="shared" si="4"/>
        <v>15.950061027766315</v>
      </c>
      <c r="O27" s="171">
        <f t="shared" si="4"/>
        <v>16.192955358138391</v>
      </c>
      <c r="P27" s="171">
        <f t="shared" si="4"/>
        <v>16.439548586942529</v>
      </c>
      <c r="Q27" s="171">
        <f t="shared" si="4"/>
        <v>16.689897042581247</v>
      </c>
      <c r="R27" s="171">
        <f t="shared" si="5"/>
        <v>16.944057911249999</v>
      </c>
      <c r="S27" s="171">
        <f t="shared" si="5"/>
        <v>17.20208925</v>
      </c>
      <c r="T27" s="171">
        <f t="shared" si="5"/>
        <v>17.46405</v>
      </c>
      <c r="U27" s="171">
        <f t="shared" si="5"/>
        <v>17.73</v>
      </c>
      <c r="V27" s="75">
        <v>18</v>
      </c>
      <c r="W27" s="75">
        <v>18.600000000000001</v>
      </c>
      <c r="X27" s="75">
        <v>19</v>
      </c>
      <c r="Y27" s="75">
        <v>20</v>
      </c>
      <c r="Z27" s="75">
        <v>20</v>
      </c>
      <c r="AA27" s="75">
        <v>20</v>
      </c>
      <c r="AB27" s="75">
        <v>20</v>
      </c>
      <c r="AC27" s="75">
        <v>20</v>
      </c>
      <c r="AD27" s="75">
        <v>20</v>
      </c>
      <c r="AE27" s="75">
        <v>20</v>
      </c>
      <c r="AF27" s="75">
        <v>20</v>
      </c>
    </row>
    <row r="28" spans="1:32">
      <c r="A28" s="1" t="s">
        <v>318</v>
      </c>
      <c r="B28" s="171">
        <f t="shared" si="4"/>
        <v>13.304455800247826</v>
      </c>
      <c r="C28" s="171">
        <f t="shared" si="4"/>
        <v>13.507061726139925</v>
      </c>
      <c r="D28" s="171">
        <f t="shared" si="4"/>
        <v>13.712753021461854</v>
      </c>
      <c r="E28" s="171">
        <f t="shared" si="4"/>
        <v>13.921576671534877</v>
      </c>
      <c r="F28" s="171">
        <f t="shared" si="4"/>
        <v>14.13358037719277</v>
      </c>
      <c r="G28" s="171">
        <f t="shared" si="4"/>
        <v>14.348812565677939</v>
      </c>
      <c r="H28" s="171">
        <f t="shared" si="4"/>
        <v>14.567322401703491</v>
      </c>
      <c r="I28" s="171">
        <f t="shared" si="4"/>
        <v>14.789159798683746</v>
      </c>
      <c r="J28" s="171">
        <f t="shared" si="4"/>
        <v>15.014375430135784</v>
      </c>
      <c r="K28" s="171">
        <f t="shared" si="4"/>
        <v>15.243020741254604</v>
      </c>
      <c r="L28" s="171">
        <f t="shared" si="4"/>
        <v>15.475147960664573</v>
      </c>
      <c r="M28" s="171">
        <f t="shared" si="4"/>
        <v>15.71081011234982</v>
      </c>
      <c r="N28" s="171">
        <f t="shared" si="4"/>
        <v>15.950061027766315</v>
      </c>
      <c r="O28" s="171">
        <f t="shared" si="4"/>
        <v>16.192955358138391</v>
      </c>
      <c r="P28" s="171">
        <f t="shared" si="4"/>
        <v>16.439548586942529</v>
      </c>
      <c r="Q28" s="171">
        <f t="shared" si="4"/>
        <v>16.689897042581247</v>
      </c>
      <c r="R28" s="171">
        <f t="shared" si="5"/>
        <v>16.944057911249999</v>
      </c>
      <c r="S28" s="171">
        <f t="shared" si="5"/>
        <v>17.20208925</v>
      </c>
      <c r="T28" s="171">
        <f t="shared" si="5"/>
        <v>17.46405</v>
      </c>
      <c r="U28" s="171">
        <f t="shared" si="5"/>
        <v>17.73</v>
      </c>
      <c r="V28" s="75">
        <v>18</v>
      </c>
      <c r="W28" s="75">
        <v>18.600000000000001</v>
      </c>
      <c r="X28" s="75">
        <v>19</v>
      </c>
      <c r="Y28" s="75">
        <v>20</v>
      </c>
      <c r="Z28" s="75">
        <v>20</v>
      </c>
      <c r="AA28" s="75">
        <v>20</v>
      </c>
      <c r="AB28" s="75">
        <v>20</v>
      </c>
      <c r="AC28" s="75">
        <v>20</v>
      </c>
      <c r="AD28" s="75">
        <v>20</v>
      </c>
      <c r="AE28" s="75">
        <v>20</v>
      </c>
      <c r="AF28" s="75">
        <v>20</v>
      </c>
    </row>
    <row r="29" spans="1:32">
      <c r="A29" s="1" t="s">
        <v>319</v>
      </c>
      <c r="B29" s="171">
        <f t="shared" si="4"/>
        <v>51.209123948765402</v>
      </c>
      <c r="C29" s="171">
        <f t="shared" si="4"/>
        <v>51.988958323619698</v>
      </c>
      <c r="D29" s="171">
        <f t="shared" si="4"/>
        <v>52.780668348852487</v>
      </c>
      <c r="E29" s="171">
        <f t="shared" si="4"/>
        <v>53.584434871931457</v>
      </c>
      <c r="F29" s="171">
        <f t="shared" si="4"/>
        <v>54.400441494346659</v>
      </c>
      <c r="G29" s="171">
        <f t="shared" si="4"/>
        <v>55.228874613549905</v>
      </c>
      <c r="H29" s="171">
        <f t="shared" si="4"/>
        <v>56.069923465532902</v>
      </c>
      <c r="I29" s="171">
        <f t="shared" si="4"/>
        <v>56.92378016805371</v>
      </c>
      <c r="J29" s="171">
        <f t="shared" si="4"/>
        <v>57.790639764521536</v>
      </c>
      <c r="K29" s="171">
        <f t="shared" si="4"/>
        <v>58.670700268549787</v>
      </c>
      <c r="L29" s="171">
        <f t="shared" si="4"/>
        <v>59.564162709187599</v>
      </c>
      <c r="M29" s="171">
        <f t="shared" si="4"/>
        <v>60.471231176840206</v>
      </c>
      <c r="N29" s="171">
        <f t="shared" si="4"/>
        <v>61.392112869888535</v>
      </c>
      <c r="O29" s="171">
        <f t="shared" si="4"/>
        <v>62.327018142018815</v>
      </c>
      <c r="P29" s="171">
        <f t="shared" si="4"/>
        <v>63.276160550272913</v>
      </c>
      <c r="Q29" s="171">
        <f t="shared" si="4"/>
        <v>64.239756903830369</v>
      </c>
      <c r="R29" s="171">
        <f t="shared" si="5"/>
        <v>65.218027313533369</v>
      </c>
      <c r="S29" s="171">
        <f t="shared" si="5"/>
        <v>66.211195242165857</v>
      </c>
      <c r="T29" s="171">
        <f t="shared" si="5"/>
        <v>67.219487555498333</v>
      </c>
      <c r="U29" s="171">
        <f t="shared" si="5"/>
        <v>68.243134574109988</v>
      </c>
      <c r="V29" s="171">
        <f t="shared" si="5"/>
        <v>69.282370125999989</v>
      </c>
      <c r="W29" s="171">
        <f t="shared" si="5"/>
        <v>70.337431599999988</v>
      </c>
      <c r="X29" s="171">
        <f t="shared" si="5"/>
        <v>71.408559999999994</v>
      </c>
      <c r="Y29" s="171">
        <f t="shared" si="5"/>
        <v>72.495999999999995</v>
      </c>
      <c r="Z29" s="75">
        <v>73.599999999999994</v>
      </c>
      <c r="AA29" s="75">
        <v>73.599999999999994</v>
      </c>
      <c r="AB29" s="75">
        <v>73.599999999999994</v>
      </c>
      <c r="AC29" s="75">
        <v>73.599999999999994</v>
      </c>
      <c r="AD29" s="75">
        <v>73.599999999999994</v>
      </c>
      <c r="AE29" s="75">
        <v>73.599999999999994</v>
      </c>
      <c r="AF29" s="75">
        <v>73.599999999999994</v>
      </c>
    </row>
    <row r="30" spans="1:32">
      <c r="A30" s="1" t="s">
        <v>320</v>
      </c>
      <c r="B30" s="171">
        <f t="shared" si="4"/>
        <v>33.367699018890512</v>
      </c>
      <c r="C30" s="171">
        <f t="shared" si="4"/>
        <v>33.875836567401535</v>
      </c>
      <c r="D30" s="171">
        <f t="shared" si="4"/>
        <v>34.391712251169075</v>
      </c>
      <c r="E30" s="171">
        <f t="shared" si="4"/>
        <v>34.915443909816318</v>
      </c>
      <c r="F30" s="171">
        <f t="shared" si="4"/>
        <v>35.447151177478496</v>
      </c>
      <c r="G30" s="171">
        <f t="shared" si="4"/>
        <v>35.98695551013045</v>
      </c>
      <c r="H30" s="171">
        <f t="shared" si="4"/>
        <v>36.534980213330407</v>
      </c>
      <c r="I30" s="171">
        <f t="shared" si="4"/>
        <v>37.091350470386203</v>
      </c>
      <c r="J30" s="171">
        <f t="shared" si="4"/>
        <v>37.656193370950461</v>
      </c>
      <c r="K30" s="171">
        <f t="shared" si="4"/>
        <v>38.229637940051234</v>
      </c>
      <c r="L30" s="171">
        <f t="shared" si="4"/>
        <v>38.811815167564703</v>
      </c>
      <c r="M30" s="171">
        <f t="shared" si="4"/>
        <v>39.402858038136756</v>
      </c>
      <c r="N30" s="171">
        <f t="shared" si="4"/>
        <v>40.002901561560158</v>
      </c>
      <c r="O30" s="171">
        <f t="shared" si="4"/>
        <v>40.612082803614371</v>
      </c>
      <c r="P30" s="171">
        <f t="shared" si="4"/>
        <v>41.230540917374995</v>
      </c>
      <c r="Q30" s="171">
        <f t="shared" si="4"/>
        <v>41.858417174999992</v>
      </c>
      <c r="R30" s="171">
        <f t="shared" si="5"/>
        <v>42.495854999999992</v>
      </c>
      <c r="S30" s="171">
        <f t="shared" si="5"/>
        <v>43.142999999999994</v>
      </c>
      <c r="T30" s="75">
        <v>43.8</v>
      </c>
      <c r="U30" s="75">
        <v>38.299999999999997</v>
      </c>
      <c r="V30" s="75">
        <v>38.299999999999997</v>
      </c>
      <c r="W30" s="75">
        <v>40.5</v>
      </c>
      <c r="X30" s="75">
        <v>40.299999999999997</v>
      </c>
      <c r="Y30" s="75">
        <v>40.1</v>
      </c>
      <c r="Z30" s="75">
        <v>40.1</v>
      </c>
      <c r="AA30" s="75">
        <v>40.1</v>
      </c>
      <c r="AB30" s="75">
        <v>40.1</v>
      </c>
      <c r="AC30" s="75">
        <v>40.1</v>
      </c>
      <c r="AD30" s="75">
        <v>40.1</v>
      </c>
      <c r="AE30" s="75">
        <v>40.1</v>
      </c>
      <c r="AF30" s="75">
        <v>40.1</v>
      </c>
    </row>
    <row r="31" spans="1:32">
      <c r="A31" s="1" t="s">
        <v>321</v>
      </c>
      <c r="B31" s="171">
        <f t="shared" si="4"/>
        <v>111.5705661450487</v>
      </c>
      <c r="C31" s="171">
        <f t="shared" si="4"/>
        <v>113.26961029954182</v>
      </c>
      <c r="D31" s="171">
        <f t="shared" si="4"/>
        <v>114.99452822288511</v>
      </c>
      <c r="E31" s="171">
        <f t="shared" si="4"/>
        <v>116.74571393186305</v>
      </c>
      <c r="F31" s="171">
        <f t="shared" si="4"/>
        <v>118.52356744351579</v>
      </c>
      <c r="G31" s="171">
        <f t="shared" si="4"/>
        <v>120.32849486651349</v>
      </c>
      <c r="H31" s="171">
        <f t="shared" si="4"/>
        <v>122.16090849392234</v>
      </c>
      <c r="I31" s="171">
        <f t="shared" si="4"/>
        <v>124.02122689738309</v>
      </c>
      <c r="J31" s="171">
        <f t="shared" si="4"/>
        <v>125.90987502272395</v>
      </c>
      <c r="K31" s="171">
        <f t="shared" si="4"/>
        <v>127.8272842870294</v>
      </c>
      <c r="L31" s="171">
        <f t="shared" si="4"/>
        <v>129.77389267718721</v>
      </c>
      <c r="M31" s="171">
        <f t="shared" si="4"/>
        <v>131.75014484993625</v>
      </c>
      <c r="N31" s="171">
        <f t="shared" si="4"/>
        <v>133.75649223343783</v>
      </c>
      <c r="O31" s="171">
        <f t="shared" si="4"/>
        <v>135.79339313039372</v>
      </c>
      <c r="P31" s="171">
        <f t="shared" si="4"/>
        <v>137.86131282273476</v>
      </c>
      <c r="Q31" s="171">
        <f t="shared" si="4"/>
        <v>139.9607236779033</v>
      </c>
      <c r="R31" s="171">
        <f t="shared" si="5"/>
        <v>142.09210525675462</v>
      </c>
      <c r="S31" s="171">
        <f t="shared" si="5"/>
        <v>144.25594442310114</v>
      </c>
      <c r="T31" s="171">
        <f t="shared" si="5"/>
        <v>146.452735454925</v>
      </c>
      <c r="U31" s="75">
        <v>148.68298015728428</v>
      </c>
      <c r="V31" s="75">
        <v>165</v>
      </c>
      <c r="W31" s="75">
        <v>165</v>
      </c>
      <c r="X31" s="75">
        <v>160</v>
      </c>
      <c r="Y31" s="75">
        <v>154</v>
      </c>
      <c r="Z31" s="75">
        <v>154</v>
      </c>
      <c r="AA31" s="75">
        <v>154</v>
      </c>
      <c r="AB31" s="75">
        <v>154</v>
      </c>
      <c r="AC31" s="75">
        <v>154</v>
      </c>
      <c r="AD31" s="75">
        <v>154</v>
      </c>
      <c r="AE31" s="75">
        <v>154</v>
      </c>
      <c r="AF31" s="75">
        <v>154</v>
      </c>
    </row>
    <row r="32" spans="1:32">
      <c r="A32" s="1" t="s">
        <v>322</v>
      </c>
      <c r="B32" s="171">
        <f t="shared" si="4"/>
        <v>92.148176664999056</v>
      </c>
      <c r="C32" s="171">
        <f t="shared" si="4"/>
        <v>93.551448390861992</v>
      </c>
      <c r="D32" s="171">
        <f t="shared" si="4"/>
        <v>94.976089736915725</v>
      </c>
      <c r="E32" s="171">
        <f t="shared" si="4"/>
        <v>96.422426128848457</v>
      </c>
      <c r="F32" s="171">
        <f t="shared" si="4"/>
        <v>97.890787948069502</v>
      </c>
      <c r="G32" s="171">
        <f t="shared" si="4"/>
        <v>99.381510607177162</v>
      </c>
      <c r="H32" s="171">
        <f t="shared" si="4"/>
        <v>100.8949346265758</v>
      </c>
      <c r="I32" s="171">
        <f t="shared" si="4"/>
        <v>102.4314057122597</v>
      </c>
      <c r="J32" s="171">
        <f t="shared" si="4"/>
        <v>103.99127483478142</v>
      </c>
      <c r="K32" s="171">
        <f t="shared" si="4"/>
        <v>105.57489830942276</v>
      </c>
      <c r="L32" s="171">
        <f t="shared" si="4"/>
        <v>107.18263787758656</v>
      </c>
      <c r="M32" s="171">
        <f t="shared" si="4"/>
        <v>108.81486078942798</v>
      </c>
      <c r="N32" s="171">
        <f t="shared" si="4"/>
        <v>110.47193988774414</v>
      </c>
      <c r="O32" s="171">
        <f t="shared" si="4"/>
        <v>112.15425369314126</v>
      </c>
      <c r="P32" s="171">
        <f t="shared" si="4"/>
        <v>113.86218649049874</v>
      </c>
      <c r="Q32" s="171">
        <f t="shared" si="4"/>
        <v>115.59612841674999</v>
      </c>
      <c r="R32" s="171">
        <f t="shared" si="5"/>
        <v>117.35647555</v>
      </c>
      <c r="S32" s="171">
        <f t="shared" si="5"/>
        <v>119.14363</v>
      </c>
      <c r="T32" s="171">
        <f t="shared" si="5"/>
        <v>120.958</v>
      </c>
      <c r="U32" s="75">
        <v>122.8</v>
      </c>
      <c r="V32" s="75">
        <v>122</v>
      </c>
      <c r="W32" s="75">
        <v>122</v>
      </c>
      <c r="X32" s="75">
        <v>131.6</v>
      </c>
      <c r="Y32" s="75">
        <v>131.6</v>
      </c>
      <c r="Z32" s="75">
        <v>131.6</v>
      </c>
      <c r="AA32" s="75">
        <v>131.6</v>
      </c>
      <c r="AB32" s="75">
        <v>131.6</v>
      </c>
      <c r="AC32" s="75">
        <v>131.6</v>
      </c>
      <c r="AD32" s="75">
        <v>131.6</v>
      </c>
      <c r="AE32" s="75">
        <v>131.6</v>
      </c>
      <c r="AF32" s="75">
        <v>131.6</v>
      </c>
    </row>
    <row r="33" spans="1:32">
      <c r="A33" s="1" t="s">
        <v>411</v>
      </c>
      <c r="B33" s="171">
        <f t="shared" si="4"/>
        <v>93.799039764860623</v>
      </c>
      <c r="C33" s="171">
        <f t="shared" si="4"/>
        <v>95.227451537929568</v>
      </c>
      <c r="D33" s="171">
        <f t="shared" si="4"/>
        <v>96.677615774547789</v>
      </c>
      <c r="E33" s="171">
        <f t="shared" si="4"/>
        <v>98.149863730505373</v>
      </c>
      <c r="F33" s="171">
        <f t="shared" si="4"/>
        <v>99.644531706096828</v>
      </c>
      <c r="G33" s="171">
        <f t="shared" si="4"/>
        <v>101.16196112294094</v>
      </c>
      <c r="H33" s="171">
        <f t="shared" si="4"/>
        <v>102.70249860197049</v>
      </c>
      <c r="I33" s="171">
        <f t="shared" si="4"/>
        <v>104.26649604260963</v>
      </c>
      <c r="J33" s="171">
        <f t="shared" si="4"/>
        <v>105.85431070315698</v>
      </c>
      <c r="K33" s="171">
        <f t="shared" si="4"/>
        <v>107.46630528239288</v>
      </c>
      <c r="L33" s="171">
        <f t="shared" si="4"/>
        <v>109.10284800242933</v>
      </c>
      <c r="M33" s="171">
        <f t="shared" si="4"/>
        <v>110.76431269282165</v>
      </c>
      <c r="N33" s="171">
        <f t="shared" si="4"/>
        <v>112.45107887596106</v>
      </c>
      <c r="O33" s="171">
        <f t="shared" si="4"/>
        <v>114.16353185376758</v>
      </c>
      <c r="P33" s="171">
        <f t="shared" si="4"/>
        <v>115.90206279570313</v>
      </c>
      <c r="Q33" s="171">
        <f t="shared" si="4"/>
        <v>117.66706882812501</v>
      </c>
      <c r="R33" s="171">
        <f t="shared" si="5"/>
        <v>119.45895312500001</v>
      </c>
      <c r="S33" s="171">
        <f t="shared" si="5"/>
        <v>121.278125</v>
      </c>
      <c r="T33" s="171">
        <f t="shared" si="5"/>
        <v>123.125</v>
      </c>
      <c r="U33" s="75">
        <v>125</v>
      </c>
      <c r="V33" s="171">
        <f t="shared" ref="V33:AF37" si="6">U33*1.0015</f>
        <v>125.1875</v>
      </c>
      <c r="W33" s="171">
        <f t="shared" si="6"/>
        <v>125.37528125</v>
      </c>
      <c r="X33" s="171">
        <f t="shared" si="6"/>
        <v>125.563344171875</v>
      </c>
      <c r="Y33" s="171">
        <f t="shared" si="6"/>
        <v>125.75168918813281</v>
      </c>
      <c r="Z33" s="171">
        <f t="shared" si="6"/>
        <v>125.94031672191502</v>
      </c>
      <c r="AA33" s="171">
        <f t="shared" si="6"/>
        <v>126.1292271969979</v>
      </c>
      <c r="AB33" s="171">
        <f t="shared" si="6"/>
        <v>126.31842103779341</v>
      </c>
      <c r="AC33" s="171">
        <f t="shared" si="6"/>
        <v>126.50789866935011</v>
      </c>
      <c r="AD33" s="171">
        <f t="shared" si="6"/>
        <v>126.69766051735415</v>
      </c>
      <c r="AE33" s="171">
        <f t="shared" si="6"/>
        <v>126.88770700813019</v>
      </c>
      <c r="AF33" s="171">
        <f t="shared" si="6"/>
        <v>127.0780385686424</v>
      </c>
    </row>
    <row r="34" spans="1:32">
      <c r="A34" s="1" t="s">
        <v>412</v>
      </c>
      <c r="B34" s="171">
        <f t="shared" si="4"/>
        <v>112.55884771783275</v>
      </c>
      <c r="C34" s="171">
        <f t="shared" si="4"/>
        <v>114.27294184551548</v>
      </c>
      <c r="D34" s="171">
        <f t="shared" si="4"/>
        <v>116.01313892945734</v>
      </c>
      <c r="E34" s="171">
        <f t="shared" si="4"/>
        <v>117.77983647660643</v>
      </c>
      <c r="F34" s="171">
        <f t="shared" si="4"/>
        <v>119.57343804731617</v>
      </c>
      <c r="G34" s="171">
        <f t="shared" si="4"/>
        <v>121.39435334752912</v>
      </c>
      <c r="H34" s="171">
        <f t="shared" si="4"/>
        <v>123.24299832236458</v>
      </c>
      <c r="I34" s="171">
        <f t="shared" si="4"/>
        <v>125.11979525113156</v>
      </c>
      <c r="J34" s="171">
        <f t="shared" si="4"/>
        <v>127.0251728437884</v>
      </c>
      <c r="K34" s="171">
        <f t="shared" si="4"/>
        <v>128.95956633887147</v>
      </c>
      <c r="L34" s="171">
        <f t="shared" si="4"/>
        <v>130.92341760291521</v>
      </c>
      <c r="M34" s="171">
        <f t="shared" si="4"/>
        <v>132.91717523138601</v>
      </c>
      <c r="N34" s="171">
        <f t="shared" si="4"/>
        <v>134.9412946511533</v>
      </c>
      <c r="O34" s="171">
        <f t="shared" si="4"/>
        <v>136.99623822452111</v>
      </c>
      <c r="P34" s="171">
        <f t="shared" si="4"/>
        <v>139.08247535484375</v>
      </c>
      <c r="Q34" s="171">
        <f t="shared" si="4"/>
        <v>141.20048259375</v>
      </c>
      <c r="R34" s="171">
        <f t="shared" si="5"/>
        <v>143.35074374999999</v>
      </c>
      <c r="S34" s="171">
        <f t="shared" si="5"/>
        <v>145.53375</v>
      </c>
      <c r="T34" s="171">
        <f t="shared" si="5"/>
        <v>147.75</v>
      </c>
      <c r="U34" s="75">
        <v>150</v>
      </c>
      <c r="V34" s="171">
        <f t="shared" si="6"/>
        <v>150.22500000000002</v>
      </c>
      <c r="W34" s="171">
        <f t="shared" si="6"/>
        <v>150.45033750000002</v>
      </c>
      <c r="X34" s="171">
        <f t="shared" si="6"/>
        <v>150.67601300625003</v>
      </c>
      <c r="Y34" s="171">
        <f t="shared" si="6"/>
        <v>150.90202702575942</v>
      </c>
      <c r="Z34" s="171">
        <f t="shared" si="6"/>
        <v>151.12838006629806</v>
      </c>
      <c r="AA34" s="171">
        <f t="shared" si="6"/>
        <v>151.35507263639752</v>
      </c>
      <c r="AB34" s="171">
        <f t="shared" si="6"/>
        <v>151.58210524535212</v>
      </c>
      <c r="AC34" s="171">
        <f t="shared" si="6"/>
        <v>151.80947840322017</v>
      </c>
      <c r="AD34" s="171">
        <f t="shared" si="6"/>
        <v>152.03719262082501</v>
      </c>
      <c r="AE34" s="171">
        <f t="shared" si="6"/>
        <v>152.26524840975625</v>
      </c>
      <c r="AF34" s="171">
        <f t="shared" si="6"/>
        <v>152.49364628237089</v>
      </c>
    </row>
    <row r="35" spans="1:32">
      <c r="A35" s="1" t="s">
        <v>413</v>
      </c>
      <c r="B35" s="171">
        <f t="shared" si="4"/>
        <v>20.260592589209885</v>
      </c>
      <c r="C35" s="171">
        <f t="shared" si="4"/>
        <v>20.569129532192775</v>
      </c>
      <c r="D35" s="171">
        <f t="shared" si="4"/>
        <v>20.882365007302312</v>
      </c>
      <c r="E35" s="171">
        <f t="shared" si="4"/>
        <v>21.20037056578915</v>
      </c>
      <c r="F35" s="171">
        <f t="shared" si="4"/>
        <v>21.523218848516905</v>
      </c>
      <c r="G35" s="171">
        <f t="shared" si="4"/>
        <v>21.850983602555232</v>
      </c>
      <c r="H35" s="171">
        <f t="shared" si="4"/>
        <v>22.183739698025615</v>
      </c>
      <c r="I35" s="171">
        <f t="shared" si="4"/>
        <v>22.521563145203672</v>
      </c>
      <c r="J35" s="171">
        <f t="shared" si="4"/>
        <v>22.864531111881902</v>
      </c>
      <c r="K35" s="171">
        <f t="shared" si="4"/>
        <v>23.212721940996854</v>
      </c>
      <c r="L35" s="171">
        <f t="shared" si="4"/>
        <v>23.566215168524725</v>
      </c>
      <c r="M35" s="171">
        <f t="shared" si="4"/>
        <v>23.925091541649468</v>
      </c>
      <c r="N35" s="171">
        <f t="shared" si="4"/>
        <v>24.289433037207584</v>
      </c>
      <c r="O35" s="171">
        <f t="shared" si="4"/>
        <v>24.659322880413789</v>
      </c>
      <c r="P35" s="171">
        <f t="shared" si="4"/>
        <v>25.034845563871869</v>
      </c>
      <c r="Q35" s="171">
        <f t="shared" si="4"/>
        <v>25.416086866874995</v>
      </c>
      <c r="R35" s="171">
        <f t="shared" si="5"/>
        <v>25.803133874999997</v>
      </c>
      <c r="S35" s="171">
        <f t="shared" si="5"/>
        <v>26.196074999999997</v>
      </c>
      <c r="T35" s="171">
        <f t="shared" si="5"/>
        <v>26.594999999999999</v>
      </c>
      <c r="U35" s="75">
        <v>27</v>
      </c>
      <c r="V35" s="171">
        <f>U35*1.0015</f>
        <v>27.040500000000002</v>
      </c>
      <c r="W35" s="171">
        <f t="shared" si="6"/>
        <v>27.081060750000002</v>
      </c>
      <c r="X35" s="171">
        <f t="shared" si="6"/>
        <v>27.121682341125005</v>
      </c>
      <c r="Y35" s="171">
        <f t="shared" si="6"/>
        <v>27.162364864636693</v>
      </c>
      <c r="Z35" s="171">
        <f t="shared" si="6"/>
        <v>27.203108411933648</v>
      </c>
      <c r="AA35" s="171">
        <f t="shared" si="6"/>
        <v>27.24391307455155</v>
      </c>
      <c r="AB35" s="171">
        <f t="shared" si="6"/>
        <v>27.284778944163378</v>
      </c>
      <c r="AC35" s="171">
        <f t="shared" si="6"/>
        <v>27.325706112579624</v>
      </c>
      <c r="AD35" s="171">
        <f t="shared" si="6"/>
        <v>27.366694671748494</v>
      </c>
      <c r="AE35" s="171">
        <f t="shared" si="6"/>
        <v>27.407744713756117</v>
      </c>
      <c r="AF35" s="171">
        <f t="shared" si="6"/>
        <v>27.448856330826754</v>
      </c>
    </row>
    <row r="36" spans="1:32">
      <c r="A36" s="1" t="s">
        <v>449</v>
      </c>
      <c r="B36" s="171">
        <f t="shared" si="4"/>
        <v>10.756929690662872</v>
      </c>
      <c r="C36" s="171">
        <f t="shared" si="4"/>
        <v>10.920740802703424</v>
      </c>
      <c r="D36" s="171">
        <f t="shared" si="4"/>
        <v>11.087046500206522</v>
      </c>
      <c r="E36" s="171">
        <f t="shared" si="4"/>
        <v>11.255884771783272</v>
      </c>
      <c r="F36" s="171">
        <f t="shared" si="4"/>
        <v>11.427294184551545</v>
      </c>
      <c r="G36" s="171">
        <f t="shared" si="4"/>
        <v>11.601313892945731</v>
      </c>
      <c r="H36" s="171">
        <f t="shared" si="4"/>
        <v>11.777983647660641</v>
      </c>
      <c r="I36" s="171">
        <f t="shared" si="4"/>
        <v>11.957343804731615</v>
      </c>
      <c r="J36" s="171">
        <f t="shared" si="4"/>
        <v>12.139435334752909</v>
      </c>
      <c r="K36" s="171">
        <f t="shared" si="4"/>
        <v>12.324299832236456</v>
      </c>
      <c r="L36" s="171">
        <f t="shared" si="4"/>
        <v>12.511979525113153</v>
      </c>
      <c r="M36" s="171">
        <f t="shared" si="4"/>
        <v>12.702517284378835</v>
      </c>
      <c r="N36" s="171">
        <f t="shared" si="4"/>
        <v>12.895956633887144</v>
      </c>
      <c r="O36" s="171">
        <f t="shared" si="4"/>
        <v>13.092341760291516</v>
      </c>
      <c r="P36" s="171">
        <f t="shared" si="4"/>
        <v>13.291717523138596</v>
      </c>
      <c r="Q36" s="171">
        <f t="shared" si="4"/>
        <v>13.494129465115327</v>
      </c>
      <c r="R36" s="171">
        <f t="shared" si="5"/>
        <v>13.699623822452109</v>
      </c>
      <c r="S36" s="171">
        <f t="shared" si="5"/>
        <v>13.908247535484374</v>
      </c>
      <c r="T36" s="171">
        <f t="shared" si="5"/>
        <v>14.120048259375</v>
      </c>
      <c r="U36" s="171">
        <f t="shared" si="5"/>
        <v>14.335074375000001</v>
      </c>
      <c r="V36" s="171">
        <f t="shared" si="5"/>
        <v>14.553375000000001</v>
      </c>
      <c r="W36" s="171">
        <f t="shared" si="5"/>
        <v>14.775</v>
      </c>
      <c r="X36" s="75">
        <v>15</v>
      </c>
      <c r="Y36" s="171">
        <f t="shared" si="6"/>
        <v>15.022500000000001</v>
      </c>
      <c r="Z36" s="171">
        <f t="shared" si="6"/>
        <v>15.045033750000002</v>
      </c>
      <c r="AA36" s="171">
        <f t="shared" si="6"/>
        <v>15.067601300625002</v>
      </c>
      <c r="AB36" s="171">
        <f t="shared" si="6"/>
        <v>15.09020270257594</v>
      </c>
      <c r="AC36" s="171">
        <f t="shared" si="6"/>
        <v>15.112838006629804</v>
      </c>
      <c r="AD36" s="171">
        <f t="shared" si="6"/>
        <v>15.135507263639751</v>
      </c>
      <c r="AE36" s="171">
        <f t="shared" si="6"/>
        <v>15.15821052453521</v>
      </c>
      <c r="AF36" s="171">
        <f t="shared" si="6"/>
        <v>15.180947840322014</v>
      </c>
    </row>
    <row r="37" spans="1:32">
      <c r="A37" s="1" t="s">
        <v>450</v>
      </c>
      <c r="B37" s="171">
        <f t="shared" si="4"/>
        <v>11.301947461656457</v>
      </c>
      <c r="C37" s="171">
        <f t="shared" si="4"/>
        <v>11.474058336707063</v>
      </c>
      <c r="D37" s="171">
        <f t="shared" si="4"/>
        <v>11.648790189550319</v>
      </c>
      <c r="E37" s="171">
        <f t="shared" si="4"/>
        <v>11.826182933553623</v>
      </c>
      <c r="F37" s="171">
        <f t="shared" si="4"/>
        <v>12.006277089902156</v>
      </c>
      <c r="G37" s="171">
        <f t="shared" si="4"/>
        <v>12.189113796854981</v>
      </c>
      <c r="H37" s="171">
        <f t="shared" si="4"/>
        <v>12.374734819142112</v>
      </c>
      <c r="I37" s="171">
        <f t="shared" si="4"/>
        <v>12.563182557504684</v>
      </c>
      <c r="J37" s="171">
        <f t="shared" si="4"/>
        <v>12.75450005838039</v>
      </c>
      <c r="K37" s="171">
        <f t="shared" si="4"/>
        <v>12.948731023736437</v>
      </c>
      <c r="L37" s="171">
        <f t="shared" si="4"/>
        <v>13.145919821052221</v>
      </c>
      <c r="M37" s="171">
        <f t="shared" si="4"/>
        <v>13.346111493454032</v>
      </c>
      <c r="N37" s="171">
        <f t="shared" si="4"/>
        <v>13.549351770004094</v>
      </c>
      <c r="O37" s="171">
        <f t="shared" si="4"/>
        <v>13.755687076146289</v>
      </c>
      <c r="P37" s="171">
        <f t="shared" si="4"/>
        <v>13.965164544310953</v>
      </c>
      <c r="Q37" s="171">
        <f t="shared" si="4"/>
        <v>14.177832024681171</v>
      </c>
      <c r="R37" s="171">
        <f t="shared" si="5"/>
        <v>14.393738096123016</v>
      </c>
      <c r="S37" s="171">
        <f t="shared" si="5"/>
        <v>14.612932077282251</v>
      </c>
      <c r="T37" s="171">
        <f t="shared" si="5"/>
        <v>14.83546403785</v>
      </c>
      <c r="U37" s="171">
        <f t="shared" si="5"/>
        <v>15.06138481</v>
      </c>
      <c r="V37" s="171">
        <f t="shared" si="5"/>
        <v>15.290746</v>
      </c>
      <c r="W37" s="171">
        <f t="shared" si="5"/>
        <v>15.5236</v>
      </c>
      <c r="X37" s="171">
        <f t="shared" si="5"/>
        <v>15.76</v>
      </c>
      <c r="Y37" s="75">
        <v>16</v>
      </c>
      <c r="Z37" s="171">
        <f t="shared" si="6"/>
        <v>16.024000000000001</v>
      </c>
      <c r="AA37" s="171">
        <f t="shared" si="6"/>
        <v>16.048036000000003</v>
      </c>
      <c r="AB37" s="171">
        <f t="shared" si="6"/>
        <v>16.072108054000005</v>
      </c>
      <c r="AC37" s="171">
        <f t="shared" si="6"/>
        <v>16.096216216081004</v>
      </c>
      <c r="AD37" s="171">
        <f t="shared" si="6"/>
        <v>16.120360540405127</v>
      </c>
      <c r="AE37" s="171">
        <f t="shared" si="6"/>
        <v>16.144541081215735</v>
      </c>
      <c r="AF37" s="171">
        <f t="shared" si="6"/>
        <v>16.168757892837558</v>
      </c>
    </row>
    <row r="38" spans="1:32">
      <c r="A38" s="1" t="s">
        <v>451</v>
      </c>
      <c r="B38" s="171">
        <f t="shared" ref="B38:W38" si="7">C38*0.985</f>
        <v>11.330632607498226</v>
      </c>
      <c r="C38" s="171">
        <f t="shared" si="7"/>
        <v>11.503180312180939</v>
      </c>
      <c r="D38" s="171">
        <f t="shared" si="7"/>
        <v>11.678355646884203</v>
      </c>
      <c r="E38" s="171">
        <f t="shared" si="7"/>
        <v>11.856198626278379</v>
      </c>
      <c r="F38" s="171">
        <f t="shared" si="7"/>
        <v>12.036749874394294</v>
      </c>
      <c r="G38" s="171">
        <f t="shared" si="7"/>
        <v>12.220050633902837</v>
      </c>
      <c r="H38" s="171">
        <f t="shared" si="7"/>
        <v>12.406142775535875</v>
      </c>
      <c r="I38" s="171">
        <f t="shared" si="7"/>
        <v>12.595068807650634</v>
      </c>
      <c r="J38" s="171">
        <f t="shared" si="7"/>
        <v>12.78687188593973</v>
      </c>
      <c r="K38" s="171">
        <f t="shared" si="7"/>
        <v>12.981595823289066</v>
      </c>
      <c r="L38" s="171">
        <f t="shared" si="7"/>
        <v>13.179285099785854</v>
      </c>
      <c r="M38" s="171">
        <f t="shared" si="7"/>
        <v>13.37998487287904</v>
      </c>
      <c r="N38" s="171">
        <f t="shared" si="7"/>
        <v>13.583740987694458</v>
      </c>
      <c r="O38" s="171">
        <f t="shared" si="7"/>
        <v>13.790599987507065</v>
      </c>
      <c r="P38" s="171">
        <f t="shared" si="7"/>
        <v>14.000609124372655</v>
      </c>
      <c r="Q38" s="171">
        <f t="shared" si="7"/>
        <v>14.213816369921478</v>
      </c>
      <c r="R38" s="171">
        <f t="shared" si="7"/>
        <v>14.430270426316222</v>
      </c>
      <c r="S38" s="171">
        <f t="shared" si="7"/>
        <v>14.650020737376876</v>
      </c>
      <c r="T38" s="171">
        <f t="shared" si="7"/>
        <v>14.873117499875001</v>
      </c>
      <c r="U38" s="171">
        <f t="shared" si="7"/>
        <v>15.099611675</v>
      </c>
      <c r="V38" s="171">
        <f t="shared" si="7"/>
        <v>15.329555000000001</v>
      </c>
      <c r="W38" s="171">
        <f t="shared" si="7"/>
        <v>15.563000000000001</v>
      </c>
      <c r="X38" s="75">
        <v>15.8</v>
      </c>
      <c r="Y38" s="171">
        <f t="shared" ref="Y38:AF38" si="8">X38*1.0015</f>
        <v>15.823700000000002</v>
      </c>
      <c r="Z38" s="171">
        <f t="shared" si="8"/>
        <v>15.847435550000004</v>
      </c>
      <c r="AA38" s="171">
        <f t="shared" si="8"/>
        <v>15.871206703325004</v>
      </c>
      <c r="AB38" s="171">
        <f t="shared" si="8"/>
        <v>15.895013513379993</v>
      </c>
      <c r="AC38" s="171">
        <f t="shared" si="8"/>
        <v>15.918856033650064</v>
      </c>
      <c r="AD38" s="171">
        <f t="shared" si="8"/>
        <v>15.942734317700539</v>
      </c>
      <c r="AE38" s="171">
        <f t="shared" si="8"/>
        <v>15.966648419177091</v>
      </c>
      <c r="AF38" s="171">
        <f t="shared" si="8"/>
        <v>15.990598391805857</v>
      </c>
    </row>
    <row r="40" spans="1:32">
      <c r="A40" s="9" t="s">
        <v>453</v>
      </c>
      <c r="B40" s="92"/>
      <c r="C40" s="92"/>
      <c r="D40" s="92"/>
      <c r="E40" s="92"/>
      <c r="F40" s="92"/>
      <c r="G40" s="92"/>
      <c r="H40" s="92"/>
      <c r="I40" s="92"/>
      <c r="J40" s="92"/>
      <c r="K40" s="92"/>
      <c r="L40" s="92"/>
      <c r="M40" s="92"/>
      <c r="N40" s="92"/>
      <c r="O40" s="92"/>
      <c r="P40" s="92"/>
      <c r="Q40" s="296"/>
      <c r="R40" s="296"/>
      <c r="S40" s="296"/>
      <c r="T40" s="296"/>
      <c r="U40" s="24"/>
      <c r="V40" s="296"/>
      <c r="W40" s="296"/>
      <c r="X40" s="296"/>
      <c r="Y40" s="296"/>
      <c r="Z40" s="296"/>
      <c r="AA40" s="296"/>
      <c r="AB40" s="296"/>
      <c r="AC40" s="296"/>
      <c r="AD40" s="296"/>
      <c r="AE40" s="296"/>
      <c r="AF40" s="296"/>
    </row>
    <row r="41" spans="1:32">
      <c r="A41" s="1" t="s">
        <v>472</v>
      </c>
      <c r="B41" s="76">
        <f t="shared" ref="B41:Z41" si="9">SUMPRODUCT(B4:B19,B23:B38)</f>
        <v>4037.5454598801739</v>
      </c>
      <c r="C41" s="76">
        <f t="shared" si="9"/>
        <v>4033.3113886488572</v>
      </c>
      <c r="D41" s="76">
        <f t="shared" si="9"/>
        <v>4659.7265999747706</v>
      </c>
      <c r="E41" s="76">
        <f t="shared" si="9"/>
        <v>4455.9386991005458</v>
      </c>
      <c r="F41" s="76">
        <f t="shared" si="9"/>
        <v>4667.5124846435501</v>
      </c>
      <c r="G41" s="76">
        <f t="shared" si="9"/>
        <v>4820.9885784074295</v>
      </c>
      <c r="H41" s="76">
        <f t="shared" si="9"/>
        <v>5539.9337263540747</v>
      </c>
      <c r="I41" s="76">
        <f t="shared" si="9"/>
        <v>5647.4463227831184</v>
      </c>
      <c r="J41" s="76">
        <f t="shared" si="9"/>
        <v>5721.4995615900943</v>
      </c>
      <c r="K41" s="76">
        <f t="shared" si="9"/>
        <v>6191.7608400644931</v>
      </c>
      <c r="L41" s="76">
        <f t="shared" si="9"/>
        <v>6118.0563550168472</v>
      </c>
      <c r="M41" s="76">
        <f t="shared" si="9"/>
        <v>6263.9708988891216</v>
      </c>
      <c r="N41" s="76">
        <f t="shared" si="9"/>
        <v>6103.2043363966823</v>
      </c>
      <c r="O41" s="76">
        <f t="shared" si="9"/>
        <v>7052.2830549443961</v>
      </c>
      <c r="P41" s="76">
        <f t="shared" si="9"/>
        <v>7745.7325306763096</v>
      </c>
      <c r="Q41" s="76">
        <f t="shared" si="9"/>
        <v>6808.3026608734071</v>
      </c>
      <c r="R41" s="76">
        <f t="shared" si="9"/>
        <v>6770.6646851530004</v>
      </c>
      <c r="S41" s="76">
        <f t="shared" si="9"/>
        <v>6044.4997208746536</v>
      </c>
      <c r="T41" s="76">
        <f t="shared" si="9"/>
        <v>4193.4443755549837</v>
      </c>
      <c r="U41" s="76">
        <f t="shared" si="9"/>
        <v>10577.618824719169</v>
      </c>
      <c r="V41" s="76">
        <f>SUMPRODUCT(V4:V19,V23:V38)</f>
        <v>6828.3294805040005</v>
      </c>
      <c r="W41" s="76">
        <f t="shared" si="9"/>
        <v>7885.0600928837193</v>
      </c>
      <c r="X41" s="76">
        <f t="shared" si="9"/>
        <v>7301.2075230404807</v>
      </c>
      <c r="Y41" s="76">
        <f t="shared" si="9"/>
        <v>6760.5427424323852</v>
      </c>
      <c r="Z41" s="76">
        <f t="shared" si="9"/>
        <v>4788.7257547459085</v>
      </c>
      <c r="AA41" s="76">
        <f t="shared" ref="AA41:AF41" si="10">SUMPRODUCT(AA4:AA19,AA23:AA38)</f>
        <v>5644.5765106406907</v>
      </c>
      <c r="AB41" s="76">
        <f t="shared" si="10"/>
        <v>10766.678637766088</v>
      </c>
      <c r="AC41" s="76">
        <f t="shared" si="10"/>
        <v>10767.6360214</v>
      </c>
      <c r="AD41" s="76">
        <f t="shared" si="10"/>
        <v>10768.594841109363</v>
      </c>
      <c r="AE41" s="76">
        <f t="shared" si="10"/>
        <v>10769.555099048292</v>
      </c>
      <c r="AF41" s="76">
        <f t="shared" si="10"/>
        <v>10770.516797374126</v>
      </c>
    </row>
    <row r="42" spans="1:32">
      <c r="A42" s="1" t="s">
        <v>471</v>
      </c>
      <c r="B42" s="76">
        <f>B43-B41</f>
        <v>4636.4545401198266</v>
      </c>
      <c r="C42" s="76">
        <f t="shared" ref="C42:R42" si="11">C43-C41</f>
        <v>4917.6886113511428</v>
      </c>
      <c r="D42" s="76">
        <f t="shared" si="11"/>
        <v>5909.2734000252294</v>
      </c>
      <c r="E42" s="76">
        <f t="shared" si="11"/>
        <v>6310.0613008994542</v>
      </c>
      <c r="F42" s="76">
        <f t="shared" si="11"/>
        <v>6726.4875153564499</v>
      </c>
      <c r="G42" s="76">
        <f t="shared" si="11"/>
        <v>8689.0114215925714</v>
      </c>
      <c r="H42" s="76">
        <f t="shared" si="11"/>
        <v>8567.0662736459253</v>
      </c>
      <c r="I42" s="76">
        <f t="shared" si="11"/>
        <v>8092.5536772168816</v>
      </c>
      <c r="J42" s="76">
        <f t="shared" si="11"/>
        <v>7589.5004384099057</v>
      </c>
      <c r="K42" s="76">
        <f t="shared" si="11"/>
        <v>8112.2391599355069</v>
      </c>
      <c r="L42" s="76">
        <f t="shared" si="11"/>
        <v>8119.9436449831528</v>
      </c>
      <c r="M42" s="76">
        <f t="shared" si="11"/>
        <v>8683.0291011108784</v>
      </c>
      <c r="N42" s="76">
        <f t="shared" si="11"/>
        <v>9915.7956636033177</v>
      </c>
      <c r="O42" s="76">
        <f t="shared" si="11"/>
        <v>8232.716945055603</v>
      </c>
      <c r="P42" s="76">
        <f t="shared" si="11"/>
        <v>5754.2674693236904</v>
      </c>
      <c r="Q42" s="76">
        <f t="shared" si="11"/>
        <v>6615.6973391265929</v>
      </c>
      <c r="R42" s="76">
        <f t="shared" si="11"/>
        <v>5744.3353148469996</v>
      </c>
      <c r="S42" s="171">
        <f>R42*(1+S51)</f>
        <v>5974.1087274408801</v>
      </c>
      <c r="T42" s="171">
        <f t="shared" ref="T42:AF42" si="12">S42*(1+T51)</f>
        <v>6213.0730765385151</v>
      </c>
      <c r="U42" s="171">
        <f t="shared" si="12"/>
        <v>6585.8574611308268</v>
      </c>
      <c r="V42" s="171">
        <f t="shared" si="12"/>
        <v>8232.3218264135339</v>
      </c>
      <c r="W42" s="171">
        <f t="shared" si="12"/>
        <v>7409.0896437721804</v>
      </c>
      <c r="X42" s="171">
        <f t="shared" si="12"/>
        <v>6445.9079900817969</v>
      </c>
      <c r="Y42" s="171">
        <f t="shared" si="12"/>
        <v>5479.0217915695275</v>
      </c>
      <c r="Z42" s="171">
        <f t="shared" si="12"/>
        <v>4931.1196124125745</v>
      </c>
      <c r="AA42" s="171">
        <f t="shared" si="12"/>
        <v>4832.4972201643232</v>
      </c>
      <c r="AB42" s="171">
        <f t="shared" si="12"/>
        <v>5315.7469421807555</v>
      </c>
      <c r="AC42" s="171">
        <f t="shared" si="12"/>
        <v>5581.5342892897934</v>
      </c>
      <c r="AD42" s="171">
        <f t="shared" si="12"/>
        <v>5860.611003754283</v>
      </c>
      <c r="AE42" s="171">
        <f t="shared" si="12"/>
        <v>6153.6415539419977</v>
      </c>
      <c r="AF42" s="171">
        <f t="shared" si="12"/>
        <v>6215.1779694814177</v>
      </c>
    </row>
    <row r="43" spans="1:32">
      <c r="A43" s="12" t="s">
        <v>470</v>
      </c>
      <c r="B43" s="184">
        <v>8674</v>
      </c>
      <c r="C43" s="184">
        <v>8951</v>
      </c>
      <c r="D43" s="184">
        <v>10569</v>
      </c>
      <c r="E43" s="184">
        <v>10766</v>
      </c>
      <c r="F43" s="184">
        <v>11394</v>
      </c>
      <c r="G43" s="184">
        <v>13510</v>
      </c>
      <c r="H43" s="184">
        <v>14107</v>
      </c>
      <c r="I43" s="184">
        <v>13740</v>
      </c>
      <c r="J43" s="184">
        <v>13311</v>
      </c>
      <c r="K43" s="184">
        <v>14304</v>
      </c>
      <c r="L43" s="184">
        <v>14238</v>
      </c>
      <c r="M43" s="184">
        <v>14947</v>
      </c>
      <c r="N43" s="184">
        <v>16019</v>
      </c>
      <c r="O43" s="184">
        <v>15285</v>
      </c>
      <c r="P43" s="184">
        <v>13500</v>
      </c>
      <c r="Q43" s="184">
        <v>13424</v>
      </c>
      <c r="R43" s="266">
        <v>12515</v>
      </c>
      <c r="S43" s="78">
        <f>SUM(S41:S42)</f>
        <v>12018.608448315534</v>
      </c>
      <c r="T43" s="78">
        <f t="shared" ref="T43:AA43" si="13">SUM(T41:T42)</f>
        <v>10406.5174520935</v>
      </c>
      <c r="U43" s="78">
        <f t="shared" si="13"/>
        <v>17163.476285849996</v>
      </c>
      <c r="V43" s="78">
        <f t="shared" si="13"/>
        <v>15060.651306917534</v>
      </c>
      <c r="W43" s="78">
        <f t="shared" si="13"/>
        <v>15294.1497366559</v>
      </c>
      <c r="X43" s="78">
        <f t="shared" si="13"/>
        <v>13747.115513122277</v>
      </c>
      <c r="Y43" s="78">
        <f t="shared" si="13"/>
        <v>12239.564534001913</v>
      </c>
      <c r="Z43" s="78">
        <f t="shared" si="13"/>
        <v>9719.845367158483</v>
      </c>
      <c r="AA43" s="78">
        <f t="shared" si="13"/>
        <v>10477.073730805014</v>
      </c>
      <c r="AB43" s="78">
        <f>SUM(AB41:AB42)</f>
        <v>16082.425579946845</v>
      </c>
      <c r="AC43" s="78">
        <f>SUM(AC41:AC42)</f>
        <v>16349.170310689793</v>
      </c>
      <c r="AD43" s="78">
        <f>SUM(AD41:AD42)</f>
        <v>16629.205844863645</v>
      </c>
      <c r="AE43" s="78">
        <f>SUM(AE41:AE42)</f>
        <v>16923.196652990289</v>
      </c>
      <c r="AF43" s="78">
        <f>SUM(AF41:AF42)</f>
        <v>16985.694766855544</v>
      </c>
    </row>
    <row r="44" spans="1:32">
      <c r="A44" s="12" t="s">
        <v>303</v>
      </c>
      <c r="B44" s="184">
        <v>8039</v>
      </c>
      <c r="C44" s="184">
        <v>10364</v>
      </c>
      <c r="D44" s="179">
        <v>10904</v>
      </c>
      <c r="E44" s="179">
        <v>12376</v>
      </c>
      <c r="F44" s="179">
        <v>14190</v>
      </c>
      <c r="G44" s="184">
        <v>12254</v>
      </c>
      <c r="H44" s="184">
        <v>11941</v>
      </c>
      <c r="I44" s="184">
        <v>11475</v>
      </c>
      <c r="J44" s="184">
        <v>11346</v>
      </c>
      <c r="K44" s="184">
        <v>10877</v>
      </c>
      <c r="L44" s="184">
        <v>9455</v>
      </c>
      <c r="M44" s="184">
        <v>8654</v>
      </c>
      <c r="N44" s="184">
        <v>7911</v>
      </c>
      <c r="O44" s="184">
        <v>8512</v>
      </c>
      <c r="P44" s="184">
        <v>8003</v>
      </c>
      <c r="Q44" s="184">
        <v>7751</v>
      </c>
      <c r="R44" s="96">
        <f t="shared" ref="R44:AF45" si="14">Q44*(1+R52)</f>
        <v>8138.55</v>
      </c>
      <c r="S44" s="96">
        <f t="shared" si="14"/>
        <v>7731.6224999999995</v>
      </c>
      <c r="T44" s="96">
        <f t="shared" si="14"/>
        <v>7422.3575999999994</v>
      </c>
      <c r="U44" s="96">
        <f t="shared" si="14"/>
        <v>6977.0161439999993</v>
      </c>
      <c r="V44" s="96">
        <f t="shared" si="14"/>
        <v>8721.2701799999995</v>
      </c>
      <c r="W44" s="96">
        <f t="shared" si="14"/>
        <v>8721.2701799999995</v>
      </c>
      <c r="X44" s="96">
        <f t="shared" si="14"/>
        <v>8023.5685655999996</v>
      </c>
      <c r="Y44" s="96">
        <f t="shared" si="14"/>
        <v>8264.2756225680005</v>
      </c>
      <c r="Z44" s="96">
        <f t="shared" si="14"/>
        <v>8512.2038912450407</v>
      </c>
      <c r="AA44" s="96">
        <f t="shared" si="14"/>
        <v>8682.4479690699409</v>
      </c>
      <c r="AB44" s="96">
        <f t="shared" si="14"/>
        <v>9377.0438065955368</v>
      </c>
      <c r="AC44" s="96">
        <f t="shared" si="14"/>
        <v>9939.6664349912699</v>
      </c>
      <c r="AD44" s="96">
        <f t="shared" si="14"/>
        <v>10436.649756740833</v>
      </c>
      <c r="AE44" s="96">
        <f t="shared" si="14"/>
        <v>10958.482244577875</v>
      </c>
      <c r="AF44" s="96">
        <f t="shared" si="14"/>
        <v>11068.067067023654</v>
      </c>
    </row>
    <row r="45" spans="1:32">
      <c r="A45" s="12" t="s">
        <v>304</v>
      </c>
      <c r="B45" s="266">
        <v>3250</v>
      </c>
      <c r="C45" s="266">
        <v>3500</v>
      </c>
      <c r="D45" s="184">
        <v>3484</v>
      </c>
      <c r="E45" s="184">
        <v>4219</v>
      </c>
      <c r="F45" s="184">
        <v>4881</v>
      </c>
      <c r="G45" s="184">
        <v>5342</v>
      </c>
      <c r="H45" s="184">
        <v>6391</v>
      </c>
      <c r="I45" s="184">
        <v>6837</v>
      </c>
      <c r="J45" s="184">
        <v>7390</v>
      </c>
      <c r="K45" s="184">
        <v>8480</v>
      </c>
      <c r="L45" s="184">
        <v>8250</v>
      </c>
      <c r="M45" s="184">
        <v>8375</v>
      </c>
      <c r="N45" s="184">
        <v>8677</v>
      </c>
      <c r="O45" s="184">
        <v>9400</v>
      </c>
      <c r="P45" s="184">
        <v>9378</v>
      </c>
      <c r="Q45" s="184">
        <v>9213</v>
      </c>
      <c r="R45" s="78">
        <f>R47-R44-R43</f>
        <v>1909.4500000000007</v>
      </c>
      <c r="S45" s="96">
        <f t="shared" si="14"/>
        <v>1966.7335000000007</v>
      </c>
      <c r="T45" s="96">
        <f t="shared" si="14"/>
        <v>2025.7355050000008</v>
      </c>
      <c r="U45" s="96">
        <f t="shared" si="14"/>
        <v>2086.5075701500009</v>
      </c>
      <c r="V45" s="96">
        <f t="shared" si="14"/>
        <v>2475.0785130824597</v>
      </c>
      <c r="W45" s="96">
        <f t="shared" si="14"/>
        <v>2524.580083344109</v>
      </c>
      <c r="X45" s="96">
        <f t="shared" si="14"/>
        <v>2322.6136766765803</v>
      </c>
      <c r="Y45" s="96">
        <f t="shared" si="14"/>
        <v>2415.5182237436438</v>
      </c>
      <c r="Z45" s="96">
        <f t="shared" si="14"/>
        <v>2512.1389526933895</v>
      </c>
      <c r="AA45" s="96">
        <f t="shared" si="14"/>
        <v>2612.6245108011253</v>
      </c>
      <c r="AB45" s="96">
        <f t="shared" si="14"/>
        <v>2769.3819814491931</v>
      </c>
      <c r="AC45" s="96">
        <f t="shared" si="14"/>
        <v>2907.8510805216529</v>
      </c>
      <c r="AD45" s="96">
        <f t="shared" si="14"/>
        <v>3053.2436345477358</v>
      </c>
      <c r="AE45" s="96">
        <f t="shared" si="14"/>
        <v>3205.9058162751226</v>
      </c>
      <c r="AF45" s="96">
        <f t="shared" si="14"/>
        <v>3237.9648744378737</v>
      </c>
    </row>
    <row r="46" spans="1:32">
      <c r="A46" s="1" t="s">
        <v>445</v>
      </c>
      <c r="B46" s="76">
        <f t="shared" ref="B46:G46" si="15">B47-SUM(B43:B45)</f>
        <v>0</v>
      </c>
      <c r="C46" s="76">
        <f t="shared" si="15"/>
        <v>0</v>
      </c>
      <c r="D46" s="76">
        <f t="shared" si="15"/>
        <v>0</v>
      </c>
      <c r="E46" s="76">
        <f t="shared" si="15"/>
        <v>0</v>
      </c>
      <c r="F46" s="76">
        <f t="shared" si="15"/>
        <v>0</v>
      </c>
      <c r="G46" s="76">
        <f t="shared" si="15"/>
        <v>0</v>
      </c>
      <c r="H46" s="76">
        <f t="shared" ref="H46:V46" si="16">H47-SUM(H43:H45)</f>
        <v>0</v>
      </c>
      <c r="I46" s="76">
        <f t="shared" si="16"/>
        <v>0</v>
      </c>
      <c r="J46" s="76">
        <f t="shared" si="16"/>
        <v>0</v>
      </c>
      <c r="K46" s="76">
        <f t="shared" si="16"/>
        <v>0</v>
      </c>
      <c r="L46" s="76">
        <f t="shared" si="16"/>
        <v>0</v>
      </c>
      <c r="M46" s="76">
        <f t="shared" si="16"/>
        <v>0</v>
      </c>
      <c r="N46" s="76">
        <f t="shared" si="16"/>
        <v>0</v>
      </c>
      <c r="O46" s="76">
        <f t="shared" si="16"/>
        <v>0</v>
      </c>
      <c r="P46" s="76">
        <f t="shared" si="16"/>
        <v>0</v>
      </c>
      <c r="Q46" s="76">
        <f t="shared" si="16"/>
        <v>0</v>
      </c>
      <c r="R46" s="376">
        <f t="shared" si="16"/>
        <v>0</v>
      </c>
      <c r="S46" s="376">
        <f t="shared" si="16"/>
        <v>-1155.9644483155353</v>
      </c>
      <c r="T46" s="376">
        <f t="shared" si="16"/>
        <v>6537.3894429065003</v>
      </c>
      <c r="U46" s="376">
        <f t="shared" si="16"/>
        <v>0</v>
      </c>
      <c r="V46" s="376">
        <f t="shared" si="16"/>
        <v>0</v>
      </c>
      <c r="W46" s="376">
        <f>W47-SUM(W43:W45)</f>
        <v>0</v>
      </c>
      <c r="X46" s="75">
        <v>0</v>
      </c>
      <c r="Y46" s="75">
        <v>0</v>
      </c>
      <c r="Z46" s="75">
        <v>0</v>
      </c>
      <c r="AA46" s="75">
        <v>0</v>
      </c>
      <c r="AB46" s="75">
        <v>0</v>
      </c>
      <c r="AC46" s="75">
        <v>0</v>
      </c>
      <c r="AD46" s="75">
        <v>0</v>
      </c>
      <c r="AE46" s="75">
        <v>0</v>
      </c>
      <c r="AF46" s="75">
        <v>0</v>
      </c>
    </row>
    <row r="47" spans="1:32">
      <c r="A47" s="12" t="s">
        <v>454</v>
      </c>
      <c r="B47" s="184">
        <f>Income_Statement_Annual!B8</f>
        <v>19963</v>
      </c>
      <c r="C47" s="184">
        <f>Income_Statement_Annual!C8</f>
        <v>22815</v>
      </c>
      <c r="D47" s="184">
        <f>Income_Statement_Annual!D8</f>
        <v>24957</v>
      </c>
      <c r="E47" s="184">
        <f>Income_Statement_Annual!E8</f>
        <v>27361</v>
      </c>
      <c r="F47" s="184">
        <f>Income_Statement_Annual!F8</f>
        <v>30465</v>
      </c>
      <c r="G47" s="184">
        <f>Income_Statement_Annual!G8</f>
        <v>31106</v>
      </c>
      <c r="H47" s="184">
        <f>Income_Statement_Annual!H8</f>
        <v>32439</v>
      </c>
      <c r="I47" s="184">
        <f>Income_Statement_Annual!I8</f>
        <v>32052</v>
      </c>
      <c r="J47" s="184">
        <f>Income_Statement_Annual!J8</f>
        <v>32047</v>
      </c>
      <c r="K47" s="184">
        <f>Income_Statement_Annual!K8</f>
        <v>33661</v>
      </c>
      <c r="L47" s="184">
        <f>Income_Statement_Annual!L8</f>
        <v>31943</v>
      </c>
      <c r="M47" s="184">
        <f>Income_Statement_Annual!M8</f>
        <v>31976</v>
      </c>
      <c r="N47" s="184">
        <f>Income_Statement_Annual!N8</f>
        <v>32607</v>
      </c>
      <c r="O47" s="184">
        <f>Income_Statement_Annual!O8</f>
        <v>33197</v>
      </c>
      <c r="P47" s="184">
        <f>Income_Statement_Annual!P8</f>
        <v>30881</v>
      </c>
      <c r="Q47" s="184">
        <f>Income_Statement_Annual!Q8</f>
        <v>30388</v>
      </c>
      <c r="R47" s="184">
        <f>Income_Statement_Annual!R4</f>
        <v>22563</v>
      </c>
      <c r="S47" s="184">
        <f>Income_Statement_Annual!S4</f>
        <v>20561</v>
      </c>
      <c r="T47" s="184">
        <f>Income_Statement_Annual!T4</f>
        <v>26392</v>
      </c>
      <c r="U47" s="184">
        <f>Income_Statement_Annual!U4</f>
        <v>26227</v>
      </c>
      <c r="V47" s="184">
        <f>Income_Statement_Annual!V4</f>
        <v>26257</v>
      </c>
      <c r="W47" s="184">
        <f>Income_Statement_Annual!W4</f>
        <v>26540</v>
      </c>
      <c r="X47" s="184">
        <f>Income_Statement_Annual!X4</f>
        <v>23162</v>
      </c>
      <c r="Y47" s="184">
        <f>Income_Statement_Annual!Y4</f>
        <v>24933</v>
      </c>
      <c r="Z47" s="184">
        <f>Income_Statement_Annual!Z4</f>
        <v>23918</v>
      </c>
      <c r="AA47" s="184">
        <f>Income_Statement_Annual!AA4</f>
        <v>27234</v>
      </c>
      <c r="AB47" s="96">
        <f t="shared" ref="AB47:AC47" si="17">SUM(AB43:AB46)</f>
        <v>28228.851367991578</v>
      </c>
      <c r="AC47" s="96">
        <f t="shared" si="17"/>
        <v>29196.687826202717</v>
      </c>
      <c r="AD47" s="96">
        <f t="shared" ref="AD47:AE47" si="18">SUM(AD43:AD46)</f>
        <v>30119.099236152215</v>
      </c>
      <c r="AE47" s="96">
        <f t="shared" si="18"/>
        <v>31087.584713843287</v>
      </c>
      <c r="AF47" s="96">
        <f t="shared" ref="AF47" si="19">SUM(AF43:AF46)</f>
        <v>31291.726708317074</v>
      </c>
    </row>
    <row r="48" spans="1:32">
      <c r="A48" s="12"/>
      <c r="B48" s="213"/>
      <c r="C48" s="213"/>
      <c r="D48" s="213"/>
      <c r="E48" s="213"/>
      <c r="F48" s="213"/>
      <c r="G48" s="213"/>
      <c r="H48" s="213"/>
      <c r="I48" s="213"/>
      <c r="J48" s="213"/>
      <c r="K48" s="213"/>
      <c r="L48" s="213"/>
      <c r="M48" s="213"/>
      <c r="N48" s="213"/>
      <c r="O48" s="213"/>
      <c r="P48" s="213"/>
      <c r="Q48" s="213"/>
      <c r="R48" s="213"/>
      <c r="S48" s="213"/>
      <c r="T48" s="213"/>
      <c r="U48" s="213"/>
      <c r="V48" s="95"/>
      <c r="W48" s="255">
        <f t="shared" ref="W48:AF48" si="20">+W47/V47-1</f>
        <v>1.0778078226758581E-2</v>
      </c>
      <c r="X48" s="255">
        <f t="shared" si="20"/>
        <v>-0.12727957799547851</v>
      </c>
      <c r="Y48" s="255">
        <f t="shared" si="20"/>
        <v>7.6461445471030176E-2</v>
      </c>
      <c r="Z48" s="255">
        <f t="shared" si="20"/>
        <v>-4.070910038904263E-2</v>
      </c>
      <c r="AA48" s="255">
        <f t="shared" si="20"/>
        <v>0.13864035454469437</v>
      </c>
      <c r="AB48" s="255">
        <f t="shared" si="20"/>
        <v>3.6529755746184112E-2</v>
      </c>
      <c r="AC48" s="255">
        <f t="shared" si="20"/>
        <v>3.4285364487361303E-2</v>
      </c>
      <c r="AD48" s="255">
        <f t="shared" si="20"/>
        <v>3.1593015462585194E-2</v>
      </c>
      <c r="AE48" s="255">
        <f t="shared" si="20"/>
        <v>3.2155193955089922E-2</v>
      </c>
      <c r="AF48" s="255">
        <f t="shared" si="20"/>
        <v>6.5666727200870412E-3</v>
      </c>
    </row>
    <row r="49" spans="1:32">
      <c r="A49" s="9" t="s">
        <v>455</v>
      </c>
      <c r="B49" s="92"/>
      <c r="C49" s="92"/>
      <c r="D49" s="92"/>
      <c r="E49" s="92"/>
      <c r="F49" s="92"/>
      <c r="G49" s="92"/>
      <c r="H49" s="92"/>
      <c r="I49" s="92"/>
      <c r="J49" s="92"/>
      <c r="K49" s="92"/>
      <c r="L49" s="92"/>
      <c r="M49" s="92"/>
      <c r="N49" s="92"/>
      <c r="O49" s="92"/>
      <c r="P49" s="92"/>
      <c r="Q49" s="296"/>
      <c r="R49" s="296"/>
      <c r="S49" s="296"/>
      <c r="T49" s="296"/>
      <c r="U49" s="24"/>
      <c r="V49" s="296"/>
      <c r="W49" s="296"/>
      <c r="X49" s="296"/>
      <c r="Y49" s="296"/>
      <c r="Z49" s="296"/>
      <c r="AA49" s="296"/>
      <c r="AB49" s="296"/>
      <c r="AC49" s="296"/>
      <c r="AD49" s="296"/>
      <c r="AE49" s="296"/>
      <c r="AF49" s="296"/>
    </row>
    <row r="50" spans="1:32">
      <c r="A50" s="1" t="s">
        <v>470</v>
      </c>
      <c r="B50" s="76"/>
      <c r="C50" s="133">
        <f>C43/B43-1</f>
        <v>3.193451694719851E-2</v>
      </c>
      <c r="D50" s="133">
        <f t="shared" ref="D50:AF50" si="21">D43/C43-1</f>
        <v>0.18076192604178298</v>
      </c>
      <c r="E50" s="133">
        <f t="shared" si="21"/>
        <v>1.8639417163402339E-2</v>
      </c>
      <c r="F50" s="133">
        <f t="shared" si="21"/>
        <v>5.8331785249860602E-2</v>
      </c>
      <c r="G50" s="133">
        <f t="shared" si="21"/>
        <v>0.18571177812883977</v>
      </c>
      <c r="H50" s="133">
        <f t="shared" si="21"/>
        <v>4.4189489267209447E-2</v>
      </c>
      <c r="I50" s="133">
        <f t="shared" si="21"/>
        <v>-2.6015453321046267E-2</v>
      </c>
      <c r="J50" s="133">
        <f t="shared" si="21"/>
        <v>-3.1222707423580798E-2</v>
      </c>
      <c r="K50" s="133">
        <f t="shared" si="21"/>
        <v>7.4599954924498446E-2</v>
      </c>
      <c r="L50" s="133">
        <f t="shared" si="21"/>
        <v>-4.6140939597315578E-3</v>
      </c>
      <c r="M50" s="133">
        <f t="shared" si="21"/>
        <v>4.9796319707824166E-2</v>
      </c>
      <c r="N50" s="133">
        <f t="shared" si="21"/>
        <v>7.1720077607546617E-2</v>
      </c>
      <c r="O50" s="133">
        <f t="shared" si="21"/>
        <v>-4.5820588051688649E-2</v>
      </c>
      <c r="P50" s="133">
        <f t="shared" si="21"/>
        <v>-0.11678115799803734</v>
      </c>
      <c r="Q50" s="133">
        <f t="shared" si="21"/>
        <v>-5.6296296296296511E-3</v>
      </c>
      <c r="R50" s="133">
        <f t="shared" si="21"/>
        <v>-6.7714541120381444E-2</v>
      </c>
      <c r="S50" s="133">
        <f t="shared" si="21"/>
        <v>-3.9663727661563453E-2</v>
      </c>
      <c r="T50" s="133">
        <f t="shared" si="21"/>
        <v>-0.13413291589909282</v>
      </c>
      <c r="U50" s="133">
        <f t="shared" si="21"/>
        <v>0.64930067766303368</v>
      </c>
      <c r="V50" s="133">
        <f t="shared" si="21"/>
        <v>-0.12251742851569547</v>
      </c>
      <c r="W50" s="133">
        <f t="shared" si="21"/>
        <v>1.5503873304012927E-2</v>
      </c>
      <c r="X50" s="133">
        <f t="shared" si="21"/>
        <v>-0.10115202545884616</v>
      </c>
      <c r="Y50" s="133">
        <f t="shared" si="21"/>
        <v>-0.10966307642365669</v>
      </c>
      <c r="Z50" s="133">
        <f t="shared" si="21"/>
        <v>-0.20586673323577542</v>
      </c>
      <c r="AA50" s="133">
        <f t="shared" si="21"/>
        <v>7.7905392014266273E-2</v>
      </c>
      <c r="AB50" s="133">
        <f t="shared" si="21"/>
        <v>0.53501120572062066</v>
      </c>
      <c r="AC50" s="133">
        <f t="shared" si="21"/>
        <v>1.6586100735672016E-2</v>
      </c>
      <c r="AD50" s="133">
        <f t="shared" si="21"/>
        <v>1.7128424797847597E-2</v>
      </c>
      <c r="AE50" s="133">
        <f t="shared" si="21"/>
        <v>1.7679185095748284E-2</v>
      </c>
      <c r="AF50" s="133">
        <f t="shared" si="21"/>
        <v>3.6930442366638339E-3</v>
      </c>
    </row>
    <row r="51" spans="1:32">
      <c r="A51" s="1" t="s">
        <v>471</v>
      </c>
      <c r="B51" s="76"/>
      <c r="C51" s="133">
        <f t="shared" ref="C51:R51" si="22">C42/B42-1</f>
        <v>6.065713980321874E-2</v>
      </c>
      <c r="D51" s="133">
        <f t="shared" si="22"/>
        <v>0.2016363513511783</v>
      </c>
      <c r="E51" s="133">
        <f t="shared" si="22"/>
        <v>6.7823550163123913E-2</v>
      </c>
      <c r="F51" s="133">
        <f t="shared" si="22"/>
        <v>6.5994004590357536E-2</v>
      </c>
      <c r="G51" s="133">
        <f t="shared" si="22"/>
        <v>0.29176058109908243</v>
      </c>
      <c r="H51" s="133">
        <f t="shared" si="22"/>
        <v>-1.4034409903479594E-2</v>
      </c>
      <c r="I51" s="133">
        <f t="shared" si="22"/>
        <v>-5.5387991789994984E-2</v>
      </c>
      <c r="J51" s="133">
        <f t="shared" si="22"/>
        <v>-6.216248404051139E-2</v>
      </c>
      <c r="K51" s="133">
        <f t="shared" si="22"/>
        <v>6.8876565166273496E-2</v>
      </c>
      <c r="L51" s="133">
        <f t="shared" si="22"/>
        <v>9.4973593551039848E-4</v>
      </c>
      <c r="M51" s="133">
        <f t="shared" si="22"/>
        <v>6.9345980803157792E-2</v>
      </c>
      <c r="N51" s="133">
        <f t="shared" si="22"/>
        <v>0.14197425208844727</v>
      </c>
      <c r="O51" s="133">
        <f t="shared" si="22"/>
        <v>-0.16973713211190744</v>
      </c>
      <c r="P51" s="133">
        <f t="shared" si="22"/>
        <v>-0.30104879012273311</v>
      </c>
      <c r="Q51" s="133">
        <f t="shared" si="22"/>
        <v>0.14970278569691642</v>
      </c>
      <c r="R51" s="133">
        <f t="shared" si="22"/>
        <v>-0.13171128901653029</v>
      </c>
      <c r="S51" s="212">
        <v>0.04</v>
      </c>
      <c r="T51" s="212">
        <v>0.04</v>
      </c>
      <c r="U51" s="212">
        <v>0.06</v>
      </c>
      <c r="V51" s="212">
        <v>0.25</v>
      </c>
      <c r="W51" s="212">
        <v>-0.1</v>
      </c>
      <c r="X51" s="212">
        <v>-0.13</v>
      </c>
      <c r="Y51" s="212">
        <v>-0.15</v>
      </c>
      <c r="Z51" s="212">
        <v>-0.1</v>
      </c>
      <c r="AA51" s="212">
        <v>-0.02</v>
      </c>
      <c r="AB51" s="212">
        <v>0.1</v>
      </c>
      <c r="AC51" s="212">
        <v>0.05</v>
      </c>
      <c r="AD51" s="212">
        <v>0.05</v>
      </c>
      <c r="AE51" s="212">
        <v>0.05</v>
      </c>
      <c r="AF51" s="212">
        <v>0.01</v>
      </c>
    </row>
    <row r="52" spans="1:32">
      <c r="A52" s="1" t="s">
        <v>303</v>
      </c>
      <c r="B52" s="76"/>
      <c r="C52" s="133">
        <f t="shared" ref="C52:R53" si="23">C44/B44-1</f>
        <v>0.28921507650205247</v>
      </c>
      <c r="D52" s="133">
        <f t="shared" si="23"/>
        <v>5.2103434967194051E-2</v>
      </c>
      <c r="E52" s="133">
        <f t="shared" si="23"/>
        <v>0.13499633162142333</v>
      </c>
      <c r="F52" s="133">
        <f t="shared" si="23"/>
        <v>0.14657401422107297</v>
      </c>
      <c r="G52" s="133">
        <f t="shared" si="23"/>
        <v>-0.13643410852713178</v>
      </c>
      <c r="H52" s="133">
        <f t="shared" si="23"/>
        <v>-2.5542679941243707E-2</v>
      </c>
      <c r="I52" s="133">
        <f t="shared" si="23"/>
        <v>-3.9025207269072992E-2</v>
      </c>
      <c r="J52" s="133">
        <f t="shared" si="23"/>
        <v>-1.1241830065359504E-2</v>
      </c>
      <c r="K52" s="133">
        <f t="shared" si="23"/>
        <v>-4.1336153710558765E-2</v>
      </c>
      <c r="L52" s="133">
        <f t="shared" si="23"/>
        <v>-0.13073457754895657</v>
      </c>
      <c r="M52" s="133">
        <f t="shared" si="23"/>
        <v>-8.471708090957164E-2</v>
      </c>
      <c r="N52" s="133">
        <f t="shared" si="23"/>
        <v>-8.5856251444418774E-2</v>
      </c>
      <c r="O52" s="133">
        <f t="shared" si="23"/>
        <v>7.5970168120338855E-2</v>
      </c>
      <c r="P52" s="133">
        <f t="shared" si="23"/>
        <v>-5.9797932330827086E-2</v>
      </c>
      <c r="Q52" s="133">
        <f t="shared" si="23"/>
        <v>-3.1488191928026987E-2</v>
      </c>
      <c r="R52" s="212">
        <v>0.05</v>
      </c>
      <c r="S52" s="212">
        <v>-0.05</v>
      </c>
      <c r="T52" s="212">
        <v>-0.04</v>
      </c>
      <c r="U52" s="212">
        <v>-0.06</v>
      </c>
      <c r="V52" s="212">
        <v>0.25</v>
      </c>
      <c r="W52" s="212">
        <v>0</v>
      </c>
      <c r="X52" s="212">
        <v>-0.08</v>
      </c>
      <c r="Y52" s="212">
        <v>0.03</v>
      </c>
      <c r="Z52" s="212">
        <v>0.03</v>
      </c>
      <c r="AA52" s="212">
        <v>0.02</v>
      </c>
      <c r="AB52" s="212">
        <v>0.08</v>
      </c>
      <c r="AC52" s="212">
        <v>0.06</v>
      </c>
      <c r="AD52" s="212">
        <v>0.05</v>
      </c>
      <c r="AE52" s="212">
        <v>0.05</v>
      </c>
      <c r="AF52" s="212">
        <v>0.01</v>
      </c>
    </row>
    <row r="53" spans="1:32">
      <c r="A53" s="1" t="s">
        <v>304</v>
      </c>
      <c r="B53" s="76"/>
      <c r="C53" s="133">
        <f t="shared" si="23"/>
        <v>7.6923076923076872E-2</v>
      </c>
      <c r="D53" s="133">
        <f t="shared" si="23"/>
        <v>-4.5714285714285596E-3</v>
      </c>
      <c r="E53" s="133">
        <f t="shared" si="23"/>
        <v>0.21096440872560285</v>
      </c>
      <c r="F53" s="133">
        <f t="shared" si="23"/>
        <v>0.15690922019435893</v>
      </c>
      <c r="G53" s="133">
        <f t="shared" si="23"/>
        <v>9.4447859045277527E-2</v>
      </c>
      <c r="H53" s="133">
        <f t="shared" si="23"/>
        <v>0.19636840134780975</v>
      </c>
      <c r="I53" s="133">
        <f t="shared" si="23"/>
        <v>6.978563605069632E-2</v>
      </c>
      <c r="J53" s="133">
        <f t="shared" si="23"/>
        <v>8.0883428404270985E-2</v>
      </c>
      <c r="K53" s="133">
        <f t="shared" si="23"/>
        <v>0.14749661705006756</v>
      </c>
      <c r="L53" s="133">
        <f t="shared" si="23"/>
        <v>-2.7122641509433998E-2</v>
      </c>
      <c r="M53" s="133">
        <f t="shared" si="23"/>
        <v>1.5151515151515138E-2</v>
      </c>
      <c r="N53" s="133">
        <f t="shared" si="23"/>
        <v>3.6059701492537233E-2</v>
      </c>
      <c r="O53" s="133">
        <f t="shared" si="23"/>
        <v>8.3323729399562119E-2</v>
      </c>
      <c r="P53" s="133">
        <f t="shared" si="23"/>
        <v>-2.3404255319149359E-3</v>
      </c>
      <c r="Q53" s="133">
        <f t="shared" si="23"/>
        <v>-1.7594369801663512E-2</v>
      </c>
      <c r="R53" s="133">
        <f t="shared" si="23"/>
        <v>-0.7927439487680451</v>
      </c>
      <c r="S53" s="212">
        <v>0.03</v>
      </c>
      <c r="T53" s="212">
        <v>0.03</v>
      </c>
      <c r="U53" s="212">
        <v>0.03</v>
      </c>
      <c r="V53" s="212">
        <v>0.18623030584285108</v>
      </c>
      <c r="W53" s="212">
        <v>0.02</v>
      </c>
      <c r="X53" s="212">
        <v>-0.08</v>
      </c>
      <c r="Y53" s="212">
        <v>0.04</v>
      </c>
      <c r="Z53" s="212">
        <v>0.04</v>
      </c>
      <c r="AA53" s="212">
        <v>0.04</v>
      </c>
      <c r="AB53" s="212">
        <v>0.06</v>
      </c>
      <c r="AC53" s="212">
        <v>0.05</v>
      </c>
      <c r="AD53" s="212">
        <v>0.05</v>
      </c>
      <c r="AE53" s="212">
        <v>0.05</v>
      </c>
      <c r="AF53" s="212">
        <v>0.01</v>
      </c>
    </row>
    <row r="54" spans="1:32">
      <c r="A54" s="1"/>
      <c r="B54" s="74"/>
      <c r="C54" s="227"/>
      <c r="D54" s="227"/>
      <c r="E54" s="227"/>
      <c r="F54" s="227"/>
      <c r="G54" s="227"/>
      <c r="H54" s="227"/>
      <c r="I54" s="227"/>
      <c r="J54" s="227"/>
      <c r="K54" s="227"/>
      <c r="L54" s="227"/>
      <c r="M54" s="227"/>
      <c r="N54" s="227"/>
      <c r="O54" s="227"/>
      <c r="P54" s="227"/>
      <c r="Q54" s="227"/>
      <c r="R54" s="227"/>
      <c r="S54" s="211"/>
      <c r="T54" s="211"/>
      <c r="U54" s="211"/>
      <c r="V54" s="211"/>
      <c r="W54" s="211"/>
      <c r="X54" s="211"/>
      <c r="Y54" s="211"/>
      <c r="Z54" s="211"/>
      <c r="AA54" s="211"/>
      <c r="AB54" s="211"/>
      <c r="AC54" s="211"/>
      <c r="AD54" s="211"/>
      <c r="AE54" s="211"/>
      <c r="AF54" s="211"/>
    </row>
    <row r="55" spans="1:32">
      <c r="A55" s="9" t="s">
        <v>469</v>
      </c>
      <c r="B55" s="92"/>
      <c r="C55" s="92"/>
      <c r="D55" s="92"/>
      <c r="E55" s="92"/>
      <c r="F55" s="92"/>
      <c r="G55" s="92"/>
      <c r="H55" s="92"/>
      <c r="I55" s="92"/>
      <c r="J55" s="92"/>
      <c r="K55" s="92"/>
      <c r="L55" s="92"/>
      <c r="M55" s="92"/>
      <c r="N55" s="92"/>
      <c r="O55" s="92"/>
      <c r="P55" s="92"/>
      <c r="Q55" s="296"/>
      <c r="R55" s="296"/>
      <c r="S55" s="296"/>
      <c r="T55" s="296"/>
      <c r="U55" s="24"/>
      <c r="V55" s="296"/>
      <c r="W55" s="296"/>
      <c r="X55" s="296"/>
      <c r="Y55" s="296"/>
      <c r="Z55" s="296"/>
      <c r="AA55" s="296"/>
      <c r="AB55" s="296"/>
      <c r="AC55" s="296"/>
      <c r="AD55" s="296"/>
      <c r="AE55" s="296"/>
      <c r="AF55" s="296"/>
    </row>
    <row r="56" spans="1:32">
      <c r="A56" s="1" t="str">
        <f>A43</f>
        <v>Military Aircraft</v>
      </c>
      <c r="B56" s="200">
        <v>0.10441127138544112</v>
      </c>
      <c r="C56" s="200">
        <v>0.10810376676572163</v>
      </c>
      <c r="D56" s="200">
        <v>0.12006812375816066</v>
      </c>
      <c r="E56" s="200">
        <v>0.13208248188742336</v>
      </c>
      <c r="F56" s="200">
        <v>0.14358434263647535</v>
      </c>
      <c r="G56" s="200">
        <v>0.12990377498149519</v>
      </c>
      <c r="H56" s="200">
        <v>8.5631246898702773E-2</v>
      </c>
      <c r="I56" s="200">
        <v>0.12001455604075692</v>
      </c>
      <c r="J56" s="200">
        <v>9.5935692284576671E-2</v>
      </c>
      <c r="K56" s="200">
        <v>0.10682326621923938</v>
      </c>
      <c r="L56" s="200">
        <v>8.7793229386149738E-2</v>
      </c>
      <c r="M56" s="200">
        <v>0.10209406569880243</v>
      </c>
      <c r="N56" s="200">
        <v>9.2952119358262059E-2</v>
      </c>
      <c r="O56" s="200">
        <v>9.8397121360811246E-2</v>
      </c>
      <c r="P56" s="200">
        <v>9.637037037037037E-2</v>
      </c>
      <c r="Q56" s="200">
        <v>9.7660905840286055E-2</v>
      </c>
      <c r="R56" s="200">
        <v>9.3350000000000002E-2</v>
      </c>
      <c r="S56" s="200">
        <v>0.10495</v>
      </c>
      <c r="T56" s="200">
        <v>8.9819999999999997E-2</v>
      </c>
      <c r="U56" s="200">
        <v>0.10081</v>
      </c>
      <c r="V56" s="200">
        <v>6.3640895657705018E-2</v>
      </c>
      <c r="W56" s="200">
        <v>7.0000000000000007E-2</v>
      </c>
      <c r="X56" s="200">
        <v>3.2000000000000001E-2</v>
      </c>
      <c r="Y56" s="200">
        <v>0</v>
      </c>
      <c r="Z56" s="200">
        <v>-2.5000000000000001E-3</v>
      </c>
      <c r="AA56" s="200">
        <v>0.01</v>
      </c>
      <c r="AB56" s="200">
        <v>0.02</v>
      </c>
      <c r="AC56" s="212">
        <v>0.04</v>
      </c>
      <c r="AD56" s="212">
        <v>0.05</v>
      </c>
      <c r="AE56" s="212">
        <v>0.05</v>
      </c>
      <c r="AF56" s="212">
        <v>0.05</v>
      </c>
    </row>
    <row r="57" spans="1:32">
      <c r="A57" s="1" t="str">
        <f>A44</f>
        <v>Network &amp; Space Systems</v>
      </c>
      <c r="B57" s="200">
        <v>-3.0227640253762907E-2</v>
      </c>
      <c r="C57" s="200">
        <v>5.9725974527209569E-2</v>
      </c>
      <c r="D57" s="200">
        <v>3.338224504768892E-2</v>
      </c>
      <c r="E57" s="200">
        <v>-9.1144149967679375E-2</v>
      </c>
      <c r="F57" s="200">
        <v>4.4186046511627906E-2</v>
      </c>
      <c r="G57" s="200">
        <v>0.114166802676677</v>
      </c>
      <c r="H57" s="200">
        <v>7.9725316137676916E-2</v>
      </c>
      <c r="I57" s="200">
        <v>7.5119825708061E-2</v>
      </c>
      <c r="J57" s="200">
        <v>9.1133439097479285E-2</v>
      </c>
      <c r="K57" s="200">
        <v>7.7135239496184616E-2</v>
      </c>
      <c r="L57" s="200">
        <v>7.5198307773664722E-2</v>
      </c>
      <c r="M57" s="200">
        <v>7.8460827363069099E-2</v>
      </c>
      <c r="N57" s="200">
        <v>7.1040323600050567E-2</v>
      </c>
      <c r="O57" s="200">
        <v>8.4468984962406013E-2</v>
      </c>
      <c r="P57" s="200">
        <v>8.7217293514931904E-2</v>
      </c>
      <c r="Q57" s="200">
        <v>9.3665333505354151E-2</v>
      </c>
      <c r="R57" s="200">
        <v>7.4499999999999997E-2</v>
      </c>
      <c r="S57" s="200">
        <v>9.5000000000000001E-2</v>
      </c>
      <c r="T57" s="200">
        <v>7.0000000000000007E-2</v>
      </c>
      <c r="U57" s="200">
        <v>8.5000000000000006E-2</v>
      </c>
      <c r="V57" s="200">
        <v>0.05</v>
      </c>
      <c r="W57" s="200">
        <v>7.0000000000000007E-2</v>
      </c>
      <c r="X57" s="200">
        <v>0.06</v>
      </c>
      <c r="Y57" s="200">
        <v>0</v>
      </c>
      <c r="Z57" s="200">
        <v>-2.5000000000000001E-3</v>
      </c>
      <c r="AA57" s="200">
        <v>2.5000000000000001E-2</v>
      </c>
      <c r="AB57" s="200">
        <v>0.03</v>
      </c>
      <c r="AC57" s="212">
        <v>7.0000000000000007E-2</v>
      </c>
      <c r="AD57" s="212">
        <v>0.08</v>
      </c>
      <c r="AE57" s="212">
        <v>0.08</v>
      </c>
      <c r="AF57" s="212">
        <v>0.08</v>
      </c>
    </row>
    <row r="58" spans="1:32">
      <c r="A58" s="1" t="str">
        <f>A45</f>
        <v>Global Services &amp; Support</v>
      </c>
      <c r="B58" s="200">
        <v>0.10440000000000001</v>
      </c>
      <c r="C58" s="200">
        <v>0.108</v>
      </c>
      <c r="D58" s="200">
        <v>0.1079219288174512</v>
      </c>
      <c r="E58" s="200">
        <v>0.11187485186063048</v>
      </c>
      <c r="F58" s="200">
        <v>0.1356279450932186</v>
      </c>
      <c r="G58" s="200">
        <v>0.14320479221265445</v>
      </c>
      <c r="H58" s="200">
        <v>0.13644187138163041</v>
      </c>
      <c r="I58" s="200">
        <v>0.13587830919994148</v>
      </c>
      <c r="J58" s="200">
        <v>0.12462787550744249</v>
      </c>
      <c r="K58" s="200">
        <v>0.10990566037735849</v>
      </c>
      <c r="L58" s="200">
        <v>0.11078787878787878</v>
      </c>
      <c r="M58" s="200">
        <v>0.1137910447761194</v>
      </c>
      <c r="N58" s="200">
        <v>0.11720640774461219</v>
      </c>
      <c r="O58" s="200">
        <v>0.10765957446808511</v>
      </c>
      <c r="P58" s="200">
        <v>0.12092130518234165</v>
      </c>
      <c r="Q58" s="200">
        <v>0.13426679691739932</v>
      </c>
      <c r="R58" s="200">
        <v>0.1</v>
      </c>
      <c r="S58" s="200">
        <v>0.1</v>
      </c>
      <c r="T58" s="200">
        <v>0.1</v>
      </c>
      <c r="U58" s="200">
        <v>0.1</v>
      </c>
      <c r="V58" s="200">
        <v>0.08</v>
      </c>
      <c r="W58" s="200">
        <v>0.1</v>
      </c>
      <c r="X58" s="200">
        <v>0.09</v>
      </c>
      <c r="Y58" s="200">
        <v>0.04</v>
      </c>
      <c r="Z58" s="200">
        <v>0.04</v>
      </c>
      <c r="AA58" s="200">
        <v>7.0000000000000007E-2</v>
      </c>
      <c r="AB58" s="200">
        <v>7.0000000000000007E-2</v>
      </c>
      <c r="AC58" s="212">
        <v>0.1</v>
      </c>
      <c r="AD58" s="212">
        <v>0.1</v>
      </c>
      <c r="AE58" s="212">
        <v>0.1</v>
      </c>
      <c r="AF58" s="212">
        <v>0.1</v>
      </c>
    </row>
    <row r="59" spans="1:32">
      <c r="A59" s="14" t="s">
        <v>11</v>
      </c>
      <c r="B59" s="302">
        <f>SUMPRODUCT(B43:B45,B56:B58)/B47</f>
        <v>5.0191021790177641E-2</v>
      </c>
      <c r="C59" s="302">
        <f t="shared" ref="C59:AA59" si="24">SUMPRODUCT(C43:C45,C56:C58)/C47</f>
        <v>8.6111629030022979E-2</v>
      </c>
      <c r="D59" s="302">
        <f t="shared" si="24"/>
        <v>8.0498457346636215E-2</v>
      </c>
      <c r="E59" s="302">
        <f>SUMPRODUCT(E43:E45,E56:E58)/E47</f>
        <v>2.7996052775848827E-2</v>
      </c>
      <c r="F59" s="302">
        <f t="shared" si="24"/>
        <v>9.6011816838995567E-2</v>
      </c>
      <c r="G59" s="302">
        <f t="shared" si="24"/>
        <v>0.12598855526265029</v>
      </c>
      <c r="H59" s="302">
        <f t="shared" si="24"/>
        <v>9.3467739449428155E-2</v>
      </c>
      <c r="I59" s="302">
        <f t="shared" si="24"/>
        <v>0.10732559590665169</v>
      </c>
      <c r="J59" s="302">
        <f t="shared" si="24"/>
        <v>0.10085187381034107</v>
      </c>
      <c r="K59" s="302">
        <f t="shared" si="24"/>
        <v>9.800659516948397E-2</v>
      </c>
      <c r="L59" s="302">
        <f t="shared" si="24"/>
        <v>9.0004069749240842E-2</v>
      </c>
      <c r="M59" s="302">
        <f t="shared" si="24"/>
        <v>9.8761571178383786E-2</v>
      </c>
      <c r="N59" s="302">
        <f t="shared" si="24"/>
        <v>9.409022602508664E-2</v>
      </c>
      <c r="O59" s="302">
        <f t="shared" si="24"/>
        <v>9.7448564629333975E-2</v>
      </c>
      <c r="P59" s="302">
        <f t="shared" si="24"/>
        <v>0.10145396845957061</v>
      </c>
      <c r="Q59" s="302">
        <f t="shared" si="24"/>
        <v>0.10773989732789259</v>
      </c>
      <c r="R59" s="302">
        <f t="shared" si="24"/>
        <v>8.7113514381952764E-2</v>
      </c>
      <c r="S59" s="302">
        <f t="shared" si="24"/>
        <v>0.10663539925833934</v>
      </c>
      <c r="T59" s="302">
        <f t="shared" si="24"/>
        <v>6.277856850739004E-2</v>
      </c>
      <c r="U59" s="302">
        <f t="shared" si="24"/>
        <v>9.6539717605198389E-2</v>
      </c>
      <c r="V59" s="302">
        <f t="shared" si="24"/>
        <v>6.0652135750741298E-2</v>
      </c>
      <c r="W59" s="302">
        <f t="shared" si="24"/>
        <v>7.2853707705362619E-2</v>
      </c>
      <c r="X59" s="302">
        <f t="shared" si="24"/>
        <v>4.8802220933287503E-2</v>
      </c>
      <c r="Y59" s="302">
        <f t="shared" si="24"/>
        <v>3.8752147334755447E-3</v>
      </c>
      <c r="Z59" s="302">
        <f t="shared" si="24"/>
        <v>2.2955696530532143E-3</v>
      </c>
      <c r="AA59" s="302">
        <f t="shared" si="24"/>
        <v>1.853255681467568E-2</v>
      </c>
      <c r="AB59" s="302">
        <f>SUMPRODUCT(AB43:AB45,AB56:AB58)/AB47</f>
        <v>2.8227027522690816E-2</v>
      </c>
      <c r="AC59" s="302">
        <f>SUMPRODUCT(AC43:AC45,AC56:AC58)/AC47</f>
        <v>5.6188858842298031E-2</v>
      </c>
      <c r="AD59" s="302">
        <f>SUMPRODUCT(AD43:AD45,AD56:AD58)/AD47</f>
        <v>6.5463997471430155E-2</v>
      </c>
      <c r="AE59" s="302">
        <f>SUMPRODUCT(AE43:AE45,AE56:AE58)/AE47</f>
        <v>6.5731352649384775E-2</v>
      </c>
      <c r="AF59" s="302">
        <f>SUMPRODUCT(AF43:AF45,AF56:AF58)/AF47</f>
        <v>6.5785011173618568E-2</v>
      </c>
    </row>
    <row r="60" spans="1:32">
      <c r="B60" s="305"/>
      <c r="C60" s="305"/>
      <c r="D60" s="305"/>
      <c r="E60" s="305"/>
      <c r="F60" s="305"/>
      <c r="G60" s="305"/>
      <c r="H60" s="305"/>
      <c r="I60" s="305"/>
      <c r="J60" s="305"/>
      <c r="K60" s="305"/>
      <c r="L60" s="305"/>
      <c r="M60" s="305"/>
      <c r="N60" s="305"/>
      <c r="O60" s="305"/>
      <c r="P60" s="305"/>
      <c r="Q60" s="305"/>
      <c r="R60" s="305"/>
      <c r="S60" s="305"/>
      <c r="T60" s="305"/>
      <c r="U60" s="305"/>
      <c r="V60" s="305"/>
      <c r="W60" s="305"/>
      <c r="X60" s="305"/>
    </row>
    <row r="61" spans="1:32">
      <c r="A61" s="9" t="s">
        <v>456</v>
      </c>
      <c r="B61" s="92"/>
      <c r="C61" s="92"/>
      <c r="D61" s="92"/>
      <c r="E61" s="92"/>
      <c r="F61" s="92"/>
      <c r="G61" s="92"/>
      <c r="H61" s="92"/>
      <c r="I61" s="92"/>
      <c r="J61" s="92"/>
      <c r="K61" s="92"/>
      <c r="L61" s="92"/>
      <c r="M61" s="92"/>
      <c r="N61" s="92"/>
      <c r="O61" s="92"/>
      <c r="P61" s="92"/>
      <c r="Q61" s="296"/>
      <c r="R61" s="296"/>
      <c r="S61" s="296"/>
      <c r="T61" s="296"/>
      <c r="U61" s="24"/>
      <c r="V61" s="296"/>
      <c r="W61" s="296"/>
      <c r="X61" s="296"/>
      <c r="Y61" s="296"/>
      <c r="Z61" s="296"/>
      <c r="AA61" s="296"/>
      <c r="AB61" s="296"/>
      <c r="AC61" s="296"/>
      <c r="AD61" s="296"/>
      <c r="AE61" s="296"/>
      <c r="AF61" s="296"/>
    </row>
    <row r="62" spans="1:32">
      <c r="A62" s="1" t="str">
        <f>A43</f>
        <v>Military Aircraft</v>
      </c>
      <c r="B62" s="76">
        <f t="shared" ref="B62:Z62" si="25">B56*B43</f>
        <v>905.6633679973163</v>
      </c>
      <c r="C62" s="76">
        <f t="shared" si="25"/>
        <v>967.63681631997429</v>
      </c>
      <c r="D62" s="76">
        <f t="shared" si="25"/>
        <v>1269</v>
      </c>
      <c r="E62" s="76">
        <f t="shared" si="25"/>
        <v>1421.9999999999998</v>
      </c>
      <c r="F62" s="76">
        <f t="shared" si="25"/>
        <v>1636.0000000000002</v>
      </c>
      <c r="G62" s="76">
        <f t="shared" si="25"/>
        <v>1755</v>
      </c>
      <c r="H62" s="76">
        <f t="shared" si="25"/>
        <v>1208</v>
      </c>
      <c r="I62" s="76">
        <f t="shared" si="25"/>
        <v>1649</v>
      </c>
      <c r="J62" s="76">
        <f t="shared" si="25"/>
        <v>1277</v>
      </c>
      <c r="K62" s="76">
        <f t="shared" si="25"/>
        <v>1528</v>
      </c>
      <c r="L62" s="76">
        <f t="shared" si="25"/>
        <v>1250</v>
      </c>
      <c r="M62" s="76">
        <f t="shared" si="25"/>
        <v>1526</v>
      </c>
      <c r="N62" s="76">
        <f t="shared" si="25"/>
        <v>1489</v>
      </c>
      <c r="O62" s="76">
        <f t="shared" si="25"/>
        <v>1504</v>
      </c>
      <c r="P62" s="76">
        <f t="shared" si="25"/>
        <v>1301</v>
      </c>
      <c r="Q62" s="76">
        <f t="shared" si="25"/>
        <v>1311</v>
      </c>
      <c r="R62" s="76">
        <f t="shared" si="25"/>
        <v>1168.2752500000001</v>
      </c>
      <c r="S62" s="76">
        <f t="shared" si="25"/>
        <v>1261.3529566507152</v>
      </c>
      <c r="T62" s="76">
        <f t="shared" si="25"/>
        <v>934.71339754703808</v>
      </c>
      <c r="U62" s="76">
        <f t="shared" si="25"/>
        <v>1730.250044376538</v>
      </c>
      <c r="V62" s="76">
        <f t="shared" si="25"/>
        <v>958.4733383606175</v>
      </c>
      <c r="W62" s="76">
        <f t="shared" si="25"/>
        <v>1070.590481565913</v>
      </c>
      <c r="X62" s="76">
        <f t="shared" si="25"/>
        <v>439.90769641991284</v>
      </c>
      <c r="Y62" s="76">
        <f t="shared" si="25"/>
        <v>0</v>
      </c>
      <c r="Z62" s="76">
        <f t="shared" si="25"/>
        <v>-24.299613417896207</v>
      </c>
      <c r="AA62" s="76">
        <f t="shared" ref="AA62:AB64" si="26">AA56*AA43</f>
        <v>104.77073730805014</v>
      </c>
      <c r="AB62" s="76">
        <f t="shared" si="26"/>
        <v>321.64851159893692</v>
      </c>
      <c r="AC62" s="76">
        <f t="shared" ref="AC62:AD62" si="27">AC56*AC43</f>
        <v>653.96681242759178</v>
      </c>
      <c r="AD62" s="76">
        <f t="shared" si="27"/>
        <v>831.46029224318227</v>
      </c>
      <c r="AE62" s="76">
        <f t="shared" ref="AE62:AF62" si="28">AE56*AE43</f>
        <v>846.15983264951456</v>
      </c>
      <c r="AF62" s="76">
        <f t="shared" si="28"/>
        <v>849.28473834277725</v>
      </c>
    </row>
    <row r="63" spans="1:32">
      <c r="A63" s="1" t="str">
        <f>A44</f>
        <v>Network &amp; Space Systems</v>
      </c>
      <c r="B63" s="76">
        <f t="shared" ref="B63:Z63" si="29">B57*B44</f>
        <v>-243</v>
      </c>
      <c r="C63" s="76">
        <f t="shared" si="29"/>
        <v>619</v>
      </c>
      <c r="D63" s="76">
        <f t="shared" si="29"/>
        <v>364</v>
      </c>
      <c r="E63" s="76">
        <f t="shared" si="29"/>
        <v>-1128</v>
      </c>
      <c r="F63" s="76">
        <f t="shared" si="29"/>
        <v>627</v>
      </c>
      <c r="G63" s="76">
        <f t="shared" si="29"/>
        <v>1399</v>
      </c>
      <c r="H63" s="76">
        <f t="shared" si="29"/>
        <v>952</v>
      </c>
      <c r="I63" s="76">
        <f t="shared" si="29"/>
        <v>862</v>
      </c>
      <c r="J63" s="76">
        <f t="shared" si="29"/>
        <v>1034</v>
      </c>
      <c r="K63" s="76">
        <f t="shared" si="29"/>
        <v>839.00000000000011</v>
      </c>
      <c r="L63" s="76">
        <f t="shared" si="29"/>
        <v>710.99999999999989</v>
      </c>
      <c r="M63" s="76">
        <f t="shared" si="29"/>
        <v>679</v>
      </c>
      <c r="N63" s="76">
        <f t="shared" si="29"/>
        <v>562</v>
      </c>
      <c r="O63" s="76">
        <f t="shared" si="29"/>
        <v>719</v>
      </c>
      <c r="P63" s="76">
        <f t="shared" si="29"/>
        <v>698</v>
      </c>
      <c r="Q63" s="76">
        <f t="shared" si="29"/>
        <v>726</v>
      </c>
      <c r="R63" s="76">
        <f t="shared" si="29"/>
        <v>606.32197499999995</v>
      </c>
      <c r="S63" s="76">
        <f t="shared" si="29"/>
        <v>734.50413749999996</v>
      </c>
      <c r="T63" s="76">
        <f t="shared" si="29"/>
        <v>519.56503199999997</v>
      </c>
      <c r="U63" s="76">
        <f t="shared" si="29"/>
        <v>593.04637223999998</v>
      </c>
      <c r="V63" s="76">
        <f t="shared" si="29"/>
        <v>436.06350900000001</v>
      </c>
      <c r="W63" s="76">
        <f t="shared" si="29"/>
        <v>610.48891260000005</v>
      </c>
      <c r="X63" s="76">
        <f t="shared" si="29"/>
        <v>481.41411393599998</v>
      </c>
      <c r="Y63" s="76">
        <f t="shared" si="29"/>
        <v>0</v>
      </c>
      <c r="Z63" s="76">
        <f t="shared" si="29"/>
        <v>-21.280509728112602</v>
      </c>
      <c r="AA63" s="76">
        <f t="shared" si="26"/>
        <v>217.06119922674853</v>
      </c>
      <c r="AB63" s="76">
        <f t="shared" si="26"/>
        <v>281.31131419786607</v>
      </c>
      <c r="AC63" s="76">
        <f t="shared" ref="AC63:AD63" si="30">AC57*AC44</f>
        <v>695.77665044938897</v>
      </c>
      <c r="AD63" s="76">
        <f t="shared" si="30"/>
        <v>834.93198053926665</v>
      </c>
      <c r="AE63" s="76">
        <f t="shared" ref="AE63:AF63" si="31">AE57*AE44</f>
        <v>876.67857956623004</v>
      </c>
      <c r="AF63" s="76">
        <f t="shared" si="31"/>
        <v>885.4453653618923</v>
      </c>
    </row>
    <row r="64" spans="1:32">
      <c r="A64" s="1" t="str">
        <f>A45</f>
        <v>Global Services &amp; Support</v>
      </c>
      <c r="B64" s="76">
        <f t="shared" ref="B64:Z64" si="32">B58*B45</f>
        <v>339.3</v>
      </c>
      <c r="C64" s="76">
        <f t="shared" si="32"/>
        <v>378</v>
      </c>
      <c r="D64" s="76">
        <f t="shared" si="32"/>
        <v>376</v>
      </c>
      <c r="E64" s="76">
        <f t="shared" si="32"/>
        <v>472</v>
      </c>
      <c r="F64" s="76">
        <f t="shared" si="32"/>
        <v>662</v>
      </c>
      <c r="G64" s="76">
        <f t="shared" si="32"/>
        <v>765</v>
      </c>
      <c r="H64" s="76">
        <f t="shared" si="32"/>
        <v>872</v>
      </c>
      <c r="I64" s="76">
        <f t="shared" si="32"/>
        <v>928.99999999999989</v>
      </c>
      <c r="J64" s="76">
        <f t="shared" si="32"/>
        <v>921</v>
      </c>
      <c r="K64" s="76">
        <f t="shared" si="32"/>
        <v>932</v>
      </c>
      <c r="L64" s="76">
        <f t="shared" si="32"/>
        <v>914</v>
      </c>
      <c r="M64" s="76">
        <f t="shared" si="32"/>
        <v>953</v>
      </c>
      <c r="N64" s="76">
        <f t="shared" si="32"/>
        <v>1017</v>
      </c>
      <c r="O64" s="76">
        <f t="shared" si="32"/>
        <v>1012</v>
      </c>
      <c r="P64" s="76">
        <f t="shared" si="32"/>
        <v>1134</v>
      </c>
      <c r="Q64" s="76">
        <f t="shared" si="32"/>
        <v>1237</v>
      </c>
      <c r="R64" s="76">
        <f t="shared" si="32"/>
        <v>190.94500000000008</v>
      </c>
      <c r="S64" s="76">
        <f t="shared" si="32"/>
        <v>196.67335000000008</v>
      </c>
      <c r="T64" s="76">
        <f t="shared" si="32"/>
        <v>202.5735505000001</v>
      </c>
      <c r="U64" s="76">
        <f t="shared" si="32"/>
        <v>208.6507570150001</v>
      </c>
      <c r="V64" s="76">
        <f t="shared" si="32"/>
        <v>198.00628104659677</v>
      </c>
      <c r="W64" s="76">
        <f t="shared" si="32"/>
        <v>252.45800833441092</v>
      </c>
      <c r="X64" s="76">
        <f t="shared" si="32"/>
        <v>209.03523090089223</v>
      </c>
      <c r="Y64" s="76">
        <f t="shared" si="32"/>
        <v>96.620728949745754</v>
      </c>
      <c r="Z64" s="76">
        <f t="shared" si="32"/>
        <v>100.48555810773559</v>
      </c>
      <c r="AA64" s="76">
        <f t="shared" si="26"/>
        <v>182.8837157560788</v>
      </c>
      <c r="AB64" s="76">
        <f t="shared" si="26"/>
        <v>193.85673870144353</v>
      </c>
      <c r="AC64" s="76">
        <f t="shared" ref="AC64:AD64" si="33">AC58*AC45</f>
        <v>290.7851080521653</v>
      </c>
      <c r="AD64" s="76">
        <f t="shared" si="33"/>
        <v>305.32436345477362</v>
      </c>
      <c r="AE64" s="76">
        <f t="shared" ref="AE64:AF64" si="34">AE58*AE45</f>
        <v>320.59058162751228</v>
      </c>
      <c r="AF64" s="76">
        <f t="shared" si="34"/>
        <v>323.79648744378738</v>
      </c>
    </row>
    <row r="65" spans="1:32" s="5" customFormat="1">
      <c r="A65" s="14" t="s">
        <v>466</v>
      </c>
      <c r="B65" s="299">
        <f>SUM(B62:B64)</f>
        <v>1001.9633679973163</v>
      </c>
      <c r="C65" s="299">
        <f t="shared" ref="C65:AA65" si="35">SUM(C62:C64)</f>
        <v>1964.6368163199743</v>
      </c>
      <c r="D65" s="299">
        <f t="shared" si="35"/>
        <v>2009</v>
      </c>
      <c r="E65" s="299">
        <f t="shared" si="35"/>
        <v>765.99999999999977</v>
      </c>
      <c r="F65" s="299">
        <f t="shared" si="35"/>
        <v>2925</v>
      </c>
      <c r="G65" s="299">
        <f t="shared" si="35"/>
        <v>3919</v>
      </c>
      <c r="H65" s="299">
        <f t="shared" si="35"/>
        <v>3032</v>
      </c>
      <c r="I65" s="299">
        <f t="shared" si="35"/>
        <v>3440</v>
      </c>
      <c r="J65" s="299">
        <f t="shared" si="35"/>
        <v>3232</v>
      </c>
      <c r="K65" s="299">
        <f t="shared" si="35"/>
        <v>3299</v>
      </c>
      <c r="L65" s="299">
        <f t="shared" si="35"/>
        <v>2875</v>
      </c>
      <c r="M65" s="299">
        <f t="shared" si="35"/>
        <v>3158</v>
      </c>
      <c r="N65" s="299">
        <f t="shared" si="35"/>
        <v>3068</v>
      </c>
      <c r="O65" s="299">
        <f t="shared" si="35"/>
        <v>3235</v>
      </c>
      <c r="P65" s="299">
        <f t="shared" si="35"/>
        <v>3133</v>
      </c>
      <c r="Q65" s="299">
        <f t="shared" si="35"/>
        <v>3274</v>
      </c>
      <c r="R65" s="299">
        <f t="shared" si="35"/>
        <v>1965.5422250000001</v>
      </c>
      <c r="S65" s="299">
        <f t="shared" si="35"/>
        <v>2192.5304441507151</v>
      </c>
      <c r="T65" s="299">
        <f t="shared" si="35"/>
        <v>1656.8519800470381</v>
      </c>
      <c r="U65" s="299">
        <f t="shared" si="35"/>
        <v>2531.9471736315381</v>
      </c>
      <c r="V65" s="299">
        <f t="shared" si="35"/>
        <v>1592.5431284072142</v>
      </c>
      <c r="W65" s="299">
        <f t="shared" si="35"/>
        <v>1933.5374025003239</v>
      </c>
      <c r="X65" s="299">
        <f t="shared" si="35"/>
        <v>1130.3570412568051</v>
      </c>
      <c r="Y65" s="299">
        <f t="shared" si="35"/>
        <v>96.620728949745754</v>
      </c>
      <c r="Z65" s="299">
        <f t="shared" si="35"/>
        <v>54.905434961726776</v>
      </c>
      <c r="AA65" s="299">
        <f t="shared" si="35"/>
        <v>504.71565229087747</v>
      </c>
      <c r="AB65" s="299">
        <f>SUM(AB62:AB64)</f>
        <v>796.81656449824652</v>
      </c>
      <c r="AC65" s="299">
        <f>SUM(AC62:AC64)</f>
        <v>1640.5285709291459</v>
      </c>
      <c r="AD65" s="299">
        <f>SUM(AD62:AD64)</f>
        <v>1971.7166362372225</v>
      </c>
      <c r="AE65" s="299">
        <f>SUM(AE62:AE64)</f>
        <v>2043.4289938432566</v>
      </c>
      <c r="AF65" s="299">
        <f>SUM(AF62:AF64)</f>
        <v>2058.5265911484571</v>
      </c>
    </row>
    <row r="66" spans="1:32" s="5" customFormat="1">
      <c r="A66" s="1" t="s">
        <v>602</v>
      </c>
      <c r="B66" s="303">
        <f>B67-B65</f>
        <v>3.6632002683745668E-2</v>
      </c>
      <c r="C66" s="303">
        <f t="shared" ref="C66:V66" si="36">C67-C65</f>
        <v>0.36318368002571333</v>
      </c>
      <c r="D66" s="303">
        <f t="shared" si="36"/>
        <v>0</v>
      </c>
      <c r="E66" s="303">
        <f t="shared" si="36"/>
        <v>572.00000000000023</v>
      </c>
      <c r="F66" s="303">
        <f t="shared" si="36"/>
        <v>0</v>
      </c>
      <c r="G66" s="303">
        <f t="shared" si="36"/>
        <v>0</v>
      </c>
      <c r="H66" s="303">
        <f t="shared" si="36"/>
        <v>0</v>
      </c>
      <c r="I66" s="303">
        <f t="shared" si="36"/>
        <v>0</v>
      </c>
      <c r="J66" s="303">
        <f t="shared" si="36"/>
        <v>248</v>
      </c>
      <c r="K66" s="303">
        <f t="shared" si="36"/>
        <v>0</v>
      </c>
      <c r="L66" s="303">
        <f t="shared" si="36"/>
        <v>0</v>
      </c>
      <c r="M66" s="303">
        <f t="shared" si="36"/>
        <v>0</v>
      </c>
      <c r="N66" s="303">
        <f t="shared" si="36"/>
        <v>0</v>
      </c>
      <c r="O66" s="303">
        <f t="shared" si="36"/>
        <v>0</v>
      </c>
      <c r="P66" s="303">
        <f t="shared" si="36"/>
        <v>0</v>
      </c>
      <c r="Q66" s="303">
        <f t="shared" si="36"/>
        <v>0</v>
      </c>
      <c r="R66" s="303">
        <f t="shared" si="36"/>
        <v>0.45777499999985594</v>
      </c>
      <c r="S66" s="303">
        <f t="shared" si="36"/>
        <v>0.46955584928491589</v>
      </c>
      <c r="T66" s="303">
        <f t="shared" si="36"/>
        <v>0.14801995296193127</v>
      </c>
      <c r="U66" s="303">
        <f t="shared" si="36"/>
        <v>76.052826368461865</v>
      </c>
      <c r="V66" s="303">
        <f t="shared" si="36"/>
        <v>-53.543128407214226</v>
      </c>
      <c r="W66" s="303">
        <f>W67-W65</f>
        <v>-389.53740250032388</v>
      </c>
      <c r="X66" s="166">
        <f>BDS_Qtr!AO40</f>
        <v>0</v>
      </c>
      <c r="Y66" s="166">
        <f>BDS_Annual!Y36</f>
        <v>0</v>
      </c>
      <c r="Z66" s="166">
        <f>BDS_Annual!Z36</f>
        <v>-4922</v>
      </c>
      <c r="AA66" s="166">
        <f>BDS_Annual!AA36</f>
        <v>-600</v>
      </c>
      <c r="AB66" s="166">
        <f>BDS_Annual!AB36</f>
        <v>0</v>
      </c>
      <c r="AC66" s="166">
        <f>BDS_Annual!AC36</f>
        <v>-150</v>
      </c>
      <c r="AD66" s="166">
        <f>BDS_Annual!AD36</f>
        <v>0</v>
      </c>
      <c r="AE66" s="166">
        <f>BDS_Annual!AG36</f>
        <v>0</v>
      </c>
      <c r="AF66" s="166">
        <f>BDS_Annual!AH36</f>
        <v>0</v>
      </c>
    </row>
    <row r="67" spans="1:32" s="5" customFormat="1">
      <c r="A67" s="14" t="s">
        <v>474</v>
      </c>
      <c r="B67" s="184">
        <v>1002</v>
      </c>
      <c r="C67" s="184">
        <v>1965</v>
      </c>
      <c r="D67" s="179">
        <v>2009</v>
      </c>
      <c r="E67" s="179">
        <v>1338</v>
      </c>
      <c r="F67" s="179">
        <v>2925</v>
      </c>
      <c r="G67" s="184">
        <v>3919</v>
      </c>
      <c r="H67" s="184">
        <v>3032</v>
      </c>
      <c r="I67" s="184">
        <v>3440</v>
      </c>
      <c r="J67" s="184">
        <v>3480</v>
      </c>
      <c r="K67" s="184">
        <v>3299</v>
      </c>
      <c r="L67" s="184">
        <v>2875</v>
      </c>
      <c r="M67" s="184">
        <v>3158</v>
      </c>
      <c r="N67" s="184">
        <v>3068</v>
      </c>
      <c r="O67" s="184">
        <v>3235</v>
      </c>
      <c r="P67" s="184">
        <v>3133</v>
      </c>
      <c r="Q67" s="184">
        <v>3274</v>
      </c>
      <c r="R67" s="304">
        <f>BDS_Annual!R19</f>
        <v>1966</v>
      </c>
      <c r="S67" s="304">
        <f>BDS_Annual!S19</f>
        <v>2193</v>
      </c>
      <c r="T67" s="304">
        <f>BDS_Annual!T19</f>
        <v>1657</v>
      </c>
      <c r="U67" s="304">
        <f>BDS_Annual!U19</f>
        <v>2608</v>
      </c>
      <c r="V67" s="304">
        <f>BDS_Annual!V19</f>
        <v>1539</v>
      </c>
      <c r="W67" s="304">
        <f>BDS_Annual!W19</f>
        <v>1544</v>
      </c>
      <c r="X67" s="299">
        <f t="shared" ref="X67:AC67" si="37">SUM(X65:X66)</f>
        <v>1130.3570412568051</v>
      </c>
      <c r="Y67" s="299">
        <f t="shared" si="37"/>
        <v>96.620728949745754</v>
      </c>
      <c r="Z67" s="299">
        <f t="shared" si="37"/>
        <v>-4867.0945650382728</v>
      </c>
      <c r="AA67" s="299">
        <f>SUM(AA65:AA66)</f>
        <v>-95.284347709122528</v>
      </c>
      <c r="AB67" s="299">
        <f t="shared" si="37"/>
        <v>796.81656449824652</v>
      </c>
      <c r="AC67" s="299">
        <f t="shared" si="37"/>
        <v>1490.5285709291459</v>
      </c>
      <c r="AD67" s="299">
        <f t="shared" ref="AD67:AE67" si="38">SUM(AD65:AD66)</f>
        <v>1971.7166362372225</v>
      </c>
      <c r="AE67" s="299">
        <f t="shared" si="38"/>
        <v>2043.4289938432566</v>
      </c>
      <c r="AF67" s="299">
        <f t="shared" ref="AF67" si="39">SUM(AF65:AF66)</f>
        <v>2058.5265911484571</v>
      </c>
    </row>
    <row r="68" spans="1:32" s="5" customFormat="1">
      <c r="A68" s="14" t="s">
        <v>473</v>
      </c>
      <c r="B68" s="298">
        <v>5.0192856785052344E-2</v>
      </c>
      <c r="C68" s="298">
        <v>8.6127547666009205E-2</v>
      </c>
      <c r="D68" s="298">
        <v>8.0498457346636215E-2</v>
      </c>
      <c r="E68" s="298">
        <v>4.8901721428310369E-2</v>
      </c>
      <c r="F68" s="298">
        <v>9.6011816838995567E-2</v>
      </c>
      <c r="G68" s="298">
        <v>0.12598855526265029</v>
      </c>
      <c r="H68" s="298">
        <v>9.3467739449428155E-2</v>
      </c>
      <c r="I68" s="298">
        <v>0.10732559590665169</v>
      </c>
      <c r="J68" s="298">
        <v>0.10859050769182763</v>
      </c>
      <c r="K68" s="298">
        <v>9.800659516948397E-2</v>
      </c>
      <c r="L68" s="298">
        <v>9.0004069749240842E-2</v>
      </c>
      <c r="M68" s="298">
        <v>9.8761571178383786E-2</v>
      </c>
      <c r="N68" s="298">
        <v>9.409022602508664E-2</v>
      </c>
      <c r="O68" s="298">
        <v>9.7448564629333975E-2</v>
      </c>
      <c r="P68" s="298">
        <v>0.10145396845957061</v>
      </c>
      <c r="Q68" s="298">
        <v>0.10773989732789259</v>
      </c>
      <c r="R68" s="298">
        <f>BDS_Annual!R22</f>
        <v>8.7133803129016529E-2</v>
      </c>
      <c r="S68" s="298">
        <f>BDS_Annual!S22</f>
        <v>0.10665823646709791</v>
      </c>
      <c r="T68" s="298">
        <f>BDS_Annual!T22</f>
        <v>6.278417702334041E-2</v>
      </c>
      <c r="U68" s="298">
        <f>BDS_Annual!U22</f>
        <v>9.9439508903038848E-2</v>
      </c>
      <c r="V68" s="298">
        <f>BDS_Annual!V22</f>
        <v>5.8612941310888525E-2</v>
      </c>
      <c r="W68" s="298">
        <f>BDS_Annual!W22</f>
        <v>5.8176337603617179E-2</v>
      </c>
      <c r="X68" s="302">
        <f t="shared" ref="X68:AC68" si="40">X67/X47</f>
        <v>4.8802220933287503E-2</v>
      </c>
      <c r="Y68" s="302">
        <f t="shared" si="40"/>
        <v>3.8752147334755447E-3</v>
      </c>
      <c r="Z68" s="302">
        <f t="shared" si="40"/>
        <v>-0.20349086734000638</v>
      </c>
      <c r="AA68" s="302">
        <f t="shared" si="40"/>
        <v>-3.4987276092062324E-3</v>
      </c>
      <c r="AB68" s="302">
        <f t="shared" si="40"/>
        <v>2.8227027522690816E-2</v>
      </c>
      <c r="AC68" s="302">
        <f t="shared" si="40"/>
        <v>5.1051289783338484E-2</v>
      </c>
      <c r="AD68" s="302">
        <f t="shared" ref="AD68:AE68" si="41">AD67/AD47</f>
        <v>6.5463997471430155E-2</v>
      </c>
      <c r="AE68" s="302">
        <f t="shared" si="41"/>
        <v>6.5731352649384775E-2</v>
      </c>
      <c r="AF68" s="302">
        <f t="shared" ref="AF68" si="42">AF67/AF47</f>
        <v>6.5785011173618568E-2</v>
      </c>
    </row>
    <row r="71" spans="1:32">
      <c r="W71" s="300"/>
      <c r="X71" s="300"/>
      <c r="Y71" s="300"/>
      <c r="Z71" s="300"/>
      <c r="AA71" s="300"/>
    </row>
    <row r="72" spans="1:32">
      <c r="C72" s="22"/>
      <c r="D72" s="22"/>
      <c r="E72" s="22"/>
      <c r="Z72" s="297">
        <v>-1521.4504467413074</v>
      </c>
    </row>
    <row r="73" spans="1:32">
      <c r="G73" s="22"/>
      <c r="H73" s="22"/>
      <c r="I73" s="22"/>
      <c r="J73" s="22"/>
      <c r="K73" s="22"/>
      <c r="L73" s="22"/>
      <c r="M73" s="22"/>
      <c r="N73" s="22"/>
      <c r="O73" s="22"/>
      <c r="P73" s="22"/>
      <c r="Q73" s="22"/>
    </row>
  </sheetData>
  <pageMargins left="0.7" right="0.7" top="0.75" bottom="0.75" header="0.3" footer="0.3"/>
  <pageSetup orientation="portrait" horizontalDpi="300" verticalDpi="300"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4"/>
  <dimension ref="A1:AF27"/>
  <sheetViews>
    <sheetView showGridLines="0" zoomScale="80" zoomScaleNormal="80" workbookViewId="0">
      <pane xSplit="1" ySplit="2" topLeftCell="S3" activePane="bottomRight" state="frozen"/>
      <selection activeCell="D6" sqref="D6"/>
      <selection pane="topRight" activeCell="D6" sqref="D6"/>
      <selection pane="bottomLeft" activeCell="D6" sqref="D6"/>
      <selection pane="bottomRight" activeCell="AA24" sqref="AA24"/>
    </sheetView>
  </sheetViews>
  <sheetFormatPr defaultRowHeight="14.5"/>
  <cols>
    <col min="1" max="1" width="48.1796875" customWidth="1"/>
    <col min="2" max="21" width="12.1796875" style="26" customWidth="1"/>
    <col min="22" max="32" width="12.1796875" customWidth="1"/>
  </cols>
  <sheetData>
    <row r="1" spans="1:32">
      <c r="A1" s="15" t="s">
        <v>327</v>
      </c>
      <c r="B1" s="68"/>
      <c r="C1" s="68"/>
      <c r="D1" s="68"/>
      <c r="E1" s="68"/>
      <c r="F1" s="68"/>
      <c r="G1" s="68"/>
      <c r="H1" s="68"/>
      <c r="I1" s="68"/>
      <c r="J1" s="68"/>
      <c r="K1" s="68"/>
      <c r="L1" s="68"/>
      <c r="M1" s="68"/>
      <c r="N1" s="68"/>
      <c r="O1" s="68"/>
      <c r="P1" s="68"/>
      <c r="Q1" s="68"/>
      <c r="R1" s="68"/>
      <c r="S1" s="68"/>
      <c r="T1" s="68"/>
      <c r="U1" s="90"/>
      <c r="V1" s="90"/>
      <c r="W1" s="90"/>
      <c r="X1" s="90"/>
      <c r="Y1" s="90"/>
      <c r="Z1" s="90"/>
      <c r="AA1" s="90"/>
      <c r="AB1" s="90"/>
      <c r="AC1" s="90"/>
      <c r="AD1" s="90"/>
      <c r="AE1" s="90"/>
      <c r="AF1" s="90"/>
    </row>
    <row r="2" spans="1:32">
      <c r="B2" s="179" t="str">
        <f>Income_Statement_Annual!B2</f>
        <v>CY2000A</v>
      </c>
      <c r="C2" s="179" t="str">
        <f>Income_Statement_Annual!C2</f>
        <v>CY2001A</v>
      </c>
      <c r="D2" s="69" t="str">
        <f>Income_Statement_Annual!D2</f>
        <v>CY2002A</v>
      </c>
      <c r="E2" s="179" t="str">
        <f>Income_Statement_Annual!E2</f>
        <v>CY2003A</v>
      </c>
      <c r="F2" s="69" t="str">
        <f>Income_Statement_Annual!F2</f>
        <v>CY2004A</v>
      </c>
      <c r="G2" s="179" t="str">
        <f>Income_Statement_Annual!G2</f>
        <v>CY2005A</v>
      </c>
      <c r="H2" s="69" t="str">
        <f>Income_Statement_Annual!H2</f>
        <v>CY2006A</v>
      </c>
      <c r="I2" s="179" t="str">
        <f>Income_Statement_Annual!I2</f>
        <v>CY2007A</v>
      </c>
      <c r="J2" s="69" t="str">
        <f>Income_Statement_Annual!J2</f>
        <v>CY2008A</v>
      </c>
      <c r="K2" s="179" t="str">
        <f>Income_Statement_Annual!K2</f>
        <v>CY2009A</v>
      </c>
      <c r="L2" s="69" t="str">
        <f>Income_Statement_Annual!L2</f>
        <v>CY2010A</v>
      </c>
      <c r="M2" s="179" t="str">
        <f>Income_Statement_Annual!M2</f>
        <v>CY2011A</v>
      </c>
      <c r="N2" s="69" t="str">
        <f>Income_Statement_Annual!N2</f>
        <v>CY2012A</v>
      </c>
      <c r="O2" s="179" t="str">
        <f>Income_Statement_Annual!O2</f>
        <v>CY2013A</v>
      </c>
      <c r="P2" s="179" t="str">
        <f>Income_Statement_Annual!P2</f>
        <v>CY2014A</v>
      </c>
      <c r="Q2" s="179" t="str">
        <f>Income_Statement_Annual!Q2</f>
        <v>CY2015A</v>
      </c>
      <c r="R2" s="179" t="str">
        <f>Income_Statement_Annual!R2</f>
        <v>CY2016A</v>
      </c>
      <c r="S2" s="179" t="str">
        <f>Income_Statement_Annual!S2</f>
        <v>CY2017A</v>
      </c>
      <c r="T2" s="179" t="str">
        <f>Income_Statement_Annual!T2</f>
        <v>CY2018A</v>
      </c>
      <c r="U2" s="179" t="str">
        <f>Income_Statement_Annual!U2</f>
        <v>CY2019A</v>
      </c>
      <c r="V2" s="179" t="str">
        <f>Income_Statement_Annual!V2</f>
        <v>CY2020A</v>
      </c>
      <c r="W2" s="179" t="str">
        <f>Income_Statement_Annual!W2</f>
        <v>CY2021A</v>
      </c>
      <c r="X2" s="179" t="str">
        <f>Income_Statement_Annual!X2</f>
        <v>CY2022A</v>
      </c>
      <c r="Y2" s="179" t="str">
        <f>Income_Statement_Annual!Y2</f>
        <v>CY2023A</v>
      </c>
      <c r="Z2" s="69" t="str">
        <f>Income_Statement_Annual!Z2</f>
        <v>CY2024A</v>
      </c>
      <c r="AA2" s="179" t="str">
        <f>Income_Statement_Annual!AA2</f>
        <v>CY2025A</v>
      </c>
      <c r="AB2" s="179" t="str">
        <f>Income_Statement_Annual!AB2</f>
        <v>CY2026E</v>
      </c>
      <c r="AC2" s="179" t="str">
        <f>Income_Statement_Annual!AC2</f>
        <v>CY2027E</v>
      </c>
      <c r="AD2" s="179" t="str">
        <f>Income_Statement_Annual!AD2</f>
        <v>CY2028E</v>
      </c>
      <c r="AE2" s="179" t="str">
        <f>Income_Statement_Annual!AE2</f>
        <v>CY2029E</v>
      </c>
      <c r="AF2" s="179" t="str">
        <f>Income_Statement_Annual!AF2</f>
        <v>CY2030E</v>
      </c>
    </row>
    <row r="3" spans="1:32">
      <c r="A3" s="9" t="s">
        <v>3</v>
      </c>
      <c r="B3" s="253"/>
      <c r="C3" s="253"/>
      <c r="D3" s="91"/>
      <c r="E3" s="253"/>
      <c r="F3" s="91"/>
      <c r="G3" s="253"/>
      <c r="H3" s="91"/>
      <c r="I3" s="253"/>
      <c r="J3" s="91"/>
      <c r="K3" s="253"/>
      <c r="L3" s="91"/>
      <c r="M3" s="253"/>
      <c r="N3" s="91"/>
      <c r="O3" s="253"/>
      <c r="P3" s="253"/>
      <c r="Q3" s="253"/>
      <c r="R3" s="253"/>
      <c r="S3" s="253"/>
      <c r="T3" s="253"/>
      <c r="U3" s="253"/>
      <c r="V3" s="253"/>
      <c r="W3" s="253"/>
      <c r="X3" s="253"/>
      <c r="Y3" s="253"/>
      <c r="Z3" s="91"/>
      <c r="AA3" s="253"/>
      <c r="AB3" s="253"/>
      <c r="AC3" s="253"/>
      <c r="AD3" s="253"/>
      <c r="AE3" s="253"/>
      <c r="AF3" s="253"/>
    </row>
    <row r="4" spans="1:32">
      <c r="B4" s="38"/>
      <c r="C4" s="38"/>
      <c r="D4" s="37"/>
      <c r="E4" s="38"/>
      <c r="F4" s="37"/>
      <c r="G4" s="38"/>
      <c r="H4" s="37"/>
      <c r="I4" s="38"/>
      <c r="J4" s="37"/>
      <c r="K4" s="38"/>
      <c r="L4" s="37"/>
      <c r="M4" s="38"/>
      <c r="N4" s="37"/>
      <c r="O4" s="38"/>
      <c r="P4" s="38"/>
      <c r="Q4" s="38"/>
      <c r="R4" s="38"/>
      <c r="S4" s="38"/>
      <c r="T4" s="38"/>
      <c r="U4" s="38"/>
      <c r="V4" s="38"/>
      <c r="W4" s="38"/>
      <c r="X4" s="38"/>
      <c r="Y4" s="38"/>
      <c r="Z4" s="37"/>
      <c r="AA4" s="38"/>
      <c r="AB4" s="38"/>
      <c r="AC4" s="38"/>
      <c r="AD4" s="38"/>
      <c r="AE4" s="38"/>
      <c r="AF4" s="38"/>
    </row>
    <row r="5" spans="1:32">
      <c r="A5" s="5" t="str">
        <f>BDS_Deliveries_Qtr!A5</f>
        <v>Boeing Military Aircraft</v>
      </c>
      <c r="B5" s="38"/>
      <c r="C5" s="38"/>
      <c r="D5" s="37"/>
      <c r="E5" s="38"/>
      <c r="F5" s="37"/>
      <c r="G5" s="38"/>
      <c r="H5" s="37"/>
      <c r="I5" s="38"/>
      <c r="J5" s="37"/>
      <c r="K5" s="38"/>
      <c r="L5" s="37"/>
      <c r="M5" s="38"/>
      <c r="N5" s="37"/>
      <c r="O5" s="38"/>
      <c r="P5" s="38"/>
      <c r="Q5" s="38"/>
      <c r="R5" s="38"/>
      <c r="S5" s="38"/>
      <c r="T5" s="38"/>
      <c r="U5" s="38"/>
      <c r="V5" s="38"/>
      <c r="W5" s="38"/>
      <c r="X5" s="38"/>
      <c r="Y5" s="38"/>
      <c r="Z5" s="37"/>
      <c r="AA5" s="38"/>
      <c r="AB5" s="38"/>
      <c r="AC5" s="38"/>
      <c r="AD5" s="38"/>
      <c r="AE5" s="38"/>
      <c r="AF5" s="38"/>
    </row>
    <row r="6" spans="1:32">
      <c r="A6" s="1" t="str">
        <f>BDS_Deliveries_Qtr!A6</f>
        <v>AH-64 Apache (New)</v>
      </c>
      <c r="B6" s="43">
        <v>8</v>
      </c>
      <c r="C6" s="43">
        <v>7</v>
      </c>
      <c r="D6" s="230">
        <v>15</v>
      </c>
      <c r="E6" s="43">
        <v>0</v>
      </c>
      <c r="F6" s="230">
        <v>3</v>
      </c>
      <c r="G6" s="43">
        <v>12</v>
      </c>
      <c r="H6" s="230">
        <v>31</v>
      </c>
      <c r="I6" s="43">
        <v>17</v>
      </c>
      <c r="J6" s="230">
        <v>3</v>
      </c>
      <c r="K6" s="43">
        <v>23</v>
      </c>
      <c r="L6" s="230">
        <v>13</v>
      </c>
      <c r="M6" s="43">
        <v>0</v>
      </c>
      <c r="N6" s="230">
        <v>19</v>
      </c>
      <c r="O6" s="43">
        <v>37</v>
      </c>
      <c r="P6" s="43">
        <v>45</v>
      </c>
      <c r="Q6" s="38">
        <f>BDS_Deliveries_Qtr!F6</f>
        <v>23</v>
      </c>
      <c r="R6" s="38">
        <f>BDS_Deliveries_Qtr!K6</f>
        <v>31</v>
      </c>
      <c r="S6" s="38">
        <f>BDS_Deliveries_Qtr!P6</f>
        <v>11</v>
      </c>
      <c r="T6" s="38">
        <f>BDS_Deliveries_Qtr!U6</f>
        <v>0</v>
      </c>
      <c r="U6" s="38">
        <f>BDS_Deliveries_Qtr!Z6</f>
        <v>37</v>
      </c>
      <c r="V6" s="38">
        <f>BDS_Deliveries_Qtr!AE6</f>
        <v>19</v>
      </c>
      <c r="W6" s="38">
        <f>BDS_Deliveries_Qtr!AJ6</f>
        <v>27</v>
      </c>
      <c r="X6" s="38">
        <f>BDS_Deliveries_Qtr!AO6</f>
        <v>25</v>
      </c>
      <c r="Y6" s="38">
        <f>BDS_Deliveries_Qtr!AT6</f>
        <v>20</v>
      </c>
      <c r="Z6" s="38">
        <f>BDS_Deliveries_Qtr!AY6</f>
        <v>16</v>
      </c>
      <c r="AA6" s="38">
        <f>BDS_Deliveries_Qtr!BD6</f>
        <v>19</v>
      </c>
      <c r="AB6" s="38">
        <f>BDS_Driver_Annual!AB4</f>
        <v>15</v>
      </c>
      <c r="AC6" s="38">
        <f>BDS_Driver_Annual!AC4</f>
        <v>15</v>
      </c>
      <c r="AD6" s="38">
        <f>BDS_Driver_Annual!AD4</f>
        <v>15</v>
      </c>
      <c r="AE6" s="38">
        <f>BDS_Driver_Annual!AE4</f>
        <v>15</v>
      </c>
      <c r="AF6" s="38">
        <f>BDS_Driver_Annual!AF4</f>
        <v>15</v>
      </c>
    </row>
    <row r="7" spans="1:32">
      <c r="A7" s="1" t="str">
        <f>BDS_Deliveries_Qtr!A7</f>
        <v>AH-64 Apache (Remanufactured)</v>
      </c>
      <c r="B7" s="43">
        <v>0</v>
      </c>
      <c r="C7" s="43">
        <v>0</v>
      </c>
      <c r="D7" s="230">
        <v>0</v>
      </c>
      <c r="E7" s="43">
        <v>0</v>
      </c>
      <c r="F7" s="230">
        <v>0</v>
      </c>
      <c r="G7" s="43">
        <v>0</v>
      </c>
      <c r="H7" s="230">
        <v>0</v>
      </c>
      <c r="I7" s="43">
        <v>0</v>
      </c>
      <c r="J7" s="230">
        <v>0</v>
      </c>
      <c r="K7" s="43">
        <v>0</v>
      </c>
      <c r="L7" s="230">
        <v>0</v>
      </c>
      <c r="M7" s="43">
        <v>0</v>
      </c>
      <c r="N7" s="230">
        <v>0</v>
      </c>
      <c r="O7" s="43">
        <v>0</v>
      </c>
      <c r="P7" s="43">
        <v>37</v>
      </c>
      <c r="Q7" s="38">
        <f>BDS_Deliveries_Qtr!F7</f>
        <v>38</v>
      </c>
      <c r="R7" s="38">
        <f>BDS_Deliveries_Qtr!K7</f>
        <v>34</v>
      </c>
      <c r="S7" s="38">
        <f>BDS_Deliveries_Qtr!P7</f>
        <v>57</v>
      </c>
      <c r="T7" s="38">
        <f>BDS_Deliveries_Qtr!U7</f>
        <v>23</v>
      </c>
      <c r="U7" s="38">
        <f>BDS_Deliveries_Qtr!Z7</f>
        <v>74</v>
      </c>
      <c r="V7" s="38">
        <f>BDS_Deliveries_Qtr!AE7</f>
        <v>52</v>
      </c>
      <c r="W7" s="38">
        <f>BDS_Deliveries_Qtr!AJ7</f>
        <v>56</v>
      </c>
      <c r="X7" s="38">
        <f>BDS_Deliveries_Qtr!AO7</f>
        <v>50</v>
      </c>
      <c r="Y7" s="38">
        <f>BDS_Deliveries_Qtr!AT7</f>
        <v>57</v>
      </c>
      <c r="Z7" s="37">
        <f>BDS_Deliveries_Qtr!AY7</f>
        <v>34</v>
      </c>
      <c r="AA7" s="38">
        <f>BDS_Deliveries_Qtr!BD7</f>
        <v>42</v>
      </c>
      <c r="AB7" s="38">
        <f>BDS_Driver_Annual!AB5</f>
        <v>50</v>
      </c>
      <c r="AC7" s="38">
        <f>BDS_Driver_Annual!AC5</f>
        <v>50</v>
      </c>
      <c r="AD7" s="38">
        <f>BDS_Driver_Annual!AD5</f>
        <v>50</v>
      </c>
      <c r="AE7" s="38">
        <f>BDS_Driver_Annual!AE5</f>
        <v>50</v>
      </c>
      <c r="AF7" s="38">
        <f>BDS_Driver_Annual!AF5</f>
        <v>50</v>
      </c>
    </row>
    <row r="8" spans="1:32">
      <c r="A8" s="1" t="str">
        <f>BDS_Deliveries_Qtr!A8</f>
        <v>C-17 Globemaster III</v>
      </c>
      <c r="B8" s="43">
        <v>13</v>
      </c>
      <c r="C8" s="43">
        <v>14</v>
      </c>
      <c r="D8" s="230">
        <v>16</v>
      </c>
      <c r="E8" s="43">
        <v>16</v>
      </c>
      <c r="F8" s="230">
        <v>16</v>
      </c>
      <c r="G8" s="43">
        <v>16</v>
      </c>
      <c r="H8" s="230">
        <v>16</v>
      </c>
      <c r="I8" s="43">
        <v>16</v>
      </c>
      <c r="J8" s="230">
        <v>16</v>
      </c>
      <c r="K8" s="43">
        <v>16</v>
      </c>
      <c r="L8" s="230">
        <v>14</v>
      </c>
      <c r="M8" s="43">
        <v>13</v>
      </c>
      <c r="N8" s="230">
        <v>10</v>
      </c>
      <c r="O8" s="43">
        <v>10</v>
      </c>
      <c r="P8" s="43">
        <v>7</v>
      </c>
      <c r="Q8" s="38">
        <f>BDS_Deliveries_Qtr!F8</f>
        <v>5</v>
      </c>
      <c r="R8" s="38">
        <f>BDS_Deliveries_Qtr!K8</f>
        <v>4</v>
      </c>
      <c r="S8" s="38">
        <f>BDS_Deliveries_Qtr!P8</f>
        <v>0</v>
      </c>
      <c r="T8" s="38">
        <f>BDS_Deliveries_Qtr!U8</f>
        <v>0</v>
      </c>
      <c r="U8" s="38">
        <f>BDS_Deliveries_Qtr!Z8</f>
        <v>1</v>
      </c>
      <c r="V8" s="38">
        <f>BDS_Deliveries_Qtr!AE8</f>
        <v>0</v>
      </c>
      <c r="W8" s="38">
        <f>BDS_Deliveries_Qtr!AJ8</f>
        <v>0</v>
      </c>
      <c r="X8" s="38">
        <f>BDS_Deliveries_Qtr!AO8</f>
        <v>0</v>
      </c>
      <c r="Y8" s="38">
        <f>BDS_Deliveries_Qtr!AT8</f>
        <v>0</v>
      </c>
      <c r="Z8" s="37">
        <f>BDS_Deliveries_Qtr!AY8</f>
        <v>0</v>
      </c>
      <c r="AA8" s="38">
        <f>BDS_Deliveries_Qtr!BD8</f>
        <v>0</v>
      </c>
      <c r="AB8" s="38">
        <f>BDS_Driver_Annual!AB6</f>
        <v>0</v>
      </c>
      <c r="AC8" s="38">
        <f>BDS_Driver_Annual!AC6</f>
        <v>0</v>
      </c>
      <c r="AD8" s="38">
        <f>BDS_Driver_Annual!AD6</f>
        <v>0</v>
      </c>
      <c r="AE8" s="38">
        <f>BDS_Driver_Annual!AE6</f>
        <v>0</v>
      </c>
      <c r="AF8" s="38">
        <f>BDS_Driver_Annual!AF6</f>
        <v>0</v>
      </c>
    </row>
    <row r="9" spans="1:32">
      <c r="A9" s="1" t="str">
        <f>BDS_Deliveries_Qtr!A9</f>
        <v>C-40A</v>
      </c>
      <c r="B9" s="43">
        <v>0</v>
      </c>
      <c r="C9" s="43">
        <v>4</v>
      </c>
      <c r="D9" s="230">
        <v>3</v>
      </c>
      <c r="E9" s="43">
        <v>1</v>
      </c>
      <c r="F9" s="230">
        <v>3</v>
      </c>
      <c r="G9" s="43">
        <v>2</v>
      </c>
      <c r="H9" s="230">
        <v>1</v>
      </c>
      <c r="I9" s="43">
        <v>3</v>
      </c>
      <c r="J9" s="230">
        <v>0</v>
      </c>
      <c r="K9" s="43">
        <v>0</v>
      </c>
      <c r="L9" s="230">
        <v>0</v>
      </c>
      <c r="M9" s="43">
        <v>0</v>
      </c>
      <c r="N9" s="230">
        <v>0</v>
      </c>
      <c r="O9" s="43">
        <v>0</v>
      </c>
      <c r="P9" s="43">
        <v>1</v>
      </c>
      <c r="Q9" s="38">
        <f>BDS_Deliveries_Qtr!F9</f>
        <v>1</v>
      </c>
      <c r="R9" s="38">
        <f>BDS_Deliveries_Qtr!K9</f>
        <v>1</v>
      </c>
      <c r="S9" s="38">
        <f>BDS_Deliveries_Qtr!P9</f>
        <v>0</v>
      </c>
      <c r="T9" s="38">
        <f>BDS_Deliveries_Qtr!U9</f>
        <v>0</v>
      </c>
      <c r="U9" s="38">
        <f>BDS_Deliveries_Qtr!Z9</f>
        <v>2</v>
      </c>
      <c r="V9" s="38">
        <f>BDS_Deliveries_Qtr!AE9</f>
        <v>0</v>
      </c>
      <c r="W9" s="38">
        <f>BDS_Deliveries_Qtr!AJ9</f>
        <v>0</v>
      </c>
      <c r="X9" s="38">
        <f>BDS_Deliveries_Qtr!AO9</f>
        <v>0</v>
      </c>
      <c r="Y9" s="38">
        <f>BDS_Deliveries_Qtr!AT9</f>
        <v>0</v>
      </c>
      <c r="Z9" s="37">
        <f>BDS_Deliveries_Qtr!AY9</f>
        <v>0</v>
      </c>
      <c r="AA9" s="38">
        <f>BDS_Deliveries_Qtr!BD9</f>
        <v>0</v>
      </c>
      <c r="AB9" s="38">
        <f>BDS_Driver_Annual!AB7</f>
        <v>0</v>
      </c>
      <c r="AC9" s="38">
        <f>BDS_Driver_Annual!AC7</f>
        <v>0</v>
      </c>
      <c r="AD9" s="38">
        <f>BDS_Driver_Annual!AD7</f>
        <v>0</v>
      </c>
      <c r="AE9" s="38">
        <f>BDS_Driver_Annual!AE7</f>
        <v>0</v>
      </c>
      <c r="AF9" s="38">
        <f>BDS_Driver_Annual!AF7</f>
        <v>0</v>
      </c>
    </row>
    <row r="10" spans="1:32">
      <c r="A10" s="1" t="str">
        <f>BDS_Deliveries_Qtr!A10</f>
        <v>CH-47 Chinook (New)</v>
      </c>
      <c r="B10" s="43">
        <v>7</v>
      </c>
      <c r="C10" s="43">
        <v>11</v>
      </c>
      <c r="D10" s="230">
        <v>7</v>
      </c>
      <c r="E10" s="43">
        <v>0</v>
      </c>
      <c r="F10" s="230">
        <v>0</v>
      </c>
      <c r="G10" s="43">
        <v>0</v>
      </c>
      <c r="H10" s="230">
        <v>2</v>
      </c>
      <c r="I10" s="43">
        <v>10</v>
      </c>
      <c r="J10" s="230">
        <v>12</v>
      </c>
      <c r="K10" s="43">
        <v>11</v>
      </c>
      <c r="L10" s="230">
        <v>20</v>
      </c>
      <c r="M10" s="43">
        <v>32</v>
      </c>
      <c r="N10" s="230">
        <v>51</v>
      </c>
      <c r="O10" s="43">
        <v>44</v>
      </c>
      <c r="P10" s="43">
        <v>54</v>
      </c>
      <c r="Q10" s="38">
        <f>BDS_Deliveries_Qtr!F10</f>
        <v>41</v>
      </c>
      <c r="R10" s="38">
        <f>BDS_Deliveries_Qtr!K10</f>
        <v>25</v>
      </c>
      <c r="S10" s="38">
        <f>BDS_Deliveries_Qtr!P10</f>
        <v>9</v>
      </c>
      <c r="T10" s="38">
        <f>BDS_Deliveries_Qtr!U10</f>
        <v>13</v>
      </c>
      <c r="U10" s="38">
        <f>BDS_Deliveries_Qtr!Z10</f>
        <v>13</v>
      </c>
      <c r="V10" s="38">
        <f>BDS_Deliveries_Qtr!AE10</f>
        <v>27</v>
      </c>
      <c r="W10" s="38">
        <f>BDS_Deliveries_Qtr!AJ10</f>
        <v>15</v>
      </c>
      <c r="X10" s="38">
        <f>BDS_Deliveries_Qtr!AO10</f>
        <v>19</v>
      </c>
      <c r="Y10" s="38">
        <f>BDS_Deliveries_Qtr!AT10</f>
        <v>11</v>
      </c>
      <c r="Z10" s="37">
        <f>BDS_Deliveries_Qtr!AY10</f>
        <v>4</v>
      </c>
      <c r="AA10" s="38">
        <f>BDS_Deliveries_Qtr!BD10</f>
        <v>3</v>
      </c>
      <c r="AB10" s="38">
        <f>BDS_Driver_Annual!AB8</f>
        <v>15</v>
      </c>
      <c r="AC10" s="38">
        <f>BDS_Driver_Annual!AC8</f>
        <v>15</v>
      </c>
      <c r="AD10" s="38">
        <f>BDS_Driver_Annual!AD8</f>
        <v>15</v>
      </c>
      <c r="AE10" s="38">
        <f>BDS_Driver_Annual!AE8</f>
        <v>15</v>
      </c>
      <c r="AF10" s="38">
        <f>BDS_Driver_Annual!AF8</f>
        <v>15</v>
      </c>
    </row>
    <row r="11" spans="1:32">
      <c r="A11" s="1" t="str">
        <f>BDS_Deliveries_Qtr!A11</f>
        <v>CH-47 Chinook (Renewed)</v>
      </c>
      <c r="B11" s="43">
        <v>0</v>
      </c>
      <c r="C11" s="43">
        <v>0</v>
      </c>
      <c r="D11" s="230">
        <v>0</v>
      </c>
      <c r="E11" s="43">
        <v>0</v>
      </c>
      <c r="F11" s="230">
        <v>0</v>
      </c>
      <c r="G11" s="43">
        <v>0</v>
      </c>
      <c r="H11" s="230">
        <v>0</v>
      </c>
      <c r="I11" s="43">
        <v>0</v>
      </c>
      <c r="J11" s="230">
        <v>0</v>
      </c>
      <c r="K11" s="43">
        <v>0</v>
      </c>
      <c r="L11" s="230">
        <v>0</v>
      </c>
      <c r="M11" s="43">
        <v>0</v>
      </c>
      <c r="N11" s="230">
        <v>0</v>
      </c>
      <c r="O11" s="43">
        <v>0</v>
      </c>
      <c r="P11" s="43">
        <v>0</v>
      </c>
      <c r="Q11" s="38">
        <f>BDS_Deliveries_Qtr!F11</f>
        <v>16</v>
      </c>
      <c r="R11" s="38">
        <f>BDS_Deliveries_Qtr!K11</f>
        <v>25</v>
      </c>
      <c r="S11" s="38">
        <f>BDS_Deliveries_Qtr!P11</f>
        <v>35</v>
      </c>
      <c r="T11" s="38">
        <f>BDS_Deliveries_Qtr!U11</f>
        <v>17</v>
      </c>
      <c r="U11" s="38">
        <f>BDS_Deliveries_Qtr!Z11</f>
        <v>22</v>
      </c>
      <c r="V11" s="38">
        <f>BDS_Deliveries_Qtr!AE11</f>
        <v>3</v>
      </c>
      <c r="W11" s="38">
        <f>BDS_Deliveries_Qtr!AJ11</f>
        <v>5</v>
      </c>
      <c r="X11" s="38">
        <f>BDS_Deliveries_Qtr!AO11</f>
        <v>9</v>
      </c>
      <c r="Y11" s="38">
        <f>BDS_Deliveries_Qtr!AT11</f>
        <v>9</v>
      </c>
      <c r="Z11" s="37">
        <f>BDS_Deliveries_Qtr!AY11</f>
        <v>9</v>
      </c>
      <c r="AA11" s="38">
        <f>BDS_Deliveries_Qtr!BD11</f>
        <v>11</v>
      </c>
      <c r="AB11" s="38">
        <f>BDS_Driver_Annual!AB9</f>
        <v>10</v>
      </c>
      <c r="AC11" s="38">
        <f>BDS_Driver_Annual!AC9</f>
        <v>10</v>
      </c>
      <c r="AD11" s="38">
        <f>BDS_Driver_Annual!AD9</f>
        <v>10</v>
      </c>
      <c r="AE11" s="38">
        <f>BDS_Driver_Annual!AE9</f>
        <v>10</v>
      </c>
      <c r="AF11" s="38">
        <f>BDS_Driver_Annual!AF9</f>
        <v>10</v>
      </c>
    </row>
    <row r="12" spans="1:32">
      <c r="A12" s="1" t="str">
        <f>BDS_Deliveries_Qtr!A12</f>
        <v>F-15 Models</v>
      </c>
      <c r="B12" s="43">
        <v>5</v>
      </c>
      <c r="C12" s="43">
        <v>0</v>
      </c>
      <c r="D12" s="230">
        <v>3</v>
      </c>
      <c r="E12" s="43">
        <v>4</v>
      </c>
      <c r="F12" s="230">
        <v>3</v>
      </c>
      <c r="G12" s="43">
        <v>6</v>
      </c>
      <c r="H12" s="230">
        <v>12</v>
      </c>
      <c r="I12" s="43">
        <v>12</v>
      </c>
      <c r="J12" s="230">
        <v>14</v>
      </c>
      <c r="K12" s="43">
        <v>13</v>
      </c>
      <c r="L12" s="230">
        <v>13</v>
      </c>
      <c r="M12" s="43">
        <v>15</v>
      </c>
      <c r="N12" s="230">
        <v>8</v>
      </c>
      <c r="O12" s="43">
        <v>14</v>
      </c>
      <c r="P12" s="43">
        <v>14</v>
      </c>
      <c r="Q12" s="38">
        <f>BDS_Deliveries_Qtr!F12</f>
        <v>12</v>
      </c>
      <c r="R12" s="38">
        <f>BDS_Deliveries_Qtr!K12</f>
        <v>15</v>
      </c>
      <c r="S12" s="38">
        <f>BDS_Deliveries_Qtr!P12</f>
        <v>16</v>
      </c>
      <c r="T12" s="38">
        <f>BDS_Deliveries_Qtr!U12</f>
        <v>10</v>
      </c>
      <c r="U12" s="38">
        <f>BDS_Deliveries_Qtr!Z12</f>
        <v>11</v>
      </c>
      <c r="V12" s="38">
        <f>BDS_Deliveries_Qtr!AE12</f>
        <v>4</v>
      </c>
      <c r="W12" s="38">
        <f>BDS_Deliveries_Qtr!AJ12</f>
        <v>16</v>
      </c>
      <c r="X12" s="38">
        <f>BDS_Deliveries_Qtr!AO12</f>
        <v>12</v>
      </c>
      <c r="Y12" s="38">
        <f>BDS_Deliveries_Qtr!AT12</f>
        <v>9</v>
      </c>
      <c r="Z12" s="37">
        <f>BDS_Deliveries_Qtr!AY12</f>
        <v>14</v>
      </c>
      <c r="AA12" s="38">
        <f>BDS_Deliveries_Qtr!BD12</f>
        <v>9</v>
      </c>
      <c r="AB12" s="38">
        <f>BDS_Driver_Annual!AB10</f>
        <v>30</v>
      </c>
      <c r="AC12" s="38">
        <f>BDS_Driver_Annual!AC10</f>
        <v>30</v>
      </c>
      <c r="AD12" s="38">
        <f>BDS_Driver_Annual!AD10</f>
        <v>30</v>
      </c>
      <c r="AE12" s="38">
        <f>BDS_Driver_Annual!AE10</f>
        <v>30</v>
      </c>
      <c r="AF12" s="38">
        <f>BDS_Driver_Annual!AF10</f>
        <v>30</v>
      </c>
    </row>
    <row r="13" spans="1:32">
      <c r="A13" s="1" t="str">
        <f>BDS_Deliveries_Qtr!A13</f>
        <v>F/A-18 Models</v>
      </c>
      <c r="B13" s="43">
        <f>26+16</f>
        <v>42</v>
      </c>
      <c r="C13" s="43">
        <v>36</v>
      </c>
      <c r="D13" s="230">
        <v>40</v>
      </c>
      <c r="E13" s="43">
        <v>44</v>
      </c>
      <c r="F13" s="230">
        <v>48</v>
      </c>
      <c r="G13" s="43">
        <v>42</v>
      </c>
      <c r="H13" s="230">
        <v>42</v>
      </c>
      <c r="I13" s="43">
        <v>44</v>
      </c>
      <c r="J13" s="230">
        <v>45</v>
      </c>
      <c r="K13" s="43">
        <v>49</v>
      </c>
      <c r="L13" s="230">
        <v>50</v>
      </c>
      <c r="M13" s="43">
        <v>49</v>
      </c>
      <c r="N13" s="230">
        <v>48</v>
      </c>
      <c r="O13" s="43">
        <v>48</v>
      </c>
      <c r="P13" s="43">
        <v>44</v>
      </c>
      <c r="Q13" s="38">
        <f>BDS_Deliveries_Qtr!F13</f>
        <v>35</v>
      </c>
      <c r="R13" s="38">
        <f>BDS_Deliveries_Qtr!K13</f>
        <v>25</v>
      </c>
      <c r="S13" s="38">
        <f>BDS_Deliveries_Qtr!P13</f>
        <v>23</v>
      </c>
      <c r="T13" s="38">
        <f>BDS_Deliveries_Qtr!U13</f>
        <v>17</v>
      </c>
      <c r="U13" s="38">
        <f>BDS_Deliveries_Qtr!Z13</f>
        <v>23</v>
      </c>
      <c r="V13" s="38">
        <f>BDS_Deliveries_Qtr!AE13</f>
        <v>20</v>
      </c>
      <c r="W13" s="38">
        <f>BDS_Deliveries_Qtr!AJ13</f>
        <v>21</v>
      </c>
      <c r="X13" s="38">
        <f>BDS_Deliveries_Qtr!AO13</f>
        <v>14</v>
      </c>
      <c r="Y13" s="38">
        <f>BDS_Deliveries_Qtr!AT13</f>
        <v>22</v>
      </c>
      <c r="Z13" s="37">
        <f>BDS_Deliveries_Qtr!AY13</f>
        <v>11</v>
      </c>
      <c r="AA13" s="38">
        <f>BDS_Deliveries_Qtr!BD13</f>
        <v>14</v>
      </c>
      <c r="AB13" s="38">
        <f>BDS_Driver_Annual!AB11</f>
        <v>10</v>
      </c>
      <c r="AC13" s="38">
        <f>BDS_Driver_Annual!AC11</f>
        <v>10</v>
      </c>
      <c r="AD13" s="38">
        <f>BDS_Driver_Annual!AD11</f>
        <v>10</v>
      </c>
      <c r="AE13" s="38">
        <f>BDS_Driver_Annual!AE11</f>
        <v>10</v>
      </c>
      <c r="AF13" s="38">
        <f>BDS_Driver_Annual!AF11</f>
        <v>10</v>
      </c>
    </row>
    <row r="14" spans="1:32">
      <c r="A14" s="1" t="str">
        <f>BDS_Deliveries_Qtr!A14</f>
        <v>KC-46 Tanker</v>
      </c>
      <c r="B14" s="43">
        <v>0</v>
      </c>
      <c r="C14" s="43">
        <v>0</v>
      </c>
      <c r="D14" s="230">
        <v>0</v>
      </c>
      <c r="E14" s="43">
        <v>0</v>
      </c>
      <c r="F14" s="230">
        <v>0</v>
      </c>
      <c r="G14" s="43">
        <v>0</v>
      </c>
      <c r="H14" s="230">
        <v>0</v>
      </c>
      <c r="I14" s="43">
        <v>0</v>
      </c>
      <c r="J14" s="230">
        <v>0</v>
      </c>
      <c r="K14" s="43">
        <v>0</v>
      </c>
      <c r="L14" s="230">
        <v>0</v>
      </c>
      <c r="M14" s="43">
        <v>0</v>
      </c>
      <c r="N14" s="230">
        <v>0</v>
      </c>
      <c r="O14" s="43">
        <v>0</v>
      </c>
      <c r="P14" s="43">
        <v>0</v>
      </c>
      <c r="Q14" s="38">
        <f>BDS_Deliveries_Qtr!F14</f>
        <v>0</v>
      </c>
      <c r="R14" s="38">
        <f>BDS_Deliveries_Qtr!K14</f>
        <v>0</v>
      </c>
      <c r="S14" s="38">
        <f>BDS_Deliveries_Qtr!P14</f>
        <v>0</v>
      </c>
      <c r="T14" s="38">
        <f>BDS_Deliveries_Qtr!U14</f>
        <v>0</v>
      </c>
      <c r="U14" s="38">
        <f>BDS_Deliveries_Qtr!Z14</f>
        <v>28</v>
      </c>
      <c r="V14" s="38">
        <f>BDS_Deliveries_Qtr!AE14</f>
        <v>14</v>
      </c>
      <c r="W14" s="38">
        <f>BDS_Deliveries_Qtr!AJ14</f>
        <v>13</v>
      </c>
      <c r="X14" s="38">
        <f>BDS_Deliveries_Qtr!AO14</f>
        <v>15</v>
      </c>
      <c r="Y14" s="38">
        <f>BDS_Deliveries_Qtr!AT14</f>
        <v>13</v>
      </c>
      <c r="Z14" s="37">
        <f>BDS_Deliveries_Qtr!AY14</f>
        <v>10</v>
      </c>
      <c r="AA14" s="38">
        <f>BDS_Deliveries_Qtr!BD14</f>
        <v>14</v>
      </c>
      <c r="AB14" s="38">
        <f>BDS_Driver_Annual!AB12</f>
        <v>30</v>
      </c>
      <c r="AC14" s="38">
        <f>BDS_Driver_Annual!AC12</f>
        <v>30</v>
      </c>
      <c r="AD14" s="38">
        <f>BDS_Driver_Annual!AD12</f>
        <v>30</v>
      </c>
      <c r="AE14" s="38">
        <f>BDS_Driver_Annual!AE12</f>
        <v>30</v>
      </c>
      <c r="AF14" s="38">
        <f>BDS_Driver_Annual!AF12</f>
        <v>30</v>
      </c>
    </row>
    <row r="15" spans="1:32">
      <c r="A15" s="1" t="str">
        <f>BDS_Deliveries_Qtr!A15</f>
        <v>P-8 Models</v>
      </c>
      <c r="B15" s="43">
        <v>0</v>
      </c>
      <c r="C15" s="43">
        <v>0</v>
      </c>
      <c r="D15" s="230">
        <v>0</v>
      </c>
      <c r="E15" s="43">
        <v>0</v>
      </c>
      <c r="F15" s="230">
        <v>0</v>
      </c>
      <c r="G15" s="43">
        <v>0</v>
      </c>
      <c r="H15" s="230">
        <v>0</v>
      </c>
      <c r="I15" s="43">
        <v>0</v>
      </c>
      <c r="J15" s="230">
        <v>0</v>
      </c>
      <c r="K15" s="43">
        <v>0</v>
      </c>
      <c r="L15" s="230">
        <v>0</v>
      </c>
      <c r="M15" s="43">
        <v>0</v>
      </c>
      <c r="N15" s="230">
        <v>5</v>
      </c>
      <c r="O15" s="43">
        <v>11</v>
      </c>
      <c r="P15" s="43">
        <v>11</v>
      </c>
      <c r="Q15" s="38">
        <f>BDS_Deliveries_Qtr!F15</f>
        <v>14</v>
      </c>
      <c r="R15" s="38">
        <f>BDS_Deliveries_Qtr!K15</f>
        <v>18</v>
      </c>
      <c r="S15" s="38">
        <f>BDS_Deliveries_Qtr!P15</f>
        <v>19</v>
      </c>
      <c r="T15" s="38">
        <f>BDS_Deliveries_Qtr!U15</f>
        <v>16</v>
      </c>
      <c r="U15" s="38">
        <f>BDS_Deliveries_Qtr!Z15</f>
        <v>18</v>
      </c>
      <c r="V15" s="38">
        <f>BDS_Deliveries_Qtr!AE15</f>
        <v>15</v>
      </c>
      <c r="W15" s="38">
        <f>BDS_Deliveries_Qtr!AJ15</f>
        <v>16</v>
      </c>
      <c r="X15" s="38">
        <f>BDS_Deliveries_Qtr!AO15</f>
        <v>12</v>
      </c>
      <c r="Y15" s="38">
        <f>BDS_Deliveries_Qtr!AT15</f>
        <v>11</v>
      </c>
      <c r="Z15" s="37">
        <f>BDS_Deliveries_Qtr!AY15</f>
        <v>4</v>
      </c>
      <c r="AA15" s="38">
        <f>BDS_Deliveries_Qtr!BD15</f>
        <v>6</v>
      </c>
      <c r="AB15" s="38">
        <f>BDS_Driver_Annual!AB13</f>
        <v>10</v>
      </c>
      <c r="AC15" s="38">
        <f>BDS_Driver_Annual!AC13</f>
        <v>10</v>
      </c>
      <c r="AD15" s="38">
        <f>BDS_Driver_Annual!AD13</f>
        <v>10</v>
      </c>
      <c r="AE15" s="38">
        <f>BDS_Driver_Annual!AE13</f>
        <v>10</v>
      </c>
      <c r="AF15" s="38">
        <f>BDS_Driver_Annual!AF13</f>
        <v>10</v>
      </c>
    </row>
    <row r="16" spans="1:32">
      <c r="A16" s="1" t="str">
        <f>BDS_Deliveries_Qtr!A16</f>
        <v>AEW&amp;C</v>
      </c>
      <c r="B16" s="43">
        <v>0</v>
      </c>
      <c r="C16" s="43">
        <v>0</v>
      </c>
      <c r="D16" s="230">
        <v>0</v>
      </c>
      <c r="E16" s="43">
        <v>0</v>
      </c>
      <c r="F16" s="230">
        <v>0</v>
      </c>
      <c r="G16" s="43">
        <v>0</v>
      </c>
      <c r="H16" s="230">
        <v>0</v>
      </c>
      <c r="I16" s="43">
        <v>0</v>
      </c>
      <c r="J16" s="230">
        <v>0</v>
      </c>
      <c r="K16" s="43">
        <v>0</v>
      </c>
      <c r="L16" s="230">
        <v>4</v>
      </c>
      <c r="M16" s="43">
        <v>3</v>
      </c>
      <c r="N16" s="230">
        <v>3</v>
      </c>
      <c r="O16" s="43">
        <v>0</v>
      </c>
      <c r="P16" s="43">
        <v>3</v>
      </c>
      <c r="Q16" s="38">
        <f>BDS_Deliveries_Qtr!F16</f>
        <v>1</v>
      </c>
      <c r="R16" s="38">
        <f>BDS_Deliveries_Qtr!K16</f>
        <v>0</v>
      </c>
      <c r="S16" s="38">
        <f>BDS_Deliveries_Qtr!P16</f>
        <v>0</v>
      </c>
      <c r="T16" s="38">
        <f>BDS_Deliveries_Qtr!U16</f>
        <v>0</v>
      </c>
      <c r="U16" s="38">
        <f>BDS_Deliveries_Qtr!Z16</f>
        <v>0</v>
      </c>
      <c r="V16" s="38">
        <f>BDS_Deliveries_Qtr!AE16</f>
        <v>0</v>
      </c>
      <c r="W16" s="38">
        <f>BDS_Deliveries_Qtr!AJ16</f>
        <v>0</v>
      </c>
      <c r="X16" s="38">
        <f>BDS_Deliveries_Qtr!AO16</f>
        <v>0</v>
      </c>
      <c r="Y16" s="38">
        <f>BDS_Deliveries_Qtr!AT16</f>
        <v>0</v>
      </c>
      <c r="Z16" s="37">
        <f>BDS_Deliveries_Qtr!AY16</f>
        <v>0</v>
      </c>
      <c r="AA16" s="38">
        <f>BDS_Deliveries_Qtr!BD16</f>
        <v>0</v>
      </c>
      <c r="AB16" s="38">
        <f>BDS_Driver_Annual!AB14</f>
        <v>0</v>
      </c>
      <c r="AC16" s="38">
        <f>BDS_Driver_Annual!AC14</f>
        <v>0</v>
      </c>
      <c r="AD16" s="38">
        <f>BDS_Driver_Annual!AD14</f>
        <v>0</v>
      </c>
      <c r="AE16" s="38">
        <f>BDS_Driver_Annual!AE14</f>
        <v>0</v>
      </c>
      <c r="AF16" s="38">
        <f>BDS_Driver_Annual!AF14</f>
        <v>0</v>
      </c>
    </row>
    <row r="17" spans="1:32">
      <c r="A17" s="1" t="str">
        <f>BDS_Deliveries_Qtr!A17</f>
        <v>KC-767 International Tanker</v>
      </c>
      <c r="B17" s="43">
        <v>0</v>
      </c>
      <c r="C17" s="43">
        <v>0</v>
      </c>
      <c r="D17" s="230">
        <v>0</v>
      </c>
      <c r="E17" s="43">
        <v>0</v>
      </c>
      <c r="F17" s="230">
        <v>0</v>
      </c>
      <c r="G17" s="43">
        <v>0</v>
      </c>
      <c r="H17" s="230">
        <v>0</v>
      </c>
      <c r="I17" s="43">
        <v>0</v>
      </c>
      <c r="J17" s="230">
        <v>2</v>
      </c>
      <c r="K17" s="43">
        <v>2</v>
      </c>
      <c r="L17" s="230">
        <v>1</v>
      </c>
      <c r="M17" s="43">
        <v>3</v>
      </c>
      <c r="N17" s="230">
        <v>0</v>
      </c>
      <c r="O17" s="43">
        <v>0</v>
      </c>
      <c r="P17" s="43">
        <v>0</v>
      </c>
      <c r="Q17" s="38">
        <f>BDS_Deliveries_Qtr!F17</f>
        <v>0</v>
      </c>
      <c r="R17" s="38">
        <f>BDS_Deliveries_Qtr!K17</f>
        <v>0</v>
      </c>
      <c r="S17" s="38">
        <f>BDS_Deliveries_Qtr!P17</f>
        <v>0</v>
      </c>
      <c r="T17" s="38">
        <f>BDS_Deliveries_Qtr!U17</f>
        <v>0</v>
      </c>
      <c r="U17" s="38">
        <f>BDS_Deliveries_Qtr!Z17</f>
        <v>0</v>
      </c>
      <c r="V17" s="38">
        <f>BDS_Deliveries_Qtr!AE17</f>
        <v>0</v>
      </c>
      <c r="W17" s="38">
        <f>BDS_Deliveries_Qtr!AJ17</f>
        <v>0</v>
      </c>
      <c r="X17" s="38">
        <f>BDS_Deliveries_Qtr!AO17</f>
        <v>0</v>
      </c>
      <c r="Y17" s="38">
        <f>BDS_Deliveries_Qtr!AT17</f>
        <v>0</v>
      </c>
      <c r="Z17" s="37">
        <f>BDS_Deliveries_Qtr!AY17</f>
        <v>0</v>
      </c>
      <c r="AA17" s="38">
        <f>BDS_Deliveries_Qtr!BD17</f>
        <v>0</v>
      </c>
      <c r="AB17" s="38">
        <f>BDS_Driver_Annual!AB15</f>
        <v>0</v>
      </c>
      <c r="AC17" s="38">
        <f>BDS_Driver_Annual!AC15</f>
        <v>0</v>
      </c>
      <c r="AD17" s="38">
        <f>BDS_Driver_Annual!AD15</f>
        <v>0</v>
      </c>
      <c r="AE17" s="38">
        <f>BDS_Driver_Annual!AE15</f>
        <v>0</v>
      </c>
      <c r="AF17" s="38">
        <f>BDS_Driver_Annual!AF15</f>
        <v>0</v>
      </c>
    </row>
    <row r="18" spans="1:32">
      <c r="A18" s="1" t="str">
        <f>BDS_Deliveries_Qtr!A18</f>
        <v>T-45TS Goshawk</v>
      </c>
      <c r="B18" s="43">
        <v>16</v>
      </c>
      <c r="C18" s="43">
        <v>15</v>
      </c>
      <c r="D18" s="230">
        <v>14</v>
      </c>
      <c r="E18" s="43">
        <v>12</v>
      </c>
      <c r="F18" s="230">
        <v>7</v>
      </c>
      <c r="G18" s="43">
        <v>10</v>
      </c>
      <c r="H18" s="230">
        <v>13</v>
      </c>
      <c r="I18" s="43">
        <v>9</v>
      </c>
      <c r="J18" s="230">
        <v>7</v>
      </c>
      <c r="K18" s="43">
        <v>7</v>
      </c>
      <c r="L18" s="230">
        <v>0</v>
      </c>
      <c r="M18" s="43">
        <v>0</v>
      </c>
      <c r="N18" s="230">
        <v>0</v>
      </c>
      <c r="O18" s="43">
        <v>0</v>
      </c>
      <c r="P18" s="43">
        <v>0</v>
      </c>
      <c r="Q18" s="38">
        <f>BDS_Deliveries_Qtr!F18</f>
        <v>0</v>
      </c>
      <c r="R18" s="38">
        <f>BDS_Deliveries_Qtr!K18</f>
        <v>0</v>
      </c>
      <c r="S18" s="38">
        <f>BDS_Deliveries_Qtr!P18</f>
        <v>0</v>
      </c>
      <c r="T18" s="38">
        <f>BDS_Deliveries_Qtr!U18</f>
        <v>0</v>
      </c>
      <c r="U18" s="38">
        <f>BDS_Deliveries_Qtr!Z18</f>
        <v>0</v>
      </c>
      <c r="V18" s="38">
        <f>BDS_Deliveries_Qtr!AE18</f>
        <v>0</v>
      </c>
      <c r="W18" s="38">
        <f>BDS_Deliveries_Qtr!AJ18</f>
        <v>0</v>
      </c>
      <c r="X18" s="38">
        <f>BDS_Deliveries_Qtr!AO18</f>
        <v>0</v>
      </c>
      <c r="Y18" s="38">
        <f>BDS_Deliveries_Qtr!AT18</f>
        <v>0</v>
      </c>
      <c r="Z18" s="37">
        <f>BDS_Deliveries_Qtr!AY18</f>
        <v>0</v>
      </c>
      <c r="AA18" s="38">
        <f>BDS_Deliveries_Qtr!BD18</f>
        <v>0</v>
      </c>
      <c r="AB18" s="38">
        <f>BDS_Driver_Annual!AB16</f>
        <v>0</v>
      </c>
      <c r="AC18" s="38">
        <f>BDS_Driver_Annual!AC16</f>
        <v>0</v>
      </c>
      <c r="AD18" s="38">
        <f>BDS_Driver_Annual!AD16</f>
        <v>0</v>
      </c>
      <c r="AE18" s="38">
        <f>BDS_Driver_Annual!AE16</f>
        <v>0</v>
      </c>
      <c r="AF18" s="38">
        <f>BDS_Driver_Annual!AF16</f>
        <v>0</v>
      </c>
    </row>
    <row r="19" spans="1:32">
      <c r="A19" s="1" t="str">
        <f>BDS_Deliveries_Qtr!A19</f>
        <v>T-7A</v>
      </c>
      <c r="B19" s="43">
        <v>0</v>
      </c>
      <c r="C19" s="43">
        <v>0</v>
      </c>
      <c r="D19" s="230">
        <v>0</v>
      </c>
      <c r="E19" s="43">
        <v>0</v>
      </c>
      <c r="F19" s="230">
        <v>0</v>
      </c>
      <c r="G19" s="43">
        <v>0</v>
      </c>
      <c r="H19" s="230">
        <v>0</v>
      </c>
      <c r="I19" s="43">
        <v>0</v>
      </c>
      <c r="J19" s="43">
        <v>0</v>
      </c>
      <c r="K19" s="230">
        <v>0</v>
      </c>
      <c r="L19" s="43">
        <v>0</v>
      </c>
      <c r="M19" s="230">
        <v>0</v>
      </c>
      <c r="N19" s="43">
        <v>0</v>
      </c>
      <c r="O19" s="230">
        <v>0</v>
      </c>
      <c r="P19" s="43">
        <v>0</v>
      </c>
      <c r="Q19" s="38">
        <f>BDS_Deliveries_Qtr!F19</f>
        <v>0</v>
      </c>
      <c r="R19" s="38">
        <f>BDS_Deliveries_Qtr!K19</f>
        <v>0</v>
      </c>
      <c r="S19" s="38">
        <f>BDS_Deliveries_Qtr!P19</f>
        <v>0</v>
      </c>
      <c r="T19" s="38">
        <f>BDS_Deliveries_Qtr!U19</f>
        <v>0</v>
      </c>
      <c r="U19" s="38">
        <f>BDS_Deliveries_Qtr!Z19</f>
        <v>0</v>
      </c>
      <c r="V19" s="38">
        <f>BDS_Deliveries_Qtr!AE19</f>
        <v>0</v>
      </c>
      <c r="W19" s="38">
        <f>BDS_Deliveries_Qtr!AJ19</f>
        <v>0</v>
      </c>
      <c r="X19" s="38">
        <f>BDS_Deliveries_Qtr!AO19</f>
        <v>0</v>
      </c>
      <c r="Y19" s="38">
        <f>BDS_Deliveries_Qtr!AT19</f>
        <v>3</v>
      </c>
      <c r="Z19" s="37">
        <f>BDS_Deliveries_Qtr!AY19</f>
        <v>2</v>
      </c>
      <c r="AA19" s="38">
        <f>BDS_Deliveries_Qtr!BD19</f>
        <v>0</v>
      </c>
      <c r="AB19" s="38">
        <f>BDS_Driver_Annual!AB17</f>
        <v>20</v>
      </c>
      <c r="AC19" s="38">
        <f>BDS_Driver_Annual!AC17</f>
        <v>20</v>
      </c>
      <c r="AD19" s="38">
        <f>BDS_Driver_Annual!AD17</f>
        <v>20</v>
      </c>
      <c r="AE19" s="38">
        <f>BDS_Driver_Annual!AE17</f>
        <v>20</v>
      </c>
      <c r="AF19" s="38">
        <f>BDS_Driver_Annual!AF17</f>
        <v>20</v>
      </c>
    </row>
    <row r="20" spans="1:32">
      <c r="A20" s="1" t="str">
        <f>BDS_Deliveries_Qtr!A20</f>
        <v>MQ-25</v>
      </c>
      <c r="B20" s="43">
        <v>0</v>
      </c>
      <c r="C20" s="43">
        <v>0</v>
      </c>
      <c r="D20" s="230">
        <v>0</v>
      </c>
      <c r="E20" s="43">
        <v>0</v>
      </c>
      <c r="F20" s="230">
        <v>0</v>
      </c>
      <c r="G20" s="43">
        <v>0</v>
      </c>
      <c r="H20" s="230">
        <v>0</v>
      </c>
      <c r="I20" s="43">
        <v>0</v>
      </c>
      <c r="J20" s="43">
        <v>0</v>
      </c>
      <c r="K20" s="230">
        <v>0</v>
      </c>
      <c r="L20" s="43">
        <v>0</v>
      </c>
      <c r="M20" s="230">
        <v>0</v>
      </c>
      <c r="N20" s="43">
        <v>0</v>
      </c>
      <c r="O20" s="230">
        <v>0</v>
      </c>
      <c r="P20" s="43">
        <v>0</v>
      </c>
      <c r="Q20" s="38">
        <f>BDS_Deliveries_Qtr!F20</f>
        <v>0</v>
      </c>
      <c r="R20" s="38">
        <f>BDS_Deliveries_Qtr!K20</f>
        <v>0</v>
      </c>
      <c r="S20" s="38">
        <f>BDS_Deliveries_Qtr!P20</f>
        <v>0</v>
      </c>
      <c r="T20" s="38">
        <f>BDS_Deliveries_Qtr!U20</f>
        <v>0</v>
      </c>
      <c r="U20" s="38">
        <f>BDS_Deliveries_Qtr!Z20</f>
        <v>0</v>
      </c>
      <c r="V20" s="38">
        <f>BDS_Deliveries_Qtr!AE20</f>
        <v>0</v>
      </c>
      <c r="W20" s="38">
        <f>BDS_Deliveries_Qtr!AJ20</f>
        <v>0</v>
      </c>
      <c r="X20" s="38">
        <f>BDS_Deliveries_Qtr!AO20</f>
        <v>0</v>
      </c>
      <c r="Y20" s="38">
        <f>BDS_Deliveries_Qtr!AT20</f>
        <v>0</v>
      </c>
      <c r="Z20" s="37">
        <f>BDS_Deliveries_Qtr!AY20</f>
        <v>0</v>
      </c>
      <c r="AA20" s="38">
        <f>BDS_Deliveries_Qtr!BD20</f>
        <v>0</v>
      </c>
      <c r="AB20" s="38">
        <f>BDS_Driver_Annual!AB18</f>
        <v>15</v>
      </c>
      <c r="AC20" s="38">
        <f>BDS_Driver_Annual!AC18</f>
        <v>15</v>
      </c>
      <c r="AD20" s="38">
        <f>BDS_Driver_Annual!AD18</f>
        <v>15</v>
      </c>
      <c r="AE20" s="38">
        <f>BDS_Driver_Annual!AE18</f>
        <v>15</v>
      </c>
      <c r="AF20" s="38">
        <f>BDS_Driver_Annual!AF18</f>
        <v>15</v>
      </c>
    </row>
    <row r="21" spans="1:32">
      <c r="A21" s="1" t="str">
        <f>BDS_Deliveries_Qtr!A21</f>
        <v>MH-139</v>
      </c>
      <c r="B21" s="43">
        <v>0</v>
      </c>
      <c r="C21" s="43">
        <v>0</v>
      </c>
      <c r="D21" s="230">
        <v>0</v>
      </c>
      <c r="E21" s="43">
        <v>0</v>
      </c>
      <c r="F21" s="230">
        <v>0</v>
      </c>
      <c r="G21" s="43">
        <v>0</v>
      </c>
      <c r="H21" s="230">
        <v>0</v>
      </c>
      <c r="I21" s="43">
        <v>0</v>
      </c>
      <c r="J21" s="43">
        <v>0</v>
      </c>
      <c r="K21" s="230">
        <v>0</v>
      </c>
      <c r="L21" s="43">
        <v>0</v>
      </c>
      <c r="M21" s="230">
        <v>0</v>
      </c>
      <c r="N21" s="43">
        <v>0</v>
      </c>
      <c r="O21" s="230">
        <v>0</v>
      </c>
      <c r="P21" s="43">
        <v>0</v>
      </c>
      <c r="Q21" s="38">
        <f>BDS_Deliveries_Qtr!F21</f>
        <v>0</v>
      </c>
      <c r="R21" s="38">
        <f>BDS_Deliveries_Qtr!K21</f>
        <v>0</v>
      </c>
      <c r="S21" s="38">
        <f>BDS_Deliveries_Qtr!P21</f>
        <v>0</v>
      </c>
      <c r="T21" s="38">
        <f>BDS_Deliveries_Qtr!U21</f>
        <v>0</v>
      </c>
      <c r="U21" s="38">
        <f>BDS_Deliveries_Qtr!Z21</f>
        <v>0</v>
      </c>
      <c r="V21" s="38">
        <f>BDS_Deliveries_Qtr!AE21</f>
        <v>0</v>
      </c>
      <c r="W21" s="38">
        <f>BDS_Deliveries_Qtr!AJ21</f>
        <v>0</v>
      </c>
      <c r="X21" s="38">
        <f>BDS_Deliveries_Qtr!AO21</f>
        <v>4</v>
      </c>
      <c r="Y21" s="38">
        <f>BDS_Deliveries_Qtr!AT21</f>
        <v>2</v>
      </c>
      <c r="Z21" s="37">
        <f>BDS_Deliveries_Qtr!AY21</f>
        <v>6</v>
      </c>
      <c r="AA21" s="38">
        <f>BDS_Deliveries_Qtr!BD21</f>
        <v>9</v>
      </c>
      <c r="AB21" s="38">
        <f>BDS_Driver_Annual!AB19</f>
        <v>6</v>
      </c>
      <c r="AC21" s="38">
        <f>BDS_Driver_Annual!AC19</f>
        <v>6</v>
      </c>
      <c r="AD21" s="38">
        <f>BDS_Driver_Annual!AD19</f>
        <v>6</v>
      </c>
      <c r="AE21" s="38">
        <f>BDS_Driver_Annual!AE19</f>
        <v>6</v>
      </c>
      <c r="AF21" s="38">
        <f>BDS_Driver_Annual!AF19</f>
        <v>6</v>
      </c>
    </row>
    <row r="22" spans="1:32">
      <c r="A22" s="5" t="str">
        <f>BDS_Deliveries_Qtr!A22</f>
        <v>Network &amp; Space Systems</v>
      </c>
      <c r="B22" s="43"/>
      <c r="C22" s="43"/>
      <c r="D22" s="230"/>
      <c r="E22" s="43"/>
      <c r="F22" s="230"/>
      <c r="G22" s="43"/>
      <c r="H22" s="230"/>
      <c r="I22" s="43"/>
      <c r="J22" s="230"/>
      <c r="K22" s="43"/>
      <c r="L22" s="230"/>
      <c r="M22" s="43"/>
      <c r="N22" s="230"/>
      <c r="O22" s="43"/>
      <c r="P22" s="43"/>
      <c r="Q22" s="38"/>
      <c r="R22" s="38"/>
      <c r="S22" s="38"/>
      <c r="T22" s="38"/>
      <c r="U22" s="38"/>
      <c r="V22" s="38"/>
      <c r="W22" s="38"/>
      <c r="X22" s="38"/>
      <c r="Y22" s="38"/>
      <c r="Z22" s="37"/>
      <c r="AA22" s="38"/>
      <c r="AB22" s="38"/>
      <c r="AC22" s="38"/>
      <c r="AD22" s="38"/>
      <c r="AE22" s="38"/>
      <c r="AF22" s="38"/>
    </row>
    <row r="23" spans="1:32">
      <c r="A23" s="1" t="str">
        <f>BDS_Deliveries_Qtr!A23</f>
        <v>Commercial and Civil Satellites</v>
      </c>
      <c r="B23" s="43">
        <v>0</v>
      </c>
      <c r="C23" s="43">
        <v>0</v>
      </c>
      <c r="D23" s="230">
        <v>0</v>
      </c>
      <c r="E23" s="43">
        <v>0</v>
      </c>
      <c r="F23" s="230">
        <v>0</v>
      </c>
      <c r="G23" s="43">
        <v>0</v>
      </c>
      <c r="H23" s="230">
        <v>4</v>
      </c>
      <c r="I23" s="43">
        <v>3</v>
      </c>
      <c r="J23" s="230">
        <v>1</v>
      </c>
      <c r="K23" s="43">
        <v>3</v>
      </c>
      <c r="L23" s="230">
        <v>3</v>
      </c>
      <c r="M23" s="43">
        <v>1</v>
      </c>
      <c r="N23" s="230">
        <v>3</v>
      </c>
      <c r="O23" s="43">
        <v>3</v>
      </c>
      <c r="P23" s="43">
        <v>5</v>
      </c>
      <c r="Q23" s="38">
        <f>BDS_Deliveries_Qtr!F23</f>
        <v>3</v>
      </c>
      <c r="R23" s="38">
        <f>BDS_Deliveries_Qtr!K23</f>
        <v>5</v>
      </c>
      <c r="S23" s="38">
        <f>BDS_Deliveries_Qtr!P23</f>
        <v>3</v>
      </c>
      <c r="T23" s="38">
        <f>BDS_Deliveries_Qtr!U23</f>
        <v>1</v>
      </c>
      <c r="U23" s="38">
        <f>BDS_Deliveries_Qtr!Z23</f>
        <v>2</v>
      </c>
      <c r="V23" s="38">
        <f>BDS_Deliveries_Qtr!AE23</f>
        <v>2</v>
      </c>
      <c r="W23" s="38">
        <f>BDS_Deliveries_Qtr!AJ23</f>
        <v>0</v>
      </c>
      <c r="X23" s="38">
        <f>BDS_Deliveries_Qtr!AO23</f>
        <v>6</v>
      </c>
      <c r="Y23" s="38">
        <f>BDS_Deliveries_Qtr!AT23</f>
        <v>5</v>
      </c>
      <c r="Z23" s="37">
        <f>BDS_Deliveries_Qtr!AY23</f>
        <v>2</v>
      </c>
      <c r="AA23" s="38">
        <f>BDS_Deliveries_Qtr!BD23</f>
        <v>4</v>
      </c>
      <c r="AB23" s="43">
        <v>2</v>
      </c>
      <c r="AC23" s="43">
        <v>3</v>
      </c>
      <c r="AD23" s="43">
        <v>3</v>
      </c>
      <c r="AE23" s="43">
        <v>3</v>
      </c>
      <c r="AF23" s="43">
        <v>3</v>
      </c>
    </row>
    <row r="24" spans="1:32">
      <c r="A24" s="1" t="str">
        <f>BDS_Deliveries_Qtr!A24</f>
        <v>Military Satellites</v>
      </c>
      <c r="B24" s="43">
        <v>0</v>
      </c>
      <c r="C24" s="43">
        <v>7</v>
      </c>
      <c r="D24" s="230">
        <v>6</v>
      </c>
      <c r="E24" s="43">
        <f>1+3</f>
        <v>4</v>
      </c>
      <c r="F24" s="230">
        <v>2</v>
      </c>
      <c r="G24" s="43">
        <v>3</v>
      </c>
      <c r="H24" s="230">
        <v>0</v>
      </c>
      <c r="I24" s="43">
        <v>1</v>
      </c>
      <c r="J24" s="230">
        <v>0</v>
      </c>
      <c r="K24" s="43">
        <v>3</v>
      </c>
      <c r="L24" s="230">
        <v>1</v>
      </c>
      <c r="M24" s="43">
        <v>3</v>
      </c>
      <c r="N24" s="230">
        <v>7</v>
      </c>
      <c r="O24" s="43">
        <v>4</v>
      </c>
      <c r="P24" s="43">
        <v>0</v>
      </c>
      <c r="Q24" s="38">
        <f>BDS_Deliveries_Qtr!F24</f>
        <v>1</v>
      </c>
      <c r="R24" s="38">
        <f>BDS_Deliveries_Qtr!K24</f>
        <v>2</v>
      </c>
      <c r="S24" s="38">
        <f>BDS_Deliveries_Qtr!P24</f>
        <v>1</v>
      </c>
      <c r="T24" s="38">
        <f>BDS_Deliveries_Qtr!U24</f>
        <v>1</v>
      </c>
      <c r="U24" s="38">
        <f>BDS_Deliveries_Qtr!Z24</f>
        <v>0</v>
      </c>
      <c r="V24" s="38">
        <f>BDS_Deliveries_Qtr!AE24</f>
        <v>0</v>
      </c>
      <c r="W24" s="38">
        <f>BDS_Deliveries_Qtr!AJ24</f>
        <v>0</v>
      </c>
      <c r="X24" s="38">
        <f>BDS_Deliveries_Qtr!AO24</f>
        <v>1</v>
      </c>
      <c r="Y24" s="38">
        <f>BDS_Deliveries_Qtr!AT24</f>
        <v>0</v>
      </c>
      <c r="Z24" s="37">
        <f>BDS_Deliveries_Qtr!AY24</f>
        <v>0</v>
      </c>
      <c r="AA24" s="38">
        <f>BDS_Deliveries_Qtr!BD24</f>
        <v>0</v>
      </c>
      <c r="AB24" s="43">
        <v>1</v>
      </c>
      <c r="AC24" s="43">
        <v>2</v>
      </c>
      <c r="AD24" s="43">
        <v>2</v>
      </c>
      <c r="AE24" s="43">
        <v>2</v>
      </c>
      <c r="AF24" s="43">
        <v>2</v>
      </c>
    </row>
    <row r="25" spans="1:32">
      <c r="A25" s="1" t="str">
        <f>BDS_Deliveries_Qtr!A25</f>
        <v>Delta II</v>
      </c>
      <c r="B25" s="43">
        <v>0</v>
      </c>
      <c r="C25" s="43">
        <v>12</v>
      </c>
      <c r="D25" s="230">
        <v>3</v>
      </c>
      <c r="E25" s="43">
        <v>4</v>
      </c>
      <c r="F25" s="230">
        <v>4</v>
      </c>
      <c r="G25" s="43">
        <v>2</v>
      </c>
      <c r="H25" s="230">
        <v>2</v>
      </c>
      <c r="I25" s="43">
        <v>3</v>
      </c>
      <c r="J25" s="230">
        <v>2</v>
      </c>
      <c r="K25" s="43">
        <v>1</v>
      </c>
      <c r="L25" s="230">
        <v>1</v>
      </c>
      <c r="M25" s="43">
        <v>0</v>
      </c>
      <c r="N25" s="230">
        <v>0</v>
      </c>
      <c r="O25" s="43">
        <v>0</v>
      </c>
      <c r="P25" s="43">
        <v>0</v>
      </c>
      <c r="Q25" s="38">
        <f>BDS_Deliveries_Qtr!F25</f>
        <v>0</v>
      </c>
      <c r="R25" s="38">
        <f>BDS_Deliveries_Qtr!K25</f>
        <v>0</v>
      </c>
      <c r="S25" s="38">
        <f>BDS_Deliveries_Qtr!P25</f>
        <v>0</v>
      </c>
      <c r="T25" s="38">
        <f>BDS_Deliveries_Qtr!U25</f>
        <v>0</v>
      </c>
      <c r="U25" s="38">
        <f>BDS_Deliveries_Qtr!Z25</f>
        <v>0</v>
      </c>
      <c r="V25" s="38">
        <f>BDS_Deliveries_Qtr!AE25</f>
        <v>0</v>
      </c>
      <c r="W25" s="38">
        <f>BDS_Deliveries_Qtr!AJ25</f>
        <v>0</v>
      </c>
      <c r="X25" s="38">
        <f>BDS_Deliveries_Qtr!AO25</f>
        <v>0</v>
      </c>
      <c r="Y25" s="38">
        <f>BDS_Deliveries_Qtr!AT25</f>
        <v>0</v>
      </c>
      <c r="Z25" s="37">
        <f>BDS_Deliveries_Qtr!AY25</f>
        <v>0</v>
      </c>
      <c r="AA25" s="38">
        <f>BDS_Deliveries_Qtr!BD25</f>
        <v>0</v>
      </c>
      <c r="AB25" s="43">
        <v>0</v>
      </c>
      <c r="AC25" s="43">
        <v>1</v>
      </c>
      <c r="AD25" s="43">
        <v>1</v>
      </c>
      <c r="AE25" s="43">
        <v>1</v>
      </c>
      <c r="AF25" s="43">
        <v>1</v>
      </c>
    </row>
    <row r="26" spans="1:32">
      <c r="A26" s="1" t="str">
        <f>BDS_Deliveries_Qtr!A26</f>
        <v>Delta IV</v>
      </c>
      <c r="B26" s="43">
        <v>0</v>
      </c>
      <c r="C26" s="43">
        <v>0</v>
      </c>
      <c r="D26" s="230">
        <v>1</v>
      </c>
      <c r="E26" s="43">
        <v>2</v>
      </c>
      <c r="F26" s="230">
        <v>0</v>
      </c>
      <c r="G26" s="43">
        <v>0</v>
      </c>
      <c r="H26" s="230">
        <v>3</v>
      </c>
      <c r="I26" s="43">
        <v>0</v>
      </c>
      <c r="J26" s="230">
        <v>0</v>
      </c>
      <c r="K26" s="43">
        <v>1</v>
      </c>
      <c r="L26" s="230">
        <v>1</v>
      </c>
      <c r="M26" s="43">
        <v>0</v>
      </c>
      <c r="N26" s="230">
        <v>0</v>
      </c>
      <c r="O26" s="43">
        <v>0</v>
      </c>
      <c r="P26" s="43">
        <v>0</v>
      </c>
      <c r="Q26" s="38">
        <f>BDS_Deliveries_Qtr!F26</f>
        <v>0</v>
      </c>
      <c r="R26" s="38">
        <f>BDS_Deliveries_Qtr!K26</f>
        <v>0</v>
      </c>
      <c r="S26" s="38">
        <f>BDS_Deliveries_Qtr!P26</f>
        <v>0</v>
      </c>
      <c r="T26" s="38">
        <f>BDS_Deliveries_Qtr!U26</f>
        <v>0</v>
      </c>
      <c r="U26" s="38">
        <f>BDS_Deliveries_Qtr!Z26</f>
        <v>0</v>
      </c>
      <c r="V26" s="38">
        <f>BDS_Deliveries_Qtr!AE26</f>
        <v>0</v>
      </c>
      <c r="W26" s="38">
        <f>BDS_Deliveries_Qtr!AJ26</f>
        <v>0</v>
      </c>
      <c r="X26" s="38">
        <f>BDS_Deliveries_Qtr!AO26</f>
        <v>0</v>
      </c>
      <c r="Y26" s="38">
        <f>BDS_Deliveries_Qtr!AT26</f>
        <v>0</v>
      </c>
      <c r="Z26" s="37">
        <f>BDS_Deliveries_Qtr!AY26</f>
        <v>0</v>
      </c>
      <c r="AA26" s="38">
        <f>BDS_Deliveries_Qtr!BD26</f>
        <v>0</v>
      </c>
      <c r="AB26" s="43">
        <v>0</v>
      </c>
      <c r="AC26" s="43">
        <v>1</v>
      </c>
      <c r="AD26" s="43">
        <v>1</v>
      </c>
      <c r="AE26" s="43">
        <v>1</v>
      </c>
      <c r="AF26" s="43">
        <v>1</v>
      </c>
    </row>
    <row r="27" spans="1:32">
      <c r="A27" s="14" t="s">
        <v>11</v>
      </c>
      <c r="B27" s="40">
        <f t="shared" ref="B27:P27" si="0">SUM(B6:B26)</f>
        <v>91</v>
      </c>
      <c r="C27" s="40">
        <f t="shared" si="0"/>
        <v>106</v>
      </c>
      <c r="D27" s="239">
        <f t="shared" si="0"/>
        <v>108</v>
      </c>
      <c r="E27" s="40">
        <f t="shared" si="0"/>
        <v>87</v>
      </c>
      <c r="F27" s="239">
        <f t="shared" si="0"/>
        <v>86</v>
      </c>
      <c r="G27" s="40">
        <f t="shared" si="0"/>
        <v>93</v>
      </c>
      <c r="H27" s="239">
        <f t="shared" si="0"/>
        <v>126</v>
      </c>
      <c r="I27" s="40">
        <f t="shared" si="0"/>
        <v>118</v>
      </c>
      <c r="J27" s="239">
        <f t="shared" si="0"/>
        <v>102</v>
      </c>
      <c r="K27" s="40">
        <f t="shared" si="0"/>
        <v>129</v>
      </c>
      <c r="L27" s="239">
        <f t="shared" si="0"/>
        <v>121</v>
      </c>
      <c r="M27" s="40">
        <f t="shared" si="0"/>
        <v>119</v>
      </c>
      <c r="N27" s="239">
        <f t="shared" si="0"/>
        <v>154</v>
      </c>
      <c r="O27" s="40">
        <f t="shared" si="0"/>
        <v>171</v>
      </c>
      <c r="P27" s="40">
        <f t="shared" si="0"/>
        <v>221</v>
      </c>
      <c r="Q27" s="179">
        <f>BDS_Deliveries_Qtr!F27</f>
        <v>190</v>
      </c>
      <c r="R27" s="179">
        <f>BDS_Deliveries_Qtr!K27</f>
        <v>185</v>
      </c>
      <c r="S27" s="179">
        <f>BDS_Deliveries_Qtr!P27</f>
        <v>174</v>
      </c>
      <c r="T27" s="179">
        <f>BDS_Deliveries_Qtr!U27</f>
        <v>98</v>
      </c>
      <c r="U27" s="179">
        <f>BDS_Deliveries_Qtr!Z27</f>
        <v>231</v>
      </c>
      <c r="V27" s="179">
        <f>BDS_Deliveries_Qtr!AE27</f>
        <v>156</v>
      </c>
      <c r="W27" s="179">
        <f>BDS_Deliveries_Qtr!AJ27</f>
        <v>169</v>
      </c>
      <c r="X27" s="179">
        <f>BDS_Deliveries_Qtr!AO27</f>
        <v>167</v>
      </c>
      <c r="Y27" s="179">
        <f>BDS_Deliveries_Qtr!AT27</f>
        <v>162</v>
      </c>
      <c r="Z27" s="179">
        <f>BDS_Deliveries_Qtr!AY27</f>
        <v>112</v>
      </c>
      <c r="AA27" s="179">
        <f>BDS_Deliveries_Qtr!BD27</f>
        <v>131</v>
      </c>
      <c r="AB27" s="108">
        <f t="shared" ref="AB27:AC27" si="1">SUM(AB6:AB26)</f>
        <v>214</v>
      </c>
      <c r="AC27" s="108">
        <f t="shared" si="1"/>
        <v>218</v>
      </c>
      <c r="AD27" s="108">
        <f t="shared" ref="AD27" si="2">SUM(AD6:AD26)</f>
        <v>218</v>
      </c>
      <c r="AE27" s="108">
        <f t="shared" ref="AE27" si="3">SUM(AE6:AE26)</f>
        <v>218</v>
      </c>
      <c r="AF27" s="108">
        <f t="shared" ref="AF27" si="4">SUM(AF6:AF26)</f>
        <v>218</v>
      </c>
    </row>
  </sheetData>
  <pageMargins left="0.7" right="0.7" top="0.75" bottom="0.75" header="0.3" footer="0.3"/>
  <pageSetup orientation="portrait" horizontalDpi="300" verticalDpi="300"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5"/>
  <dimension ref="A1:BD27"/>
  <sheetViews>
    <sheetView showGridLines="0" zoomScaleNormal="100" workbookViewId="0">
      <pane xSplit="1" ySplit="2" topLeftCell="AR3" activePane="bottomRight" state="frozen"/>
      <selection activeCell="A7" sqref="A7"/>
      <selection pane="topRight" activeCell="A7" sqref="A7"/>
      <selection pane="bottomLeft" activeCell="A7" sqref="A7"/>
      <selection pane="bottomRight" activeCell="BC27" sqref="BC27"/>
    </sheetView>
  </sheetViews>
  <sheetFormatPr defaultRowHeight="14.5" outlineLevelCol="1"/>
  <cols>
    <col min="1" max="1" width="48" customWidth="1"/>
    <col min="2" max="5" width="12.1796875" style="26" hidden="1" customWidth="1" outlineLevel="1"/>
    <col min="6" max="6" width="12.1796875" style="26" customWidth="1" collapsed="1"/>
    <col min="7" max="10" width="12.1796875" style="26" hidden="1" customWidth="1" outlineLevel="1"/>
    <col min="11" max="11" width="12.1796875" style="26" customWidth="1" collapsed="1"/>
    <col min="12" max="15" width="12.1796875" style="26" hidden="1" customWidth="1" outlineLevel="1"/>
    <col min="16" max="16" width="12.1796875" style="26" customWidth="1" collapsed="1"/>
    <col min="17" max="20" width="12.1796875" style="26" hidden="1" customWidth="1" outlineLevel="1"/>
    <col min="21" max="21" width="12.1796875" style="26" customWidth="1" collapsed="1"/>
    <col min="22" max="25" width="12.1796875" style="26" hidden="1" customWidth="1" outlineLevel="1"/>
    <col min="26" max="26" width="12.1796875" style="26" customWidth="1" collapsed="1"/>
    <col min="27" max="30" width="12.1796875" style="26" customWidth="1" outlineLevel="1"/>
    <col min="31" max="31" width="12.1796875" style="26" customWidth="1"/>
    <col min="32" max="35" width="12.1796875" style="26" customWidth="1" outlineLevel="1"/>
    <col min="36" max="36" width="12.1796875" style="26" customWidth="1"/>
    <col min="37" max="40" width="12.1796875" style="26" customWidth="1" outlineLevel="1"/>
    <col min="41" max="41" width="12.1796875" style="26" customWidth="1"/>
    <col min="42" max="42" width="12.1796875" style="26" customWidth="1" outlineLevel="1"/>
    <col min="43" max="45" width="8.7265625" customWidth="1" outlineLevel="1"/>
    <col min="47" max="47" width="12.1796875" style="26" customWidth="1" outlineLevel="1"/>
    <col min="48" max="50" width="8.7265625" customWidth="1" outlineLevel="1"/>
    <col min="52" max="55" width="8.81640625" customWidth="1" outlineLevel="1"/>
  </cols>
  <sheetData>
    <row r="1" spans="1:56">
      <c r="A1" s="15" t="s">
        <v>326</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row>
    <row r="2" spans="1:56">
      <c r="B2" s="101" t="str">
        <f>Income_Statement_Qtr!B2</f>
        <v>1Q15A</v>
      </c>
      <c r="C2" s="101" t="str">
        <f>Income_Statement_Qtr!C2</f>
        <v>2Q15A</v>
      </c>
      <c r="D2" s="101" t="str">
        <f>Income_Statement_Qtr!D2</f>
        <v>3Q15A</v>
      </c>
      <c r="E2" s="101" t="str">
        <f>Income_Statement_Qtr!E2</f>
        <v>4Q15A</v>
      </c>
      <c r="F2" s="103" t="str">
        <f>Income_Statement_Qtr!F2</f>
        <v>CY2015A</v>
      </c>
      <c r="G2" s="101" t="str">
        <f>Income_Statement_Qtr!G2</f>
        <v>1Q16A</v>
      </c>
      <c r="H2" s="101" t="str">
        <f>Income_Statement_Qtr!H2</f>
        <v>2Q16A</v>
      </c>
      <c r="I2" s="101" t="str">
        <f>Income_Statement_Qtr!I2</f>
        <v>3Q16A</v>
      </c>
      <c r="J2" s="101" t="str">
        <f>Income_Statement_Qtr!J2</f>
        <v>4Q16A</v>
      </c>
      <c r="K2" s="103" t="str">
        <f>Income_Statement_Qtr!K2</f>
        <v>CY2016A</v>
      </c>
      <c r="L2" s="101" t="str">
        <f>Income_Statement_Qtr!L2</f>
        <v>1Q17A</v>
      </c>
      <c r="M2" s="101" t="str">
        <f>Income_Statement_Qtr!M2</f>
        <v>2Q17A</v>
      </c>
      <c r="N2" s="101" t="str">
        <f>Income_Statement_Qtr!N2</f>
        <v>3Q17A</v>
      </c>
      <c r="O2" s="101" t="str">
        <f>Income_Statement_Qtr!O2</f>
        <v>4Q17A</v>
      </c>
      <c r="P2" s="103" t="str">
        <f>Income_Statement_Qtr!P2</f>
        <v>CY2017A</v>
      </c>
      <c r="Q2" s="101" t="str">
        <f>Income_Statement_Qtr!Q2</f>
        <v>1Q18A</v>
      </c>
      <c r="R2" s="101" t="str">
        <f>Income_Statement_Qtr!R2</f>
        <v>2Q18A</v>
      </c>
      <c r="S2" s="101" t="str">
        <f>Income_Statement_Qtr!S2</f>
        <v>3Q18A</v>
      </c>
      <c r="T2" s="101" t="str">
        <f>Income_Statement_Qtr!T2</f>
        <v>4Q18A</v>
      </c>
      <c r="U2" s="103" t="str">
        <f>Income_Statement_Qtr!U2</f>
        <v>CY2018A</v>
      </c>
      <c r="V2" s="101" t="str">
        <f>Income_Statement_Qtr!V2</f>
        <v>1Q19A</v>
      </c>
      <c r="W2" s="101" t="str">
        <f>Income_Statement_Qtr!W2</f>
        <v>2Q19A</v>
      </c>
      <c r="X2" s="101" t="str">
        <f>Income_Statement_Qtr!X2</f>
        <v>3Q19A</v>
      </c>
      <c r="Y2" s="101" t="str">
        <f>Income_Statement_Qtr!Y2</f>
        <v>4Q19A</v>
      </c>
      <c r="Z2" s="103" t="str">
        <f>Income_Statement_Qtr!Z2</f>
        <v>CY2019A</v>
      </c>
      <c r="AA2" s="101" t="str">
        <f>Income_Statement_Qtr!AA2</f>
        <v>1Q20A</v>
      </c>
      <c r="AB2" s="101" t="str">
        <f>Income_Statement_Qtr!AB2</f>
        <v>2Q20A</v>
      </c>
      <c r="AC2" s="101" t="str">
        <f>Income_Statement_Qtr!AC2</f>
        <v>3Q20A</v>
      </c>
      <c r="AD2" s="101" t="str">
        <f>Income_Statement_Qtr!AD2</f>
        <v>4Q20A</v>
      </c>
      <c r="AE2" s="103" t="str">
        <f>Income_Statement_Qtr!AE2</f>
        <v>CY2020E</v>
      </c>
      <c r="AF2" s="101" t="str">
        <f>Income_Statement_Qtr!AF2</f>
        <v>1Q21A</v>
      </c>
      <c r="AG2" s="101" t="str">
        <f>Income_Statement_Qtr!AG2</f>
        <v>2Q21A</v>
      </c>
      <c r="AH2" s="101" t="str">
        <f>Income_Statement_Qtr!AH2</f>
        <v>3Q21A</v>
      </c>
      <c r="AI2" s="101" t="str">
        <f>Income_Statement_Qtr!AI2</f>
        <v>4Q21A</v>
      </c>
      <c r="AJ2" s="103" t="str">
        <f>Income_Statement_Qtr!AJ2</f>
        <v>CY2021A</v>
      </c>
      <c r="AK2" s="101" t="str">
        <f>Income_Statement_Qtr!AK2</f>
        <v>1Q22A</v>
      </c>
      <c r="AL2" s="101" t="str">
        <f>Income_Statement_Qtr!AL2</f>
        <v>2Q22A</v>
      </c>
      <c r="AM2" s="101" t="str">
        <f>Income_Statement_Qtr!AM2</f>
        <v>3Q22A</v>
      </c>
      <c r="AN2" s="101" t="str">
        <f>Income_Statement_Qtr!AN2</f>
        <v>4Q22A</v>
      </c>
      <c r="AO2" s="103" t="str">
        <f>Income_Statement_Qtr!AO2</f>
        <v>CY2022A</v>
      </c>
      <c r="AP2" s="101" t="str">
        <f>Income_Statement_Qtr!AP2</f>
        <v>1Q23A</v>
      </c>
      <c r="AQ2" s="101" t="str">
        <f>Income_Statement_Qtr!AQ2</f>
        <v>2Q23A</v>
      </c>
      <c r="AR2" s="101" t="str">
        <f>Income_Statement_Qtr!AR2</f>
        <v>3Q23A</v>
      </c>
      <c r="AS2" s="101" t="str">
        <f>Income_Statement_Qtr!AS2</f>
        <v>4Q23A</v>
      </c>
      <c r="AT2" s="103" t="str">
        <f>Income_Statement_Qtr!AT2</f>
        <v>CY2023A</v>
      </c>
      <c r="AU2" s="101" t="str">
        <f>Income_Statement_Qtr!AU2</f>
        <v>1Q24A</v>
      </c>
      <c r="AV2" s="101" t="str">
        <f>Income_Statement_Qtr!AV2</f>
        <v>2Q24A</v>
      </c>
      <c r="AW2" s="101" t="str">
        <f>Income_Statement_Qtr!AW2</f>
        <v>3Q24A</v>
      </c>
      <c r="AX2" s="101" t="str">
        <f>Income_Statement_Qtr!AX2</f>
        <v>4Q24A</v>
      </c>
      <c r="AY2" s="103" t="str">
        <f>Income_Statement_Qtr!AY2</f>
        <v>CY2024A</v>
      </c>
      <c r="AZ2" s="101" t="str">
        <f>Income_Statement_Qtr!AZ2</f>
        <v>1Q25A</v>
      </c>
      <c r="BA2" s="101" t="str">
        <f>Income_Statement_Qtr!BA2</f>
        <v>2Q25A</v>
      </c>
      <c r="BB2" s="101" t="str">
        <f>Income_Statement_Qtr!BB2</f>
        <v>3Q25A</v>
      </c>
      <c r="BC2" s="101" t="str">
        <f>Income_Statement_Qtr!BC2</f>
        <v>4Q25A</v>
      </c>
      <c r="BD2" s="103" t="str">
        <f>Income_Statement_Qtr!BD2</f>
        <v>CY2025A</v>
      </c>
    </row>
    <row r="3" spans="1:56">
      <c r="A3" s="9" t="s">
        <v>3</v>
      </c>
      <c r="B3" s="92"/>
      <c r="C3" s="92"/>
      <c r="D3" s="92"/>
      <c r="E3" s="92"/>
      <c r="F3" s="93"/>
      <c r="G3" s="92"/>
      <c r="H3" s="92"/>
      <c r="I3" s="92"/>
      <c r="J3" s="92"/>
      <c r="K3" s="93"/>
      <c r="L3" s="92"/>
      <c r="M3" s="92"/>
      <c r="N3" s="92"/>
      <c r="O3" s="92"/>
      <c r="P3" s="93"/>
      <c r="Q3" s="92"/>
      <c r="R3" s="92"/>
      <c r="S3" s="92"/>
      <c r="T3" s="92"/>
      <c r="U3" s="93"/>
      <c r="V3" s="92"/>
      <c r="W3" s="92"/>
      <c r="X3" s="92"/>
      <c r="Y3" s="92"/>
      <c r="Z3" s="93"/>
      <c r="AA3" s="92"/>
      <c r="AB3" s="92"/>
      <c r="AC3" s="92"/>
      <c r="AD3" s="92"/>
      <c r="AE3" s="93"/>
      <c r="AF3" s="92"/>
      <c r="AG3" s="92"/>
      <c r="AH3" s="92"/>
      <c r="AI3" s="92"/>
      <c r="AJ3" s="93"/>
      <c r="AK3" s="92"/>
      <c r="AL3" s="92"/>
      <c r="AM3" s="92"/>
      <c r="AN3" s="92"/>
      <c r="AO3" s="93"/>
      <c r="AP3" s="92"/>
      <c r="AQ3" s="92"/>
      <c r="AR3" s="92"/>
      <c r="AS3" s="92"/>
      <c r="AT3" s="93"/>
      <c r="AU3" s="92"/>
      <c r="AV3" s="92"/>
      <c r="AW3" s="92"/>
      <c r="AX3" s="92"/>
      <c r="AY3" s="93"/>
      <c r="AZ3" s="92"/>
      <c r="BA3" s="92"/>
      <c r="BB3" s="92"/>
      <c r="BC3" s="92"/>
      <c r="BD3" s="93"/>
    </row>
    <row r="4" spans="1:56">
      <c r="F4" s="23"/>
      <c r="K4" s="23"/>
      <c r="P4" s="23"/>
      <c r="U4" s="23"/>
      <c r="Z4" s="23"/>
      <c r="AE4" s="23"/>
      <c r="AJ4" s="23"/>
      <c r="AO4" s="23"/>
      <c r="AQ4" s="26"/>
      <c r="AR4" s="26"/>
      <c r="AS4" s="26"/>
      <c r="AT4" s="23"/>
      <c r="AV4" s="26"/>
      <c r="AX4" s="26"/>
      <c r="AY4" s="23"/>
      <c r="AZ4" s="26"/>
      <c r="BA4" s="26"/>
      <c r="BB4" s="26"/>
      <c r="BC4" s="26"/>
      <c r="BD4" s="23"/>
    </row>
    <row r="5" spans="1:56">
      <c r="A5" s="5" t="s">
        <v>302</v>
      </c>
      <c r="F5" s="23"/>
      <c r="K5" s="23"/>
      <c r="P5" s="23"/>
      <c r="U5" s="23"/>
      <c r="Z5" s="23"/>
      <c r="AE5" s="23"/>
      <c r="AJ5" s="23"/>
      <c r="AO5" s="23"/>
      <c r="AQ5" s="26"/>
      <c r="AR5" s="26"/>
      <c r="AS5" s="26"/>
      <c r="AT5" s="23"/>
      <c r="AV5" s="26"/>
      <c r="AX5" s="26"/>
      <c r="AY5" s="23"/>
      <c r="AZ5" s="26"/>
      <c r="BA5" s="26"/>
      <c r="BB5" s="26"/>
      <c r="BC5" s="26"/>
      <c r="BD5" s="23"/>
    </row>
    <row r="6" spans="1:56">
      <c r="A6" s="1" t="s">
        <v>313</v>
      </c>
      <c r="B6" s="41">
        <v>6</v>
      </c>
      <c r="C6" s="41">
        <v>6</v>
      </c>
      <c r="D6" s="41">
        <v>6</v>
      </c>
      <c r="E6" s="22">
        <f t="shared" ref="E6:E26" si="0">+F6-SUM(B6,C6,D6)</f>
        <v>5</v>
      </c>
      <c r="F6" s="43">
        <v>23</v>
      </c>
      <c r="G6" s="41">
        <v>7</v>
      </c>
      <c r="H6" s="41">
        <v>8</v>
      </c>
      <c r="I6" s="41">
        <v>10</v>
      </c>
      <c r="J6" s="22">
        <f t="shared" ref="J6:J26" si="1">+K6-SUM(G6,H6,I6)</f>
        <v>6</v>
      </c>
      <c r="K6" s="43">
        <v>31</v>
      </c>
      <c r="L6" s="41">
        <v>3</v>
      </c>
      <c r="M6" s="41">
        <v>2</v>
      </c>
      <c r="N6" s="41">
        <v>3</v>
      </c>
      <c r="O6" s="22">
        <f t="shared" ref="O6:O26" si="2">+P6-SUM(L6,M6,N6)</f>
        <v>3</v>
      </c>
      <c r="P6" s="43">
        <v>11</v>
      </c>
      <c r="Q6" s="41">
        <v>0</v>
      </c>
      <c r="R6" s="41">
        <v>0</v>
      </c>
      <c r="S6" s="41">
        <v>0</v>
      </c>
      <c r="T6" s="22">
        <f t="shared" ref="T6:T26" si="3">+U6-SUM(Q6,R6,S6)</f>
        <v>0</v>
      </c>
      <c r="U6" s="43">
        <v>0</v>
      </c>
      <c r="V6" s="41">
        <v>6</v>
      </c>
      <c r="W6" s="41">
        <v>4</v>
      </c>
      <c r="X6" s="41">
        <v>17</v>
      </c>
      <c r="Y6" s="22">
        <f t="shared" ref="Y6:Y26" si="4">+Z6-SUM(V6,W6,X6)</f>
        <v>10</v>
      </c>
      <c r="Z6" s="43">
        <v>37</v>
      </c>
      <c r="AA6" s="41">
        <v>2</v>
      </c>
      <c r="AB6" s="41">
        <v>9</v>
      </c>
      <c r="AC6" s="41">
        <v>7</v>
      </c>
      <c r="AD6" s="22">
        <f t="shared" ref="AD6:AD18" si="5">+AE6-SUM(AA6,AB6,AC6)</f>
        <v>1</v>
      </c>
      <c r="AE6" s="43">
        <v>19</v>
      </c>
      <c r="AF6" s="41">
        <v>9</v>
      </c>
      <c r="AG6" s="41">
        <v>6</v>
      </c>
      <c r="AH6" s="41">
        <v>4</v>
      </c>
      <c r="AI6" s="22">
        <f t="shared" ref="AI6:AI18" si="6">+AJ6-SUM(AF6,AG6,AH6)</f>
        <v>8</v>
      </c>
      <c r="AJ6" s="43">
        <v>27</v>
      </c>
      <c r="AK6" s="41">
        <v>7</v>
      </c>
      <c r="AL6" s="41">
        <v>6</v>
      </c>
      <c r="AM6" s="41">
        <v>7</v>
      </c>
      <c r="AN6" s="22">
        <f t="shared" ref="AN6:AN18" si="7">+AO6-SUM(AK6,AL6,AM6)</f>
        <v>5</v>
      </c>
      <c r="AO6" s="43">
        <v>25</v>
      </c>
      <c r="AP6" s="41">
        <v>7</v>
      </c>
      <c r="AQ6" s="41">
        <v>5</v>
      </c>
      <c r="AR6" s="41">
        <v>5</v>
      </c>
      <c r="AS6" s="22">
        <f t="shared" ref="AS6:AS18" si="8">+AT6-SUM(AP6,AQ6,AR6)</f>
        <v>3</v>
      </c>
      <c r="AT6" s="43">
        <v>20</v>
      </c>
      <c r="AU6" s="41">
        <v>0</v>
      </c>
      <c r="AV6" s="41">
        <v>3</v>
      </c>
      <c r="AW6" s="41">
        <v>7</v>
      </c>
      <c r="AX6" s="22">
        <f t="shared" ref="AX6:AX18" si="9">+AY6-SUM(AU6,AV6,AW6)</f>
        <v>6</v>
      </c>
      <c r="AY6" s="43">
        <v>16</v>
      </c>
      <c r="AZ6" s="41">
        <v>4</v>
      </c>
      <c r="BA6" s="41">
        <v>2</v>
      </c>
      <c r="BB6" s="41">
        <v>8</v>
      </c>
      <c r="BC6" s="22">
        <f t="shared" ref="BC6:BC18" si="10">+BD6-SUM(AZ6,BA6,BB6)</f>
        <v>5</v>
      </c>
      <c r="BD6" s="43">
        <v>19</v>
      </c>
    </row>
    <row r="7" spans="1:56">
      <c r="A7" s="1" t="s">
        <v>314</v>
      </c>
      <c r="B7" s="41">
        <v>10</v>
      </c>
      <c r="C7" s="41">
        <v>13</v>
      </c>
      <c r="D7" s="41">
        <v>10</v>
      </c>
      <c r="E7" s="22">
        <f t="shared" si="0"/>
        <v>5</v>
      </c>
      <c r="F7" s="43">
        <v>38</v>
      </c>
      <c r="G7" s="41">
        <v>11</v>
      </c>
      <c r="H7" s="41">
        <v>7</v>
      </c>
      <c r="I7" s="41">
        <v>9</v>
      </c>
      <c r="J7" s="22">
        <f t="shared" si="1"/>
        <v>7</v>
      </c>
      <c r="K7" s="43">
        <v>34</v>
      </c>
      <c r="L7" s="41">
        <v>13</v>
      </c>
      <c r="M7" s="41">
        <v>15</v>
      </c>
      <c r="N7" s="41">
        <v>15</v>
      </c>
      <c r="O7" s="22">
        <f t="shared" si="2"/>
        <v>14</v>
      </c>
      <c r="P7" s="43">
        <v>57</v>
      </c>
      <c r="Q7" s="41">
        <v>6</v>
      </c>
      <c r="R7" s="41">
        <v>0</v>
      </c>
      <c r="S7" s="41">
        <v>6</v>
      </c>
      <c r="T7" s="22">
        <f t="shared" si="3"/>
        <v>11</v>
      </c>
      <c r="U7" s="43">
        <v>23</v>
      </c>
      <c r="V7" s="41">
        <v>22</v>
      </c>
      <c r="W7" s="41">
        <v>13</v>
      </c>
      <c r="X7" s="41">
        <v>21</v>
      </c>
      <c r="Y7" s="22">
        <f t="shared" si="4"/>
        <v>18</v>
      </c>
      <c r="Z7" s="43">
        <v>74</v>
      </c>
      <c r="AA7" s="41">
        <v>14</v>
      </c>
      <c r="AB7" s="41">
        <v>18</v>
      </c>
      <c r="AC7" s="41">
        <v>12</v>
      </c>
      <c r="AD7" s="22">
        <f t="shared" si="5"/>
        <v>8</v>
      </c>
      <c r="AE7" s="43">
        <v>52</v>
      </c>
      <c r="AF7" s="41">
        <v>15</v>
      </c>
      <c r="AG7" s="41">
        <v>16</v>
      </c>
      <c r="AH7" s="41">
        <v>11</v>
      </c>
      <c r="AI7" s="22">
        <f t="shared" si="6"/>
        <v>14</v>
      </c>
      <c r="AJ7" s="43">
        <v>56</v>
      </c>
      <c r="AK7" s="41">
        <v>15</v>
      </c>
      <c r="AL7" s="41">
        <v>13</v>
      </c>
      <c r="AM7" s="41">
        <v>8</v>
      </c>
      <c r="AN7" s="22">
        <f t="shared" si="7"/>
        <v>14</v>
      </c>
      <c r="AO7" s="43">
        <v>50</v>
      </c>
      <c r="AP7" s="41">
        <v>13</v>
      </c>
      <c r="AQ7" s="41">
        <v>16</v>
      </c>
      <c r="AR7" s="41">
        <v>9</v>
      </c>
      <c r="AS7" s="22">
        <f t="shared" si="8"/>
        <v>19</v>
      </c>
      <c r="AT7" s="43">
        <v>57</v>
      </c>
      <c r="AU7" s="41">
        <v>6</v>
      </c>
      <c r="AV7" s="41">
        <v>7</v>
      </c>
      <c r="AW7" s="41">
        <v>11</v>
      </c>
      <c r="AX7" s="22">
        <f t="shared" si="9"/>
        <v>10</v>
      </c>
      <c r="AY7" s="43">
        <v>34</v>
      </c>
      <c r="AZ7" s="41">
        <v>11</v>
      </c>
      <c r="BA7" s="41">
        <v>10</v>
      </c>
      <c r="BB7" s="41">
        <v>7</v>
      </c>
      <c r="BC7" s="22">
        <f t="shared" si="10"/>
        <v>14</v>
      </c>
      <c r="BD7" s="43">
        <v>42</v>
      </c>
    </row>
    <row r="8" spans="1:56">
      <c r="A8" s="1" t="s">
        <v>315</v>
      </c>
      <c r="B8" s="41">
        <v>1</v>
      </c>
      <c r="C8" s="41">
        <v>2</v>
      </c>
      <c r="D8" s="41">
        <v>2</v>
      </c>
      <c r="E8" s="22">
        <f t="shared" si="0"/>
        <v>0</v>
      </c>
      <c r="F8" s="43">
        <v>5</v>
      </c>
      <c r="G8" s="41">
        <v>3</v>
      </c>
      <c r="H8" s="41">
        <v>1</v>
      </c>
      <c r="I8" s="41">
        <v>0</v>
      </c>
      <c r="J8" s="22">
        <f t="shared" si="1"/>
        <v>0</v>
      </c>
      <c r="K8" s="43">
        <v>4</v>
      </c>
      <c r="L8" s="41">
        <v>0</v>
      </c>
      <c r="M8" s="41">
        <v>0</v>
      </c>
      <c r="N8" s="41">
        <v>0</v>
      </c>
      <c r="O8" s="22">
        <f t="shared" si="2"/>
        <v>0</v>
      </c>
      <c r="P8" s="43">
        <v>0</v>
      </c>
      <c r="Q8" s="41">
        <v>0</v>
      </c>
      <c r="R8" s="41">
        <v>0</v>
      </c>
      <c r="S8" s="41">
        <v>0</v>
      </c>
      <c r="T8" s="22">
        <f t="shared" si="3"/>
        <v>0</v>
      </c>
      <c r="U8" s="43">
        <v>0</v>
      </c>
      <c r="V8" s="41">
        <v>0</v>
      </c>
      <c r="W8" s="41">
        <v>0</v>
      </c>
      <c r="X8" s="41">
        <v>1</v>
      </c>
      <c r="Y8" s="22">
        <f t="shared" si="4"/>
        <v>0</v>
      </c>
      <c r="Z8" s="43">
        <v>1</v>
      </c>
      <c r="AA8" s="41">
        <v>0</v>
      </c>
      <c r="AB8" s="41">
        <v>0</v>
      </c>
      <c r="AC8" s="41">
        <v>0</v>
      </c>
      <c r="AD8" s="22">
        <f t="shared" si="5"/>
        <v>0</v>
      </c>
      <c r="AE8" s="43">
        <v>0</v>
      </c>
      <c r="AF8" s="41">
        <v>0</v>
      </c>
      <c r="AG8" s="41">
        <v>0</v>
      </c>
      <c r="AH8" s="41">
        <v>0</v>
      </c>
      <c r="AI8" s="22">
        <f t="shared" si="6"/>
        <v>0</v>
      </c>
      <c r="AJ8" s="43">
        <v>0</v>
      </c>
      <c r="AK8" s="41">
        <v>0</v>
      </c>
      <c r="AL8" s="41">
        <v>0</v>
      </c>
      <c r="AM8" s="41">
        <v>0</v>
      </c>
      <c r="AN8" s="22">
        <f t="shared" si="7"/>
        <v>0</v>
      </c>
      <c r="AO8" s="43">
        <v>0</v>
      </c>
      <c r="AP8" s="41">
        <v>0</v>
      </c>
      <c r="AQ8" s="41">
        <v>0</v>
      </c>
      <c r="AR8" s="41">
        <v>0</v>
      </c>
      <c r="AS8" s="22">
        <f t="shared" si="8"/>
        <v>0</v>
      </c>
      <c r="AT8" s="43">
        <v>0</v>
      </c>
      <c r="AU8" s="41">
        <v>0</v>
      </c>
      <c r="AV8" s="41">
        <v>0</v>
      </c>
      <c r="AW8" s="41">
        <v>0</v>
      </c>
      <c r="AX8" s="22">
        <f t="shared" si="9"/>
        <v>0</v>
      </c>
      <c r="AY8" s="43">
        <v>0</v>
      </c>
      <c r="AZ8" s="41">
        <v>0</v>
      </c>
      <c r="BA8" s="41">
        <v>0</v>
      </c>
      <c r="BB8" s="41">
        <v>0</v>
      </c>
      <c r="BC8" s="22">
        <f t="shared" si="10"/>
        <v>0</v>
      </c>
      <c r="BD8" s="43">
        <v>0</v>
      </c>
    </row>
    <row r="9" spans="1:56">
      <c r="A9" s="1" t="s">
        <v>316</v>
      </c>
      <c r="B9" s="41">
        <v>1</v>
      </c>
      <c r="C9" s="41">
        <v>0</v>
      </c>
      <c r="D9" s="41">
        <v>0</v>
      </c>
      <c r="E9" s="22">
        <f t="shared" si="0"/>
        <v>0</v>
      </c>
      <c r="F9" s="43">
        <v>1</v>
      </c>
      <c r="G9" s="41">
        <v>0</v>
      </c>
      <c r="H9" s="41">
        <v>0</v>
      </c>
      <c r="I9" s="41">
        <v>0</v>
      </c>
      <c r="J9" s="22">
        <f t="shared" si="1"/>
        <v>1</v>
      </c>
      <c r="K9" s="43">
        <v>1</v>
      </c>
      <c r="L9" s="41">
        <v>0</v>
      </c>
      <c r="M9" s="41">
        <v>0</v>
      </c>
      <c r="N9" s="41">
        <v>0</v>
      </c>
      <c r="O9" s="22">
        <f t="shared" si="2"/>
        <v>0</v>
      </c>
      <c r="P9" s="43">
        <v>0</v>
      </c>
      <c r="Q9" s="41">
        <v>0</v>
      </c>
      <c r="R9" s="41">
        <v>0</v>
      </c>
      <c r="S9" s="41">
        <v>0</v>
      </c>
      <c r="T9" s="22">
        <f t="shared" si="3"/>
        <v>0</v>
      </c>
      <c r="U9" s="43">
        <v>0</v>
      </c>
      <c r="V9" s="41">
        <v>0</v>
      </c>
      <c r="W9" s="41">
        <v>0</v>
      </c>
      <c r="X9" s="41">
        <v>2</v>
      </c>
      <c r="Y9" s="22">
        <f t="shared" si="4"/>
        <v>0</v>
      </c>
      <c r="Z9" s="43">
        <v>2</v>
      </c>
      <c r="AA9" s="41">
        <v>0</v>
      </c>
      <c r="AB9" s="41">
        <v>0</v>
      </c>
      <c r="AC9" s="41">
        <v>0</v>
      </c>
      <c r="AD9" s="22">
        <f t="shared" si="5"/>
        <v>0</v>
      </c>
      <c r="AE9" s="43">
        <v>0</v>
      </c>
      <c r="AF9" s="41">
        <v>0</v>
      </c>
      <c r="AG9" s="41">
        <v>0</v>
      </c>
      <c r="AH9" s="41">
        <v>0</v>
      </c>
      <c r="AI9" s="22">
        <f t="shared" si="6"/>
        <v>0</v>
      </c>
      <c r="AJ9" s="43">
        <v>0</v>
      </c>
      <c r="AK9" s="41">
        <v>0</v>
      </c>
      <c r="AL9" s="41">
        <v>0</v>
      </c>
      <c r="AM9" s="41">
        <v>0</v>
      </c>
      <c r="AN9" s="22">
        <f t="shared" si="7"/>
        <v>0</v>
      </c>
      <c r="AO9" s="43">
        <v>0</v>
      </c>
      <c r="AP9" s="41">
        <v>0</v>
      </c>
      <c r="AQ9" s="41">
        <v>0</v>
      </c>
      <c r="AR9" s="41">
        <v>0</v>
      </c>
      <c r="AS9" s="22">
        <f t="shared" si="8"/>
        <v>0</v>
      </c>
      <c r="AT9" s="43">
        <v>0</v>
      </c>
      <c r="AU9" s="41">
        <v>0</v>
      </c>
      <c r="AV9" s="41">
        <v>0</v>
      </c>
      <c r="AW9" s="41">
        <v>0</v>
      </c>
      <c r="AX9" s="22">
        <f t="shared" si="9"/>
        <v>0</v>
      </c>
      <c r="AY9" s="43">
        <v>0</v>
      </c>
      <c r="AZ9" s="41">
        <v>0</v>
      </c>
      <c r="BA9" s="41">
        <v>0</v>
      </c>
      <c r="BB9" s="41">
        <v>0</v>
      </c>
      <c r="BC9" s="22">
        <f t="shared" si="10"/>
        <v>0</v>
      </c>
      <c r="BD9" s="43">
        <v>0</v>
      </c>
    </row>
    <row r="10" spans="1:56">
      <c r="A10" s="1" t="s">
        <v>317</v>
      </c>
      <c r="B10" s="41">
        <v>6</v>
      </c>
      <c r="C10" s="41">
        <v>15</v>
      </c>
      <c r="D10" s="41">
        <v>14</v>
      </c>
      <c r="E10" s="22">
        <f t="shared" si="0"/>
        <v>6</v>
      </c>
      <c r="F10" s="43">
        <v>41</v>
      </c>
      <c r="G10" s="41">
        <v>3</v>
      </c>
      <c r="H10" s="41">
        <v>7</v>
      </c>
      <c r="I10" s="41">
        <v>7</v>
      </c>
      <c r="J10" s="22">
        <f t="shared" si="1"/>
        <v>8</v>
      </c>
      <c r="K10" s="43">
        <v>25</v>
      </c>
      <c r="L10" s="41">
        <v>3</v>
      </c>
      <c r="M10" s="41">
        <v>1</v>
      </c>
      <c r="N10" s="41">
        <v>2</v>
      </c>
      <c r="O10" s="22">
        <f t="shared" si="2"/>
        <v>3</v>
      </c>
      <c r="P10" s="43">
        <v>9</v>
      </c>
      <c r="Q10" s="41">
        <v>4</v>
      </c>
      <c r="R10" s="41">
        <v>5</v>
      </c>
      <c r="S10" s="41">
        <v>2</v>
      </c>
      <c r="T10" s="22">
        <f t="shared" si="3"/>
        <v>2</v>
      </c>
      <c r="U10" s="43">
        <v>13</v>
      </c>
      <c r="V10" s="41">
        <v>7</v>
      </c>
      <c r="W10" s="41">
        <v>0</v>
      </c>
      <c r="X10" s="41">
        <v>6</v>
      </c>
      <c r="Y10" s="22">
        <f t="shared" si="4"/>
        <v>0</v>
      </c>
      <c r="Z10" s="43">
        <v>13</v>
      </c>
      <c r="AA10" s="41">
        <v>9</v>
      </c>
      <c r="AB10" s="41">
        <v>6</v>
      </c>
      <c r="AC10" s="41">
        <v>4</v>
      </c>
      <c r="AD10" s="22">
        <f t="shared" si="5"/>
        <v>8</v>
      </c>
      <c r="AE10" s="43">
        <v>27</v>
      </c>
      <c r="AF10" s="41">
        <v>3</v>
      </c>
      <c r="AG10" s="41">
        <v>3</v>
      </c>
      <c r="AH10" s="41">
        <v>6</v>
      </c>
      <c r="AI10" s="22">
        <f t="shared" si="6"/>
        <v>3</v>
      </c>
      <c r="AJ10" s="43">
        <v>15</v>
      </c>
      <c r="AK10" s="41">
        <v>4</v>
      </c>
      <c r="AL10" s="41">
        <v>5</v>
      </c>
      <c r="AM10" s="41">
        <v>1</v>
      </c>
      <c r="AN10" s="22">
        <f t="shared" si="7"/>
        <v>9</v>
      </c>
      <c r="AO10" s="43">
        <v>19</v>
      </c>
      <c r="AP10" s="41">
        <v>5</v>
      </c>
      <c r="AQ10" s="41">
        <v>2</v>
      </c>
      <c r="AR10" s="41">
        <v>1</v>
      </c>
      <c r="AS10" s="22">
        <f t="shared" si="8"/>
        <v>3</v>
      </c>
      <c r="AT10" s="43">
        <v>11</v>
      </c>
      <c r="AU10" s="41">
        <v>1</v>
      </c>
      <c r="AV10" s="41">
        <v>1</v>
      </c>
      <c r="AW10" s="41">
        <v>0</v>
      </c>
      <c r="AX10" s="22">
        <f t="shared" si="9"/>
        <v>2</v>
      </c>
      <c r="AY10" s="43">
        <v>4</v>
      </c>
      <c r="AZ10" s="41">
        <v>1</v>
      </c>
      <c r="BA10" s="41">
        <v>0</v>
      </c>
      <c r="BB10" s="41">
        <v>0</v>
      </c>
      <c r="BC10" s="22">
        <f t="shared" si="10"/>
        <v>2</v>
      </c>
      <c r="BD10" s="43">
        <v>3</v>
      </c>
    </row>
    <row r="11" spans="1:56">
      <c r="A11" s="1" t="s">
        <v>318</v>
      </c>
      <c r="B11" s="41">
        <v>4</v>
      </c>
      <c r="C11" s="41">
        <v>1</v>
      </c>
      <c r="D11" s="41">
        <v>1</v>
      </c>
      <c r="E11" s="22">
        <f t="shared" si="0"/>
        <v>10</v>
      </c>
      <c r="F11" s="43">
        <v>16</v>
      </c>
      <c r="G11" s="41">
        <v>9</v>
      </c>
      <c r="H11" s="41">
        <v>7</v>
      </c>
      <c r="I11" s="41">
        <v>7</v>
      </c>
      <c r="J11" s="22">
        <f t="shared" si="1"/>
        <v>2</v>
      </c>
      <c r="K11" s="43">
        <v>25</v>
      </c>
      <c r="L11" s="41">
        <v>9</v>
      </c>
      <c r="M11" s="41">
        <v>10</v>
      </c>
      <c r="N11" s="41">
        <v>9</v>
      </c>
      <c r="O11" s="22">
        <f t="shared" si="2"/>
        <v>7</v>
      </c>
      <c r="P11" s="43">
        <v>35</v>
      </c>
      <c r="Q11" s="41">
        <v>4</v>
      </c>
      <c r="R11" s="41">
        <v>4</v>
      </c>
      <c r="S11" s="41">
        <v>6</v>
      </c>
      <c r="T11" s="22">
        <f t="shared" si="3"/>
        <v>3</v>
      </c>
      <c r="U11" s="43">
        <v>17</v>
      </c>
      <c r="V11" s="41">
        <v>4</v>
      </c>
      <c r="W11" s="41">
        <v>5</v>
      </c>
      <c r="X11" s="41">
        <v>7</v>
      </c>
      <c r="Y11" s="22">
        <f t="shared" si="4"/>
        <v>6</v>
      </c>
      <c r="Z11" s="43">
        <v>22</v>
      </c>
      <c r="AA11" s="41">
        <v>1</v>
      </c>
      <c r="AB11" s="41">
        <v>0</v>
      </c>
      <c r="AC11" s="41">
        <v>2</v>
      </c>
      <c r="AD11" s="22">
        <f t="shared" si="5"/>
        <v>0</v>
      </c>
      <c r="AE11" s="43">
        <v>3</v>
      </c>
      <c r="AF11" s="41">
        <v>3</v>
      </c>
      <c r="AG11" s="41">
        <v>1</v>
      </c>
      <c r="AH11" s="41">
        <v>1</v>
      </c>
      <c r="AI11" s="22">
        <f t="shared" si="6"/>
        <v>0</v>
      </c>
      <c r="AJ11" s="43">
        <v>5</v>
      </c>
      <c r="AK11" s="41">
        <v>3</v>
      </c>
      <c r="AL11" s="41">
        <v>1</v>
      </c>
      <c r="AM11" s="41">
        <v>2</v>
      </c>
      <c r="AN11" s="22">
        <f t="shared" si="7"/>
        <v>3</v>
      </c>
      <c r="AO11" s="43">
        <v>9</v>
      </c>
      <c r="AP11" s="41">
        <v>1</v>
      </c>
      <c r="AQ11" s="41">
        <v>3</v>
      </c>
      <c r="AR11" s="41">
        <v>3</v>
      </c>
      <c r="AS11" s="22">
        <f t="shared" si="8"/>
        <v>2</v>
      </c>
      <c r="AT11" s="43">
        <v>9</v>
      </c>
      <c r="AU11" s="41">
        <v>1</v>
      </c>
      <c r="AV11" s="41">
        <v>4</v>
      </c>
      <c r="AW11" s="41">
        <v>2</v>
      </c>
      <c r="AX11" s="22">
        <f t="shared" si="9"/>
        <v>2</v>
      </c>
      <c r="AY11" s="43">
        <v>9</v>
      </c>
      <c r="AZ11" s="41">
        <v>2</v>
      </c>
      <c r="BA11" s="41">
        <v>5</v>
      </c>
      <c r="BB11" s="41">
        <v>2</v>
      </c>
      <c r="BC11" s="22">
        <f t="shared" si="10"/>
        <v>2</v>
      </c>
      <c r="BD11" s="43">
        <v>11</v>
      </c>
    </row>
    <row r="12" spans="1:56">
      <c r="A12" s="1" t="s">
        <v>319</v>
      </c>
      <c r="B12" s="41">
        <v>1</v>
      </c>
      <c r="C12" s="41">
        <v>4</v>
      </c>
      <c r="D12" s="41">
        <v>3</v>
      </c>
      <c r="E12" s="22">
        <f t="shared" si="0"/>
        <v>4</v>
      </c>
      <c r="F12" s="43">
        <v>12</v>
      </c>
      <c r="G12" s="41">
        <v>4</v>
      </c>
      <c r="H12" s="41">
        <v>3</v>
      </c>
      <c r="I12" s="41">
        <v>4</v>
      </c>
      <c r="J12" s="22">
        <f t="shared" si="1"/>
        <v>4</v>
      </c>
      <c r="K12" s="43">
        <v>15</v>
      </c>
      <c r="L12" s="41">
        <v>3</v>
      </c>
      <c r="M12" s="41">
        <v>4</v>
      </c>
      <c r="N12" s="41">
        <v>4</v>
      </c>
      <c r="O12" s="22">
        <f t="shared" si="2"/>
        <v>5</v>
      </c>
      <c r="P12" s="43">
        <v>16</v>
      </c>
      <c r="Q12" s="41">
        <v>2</v>
      </c>
      <c r="R12" s="41">
        <v>3</v>
      </c>
      <c r="S12" s="41">
        <v>3</v>
      </c>
      <c r="T12" s="22">
        <f t="shared" si="3"/>
        <v>2</v>
      </c>
      <c r="U12" s="43">
        <v>10</v>
      </c>
      <c r="V12" s="41">
        <v>4</v>
      </c>
      <c r="W12" s="41">
        <v>1</v>
      </c>
      <c r="X12" s="41">
        <v>2</v>
      </c>
      <c r="Y12" s="22">
        <f t="shared" si="4"/>
        <v>4</v>
      </c>
      <c r="Z12" s="43">
        <v>11</v>
      </c>
      <c r="AA12" s="41">
        <v>0</v>
      </c>
      <c r="AB12" s="41">
        <v>3</v>
      </c>
      <c r="AC12" s="41">
        <v>0</v>
      </c>
      <c r="AD12" s="22">
        <f t="shared" si="5"/>
        <v>1</v>
      </c>
      <c r="AE12" s="43">
        <v>4</v>
      </c>
      <c r="AF12" s="41">
        <v>3</v>
      </c>
      <c r="AG12" s="41">
        <v>5</v>
      </c>
      <c r="AH12" s="41">
        <v>3</v>
      </c>
      <c r="AI12" s="22">
        <f t="shared" si="6"/>
        <v>5</v>
      </c>
      <c r="AJ12" s="43">
        <v>16</v>
      </c>
      <c r="AK12" s="41">
        <v>1</v>
      </c>
      <c r="AL12" s="41">
        <v>4</v>
      </c>
      <c r="AM12" s="41">
        <v>4</v>
      </c>
      <c r="AN12" s="22">
        <f t="shared" si="7"/>
        <v>3</v>
      </c>
      <c r="AO12" s="43">
        <v>12</v>
      </c>
      <c r="AP12" s="41">
        <v>2</v>
      </c>
      <c r="AQ12" s="41">
        <v>4</v>
      </c>
      <c r="AR12" s="41">
        <v>0</v>
      </c>
      <c r="AS12" s="22">
        <f t="shared" si="8"/>
        <v>3</v>
      </c>
      <c r="AT12" s="43">
        <v>9</v>
      </c>
      <c r="AU12" s="41">
        <v>1</v>
      </c>
      <c r="AV12" s="41">
        <v>6</v>
      </c>
      <c r="AW12" s="41">
        <v>3</v>
      </c>
      <c r="AX12" s="22">
        <f t="shared" si="9"/>
        <v>4</v>
      </c>
      <c r="AY12" s="43">
        <v>14</v>
      </c>
      <c r="AZ12" s="41">
        <v>1</v>
      </c>
      <c r="BA12" s="41">
        <v>3</v>
      </c>
      <c r="BB12" s="41">
        <v>3</v>
      </c>
      <c r="BC12" s="22">
        <f t="shared" si="10"/>
        <v>2</v>
      </c>
      <c r="BD12" s="43">
        <v>9</v>
      </c>
    </row>
    <row r="13" spans="1:56">
      <c r="A13" s="1" t="s">
        <v>320</v>
      </c>
      <c r="B13" s="41">
        <v>11</v>
      </c>
      <c r="C13" s="41">
        <v>9</v>
      </c>
      <c r="D13" s="41">
        <v>8</v>
      </c>
      <c r="E13" s="22">
        <f t="shared" si="0"/>
        <v>7</v>
      </c>
      <c r="F13" s="43">
        <v>35</v>
      </c>
      <c r="G13" s="41">
        <v>8</v>
      </c>
      <c r="H13" s="41">
        <v>6</v>
      </c>
      <c r="I13" s="41">
        <v>6</v>
      </c>
      <c r="J13" s="22">
        <f t="shared" si="1"/>
        <v>5</v>
      </c>
      <c r="K13" s="43">
        <v>25</v>
      </c>
      <c r="L13" s="41">
        <v>6</v>
      </c>
      <c r="M13" s="41">
        <v>6</v>
      </c>
      <c r="N13" s="41">
        <v>6</v>
      </c>
      <c r="O13" s="22">
        <f t="shared" si="2"/>
        <v>5</v>
      </c>
      <c r="P13" s="43">
        <v>23</v>
      </c>
      <c r="Q13" s="41">
        <v>5</v>
      </c>
      <c r="R13" s="41">
        <v>0</v>
      </c>
      <c r="S13" s="41">
        <v>5</v>
      </c>
      <c r="T13" s="22">
        <f t="shared" si="3"/>
        <v>7</v>
      </c>
      <c r="U13" s="43">
        <v>17</v>
      </c>
      <c r="V13" s="41">
        <v>7</v>
      </c>
      <c r="W13" s="41">
        <v>3</v>
      </c>
      <c r="X13" s="41">
        <v>6</v>
      </c>
      <c r="Y13" s="22">
        <f t="shared" si="4"/>
        <v>7</v>
      </c>
      <c r="Z13" s="43">
        <v>23</v>
      </c>
      <c r="AA13" s="41">
        <v>5</v>
      </c>
      <c r="AB13" s="41">
        <v>4</v>
      </c>
      <c r="AC13" s="41">
        <v>5</v>
      </c>
      <c r="AD13" s="22">
        <f t="shared" si="5"/>
        <v>6</v>
      </c>
      <c r="AE13" s="43">
        <v>20</v>
      </c>
      <c r="AF13" s="41">
        <v>4</v>
      </c>
      <c r="AG13" s="41">
        <v>7</v>
      </c>
      <c r="AH13" s="41">
        <v>4</v>
      </c>
      <c r="AI13" s="22">
        <f t="shared" si="6"/>
        <v>6</v>
      </c>
      <c r="AJ13" s="43">
        <v>21</v>
      </c>
      <c r="AK13" s="41">
        <v>7</v>
      </c>
      <c r="AL13" s="41">
        <v>4</v>
      </c>
      <c r="AM13" s="41">
        <v>3</v>
      </c>
      <c r="AN13" s="22">
        <f t="shared" si="7"/>
        <v>0</v>
      </c>
      <c r="AO13" s="43">
        <v>14</v>
      </c>
      <c r="AP13" s="41">
        <v>7</v>
      </c>
      <c r="AQ13" s="41">
        <v>6</v>
      </c>
      <c r="AR13" s="41">
        <v>3</v>
      </c>
      <c r="AS13" s="22">
        <f t="shared" si="8"/>
        <v>6</v>
      </c>
      <c r="AT13" s="43">
        <v>22</v>
      </c>
      <c r="AU13" s="41">
        <v>1</v>
      </c>
      <c r="AV13" s="41">
        <v>3</v>
      </c>
      <c r="AW13" s="41">
        <v>1</v>
      </c>
      <c r="AX13" s="22">
        <f t="shared" si="9"/>
        <v>6</v>
      </c>
      <c r="AY13" s="43">
        <v>11</v>
      </c>
      <c r="AZ13" s="41">
        <v>5</v>
      </c>
      <c r="BA13" s="41">
        <v>4</v>
      </c>
      <c r="BB13" s="41">
        <v>3</v>
      </c>
      <c r="BC13" s="22">
        <f t="shared" si="10"/>
        <v>2</v>
      </c>
      <c r="BD13" s="43">
        <v>14</v>
      </c>
    </row>
    <row r="14" spans="1:56">
      <c r="A14" s="1" t="s">
        <v>321</v>
      </c>
      <c r="B14" s="41">
        <v>0</v>
      </c>
      <c r="C14" s="41">
        <v>0</v>
      </c>
      <c r="D14" s="41">
        <v>0</v>
      </c>
      <c r="E14" s="22">
        <f t="shared" si="0"/>
        <v>0</v>
      </c>
      <c r="F14" s="43">
        <v>0</v>
      </c>
      <c r="G14" s="41">
        <v>0</v>
      </c>
      <c r="H14" s="41">
        <v>0</v>
      </c>
      <c r="I14" s="41">
        <v>0</v>
      </c>
      <c r="J14" s="22">
        <f t="shared" si="1"/>
        <v>0</v>
      </c>
      <c r="K14" s="43">
        <v>0</v>
      </c>
      <c r="L14" s="41">
        <v>0</v>
      </c>
      <c r="M14" s="41">
        <v>0</v>
      </c>
      <c r="N14" s="41">
        <v>0</v>
      </c>
      <c r="O14" s="22">
        <f t="shared" si="2"/>
        <v>0</v>
      </c>
      <c r="P14" s="43">
        <v>0</v>
      </c>
      <c r="Q14" s="41">
        <v>0</v>
      </c>
      <c r="R14" s="41">
        <v>0</v>
      </c>
      <c r="S14" s="41">
        <v>0</v>
      </c>
      <c r="T14" s="22">
        <f t="shared" si="3"/>
        <v>0</v>
      </c>
      <c r="U14" s="43">
        <v>0</v>
      </c>
      <c r="V14" s="41">
        <v>7</v>
      </c>
      <c r="W14" s="41">
        <v>5</v>
      </c>
      <c r="X14" s="41">
        <v>9</v>
      </c>
      <c r="Y14" s="22">
        <f t="shared" si="4"/>
        <v>7</v>
      </c>
      <c r="Z14" s="43">
        <v>28</v>
      </c>
      <c r="AA14" s="41">
        <v>5</v>
      </c>
      <c r="AB14" s="41">
        <v>1</v>
      </c>
      <c r="AC14" s="41">
        <v>4</v>
      </c>
      <c r="AD14" s="22">
        <f t="shared" si="5"/>
        <v>4</v>
      </c>
      <c r="AE14" s="43">
        <v>14</v>
      </c>
      <c r="AF14" s="41">
        <v>2</v>
      </c>
      <c r="AG14" s="41">
        <v>2</v>
      </c>
      <c r="AH14" s="41">
        <v>3</v>
      </c>
      <c r="AI14" s="22">
        <f t="shared" si="6"/>
        <v>6</v>
      </c>
      <c r="AJ14" s="43">
        <v>13</v>
      </c>
      <c r="AK14" s="41">
        <v>1</v>
      </c>
      <c r="AL14" s="41">
        <v>4</v>
      </c>
      <c r="AM14" s="41">
        <v>1</v>
      </c>
      <c r="AN14" s="22">
        <f t="shared" si="7"/>
        <v>9</v>
      </c>
      <c r="AO14" s="43">
        <v>15</v>
      </c>
      <c r="AP14" s="41">
        <v>1</v>
      </c>
      <c r="AQ14" s="41">
        <v>0</v>
      </c>
      <c r="AR14" s="41">
        <v>3</v>
      </c>
      <c r="AS14" s="22">
        <f t="shared" si="8"/>
        <v>9</v>
      </c>
      <c r="AT14" s="43">
        <v>13</v>
      </c>
      <c r="AU14" s="41">
        <v>3</v>
      </c>
      <c r="AV14" s="41">
        <v>2</v>
      </c>
      <c r="AW14" s="41">
        <v>5</v>
      </c>
      <c r="AX14" s="22">
        <f t="shared" si="9"/>
        <v>0</v>
      </c>
      <c r="AY14" s="43">
        <v>10</v>
      </c>
      <c r="AZ14" s="41">
        <v>0</v>
      </c>
      <c r="BA14" s="41">
        <v>5</v>
      </c>
      <c r="BB14" s="41">
        <v>4</v>
      </c>
      <c r="BC14" s="22">
        <f t="shared" si="10"/>
        <v>5</v>
      </c>
      <c r="BD14" s="43">
        <v>14</v>
      </c>
    </row>
    <row r="15" spans="1:56">
      <c r="A15" s="1" t="s">
        <v>322</v>
      </c>
      <c r="B15" s="41">
        <v>2</v>
      </c>
      <c r="C15" s="41">
        <v>4</v>
      </c>
      <c r="D15" s="41">
        <v>4</v>
      </c>
      <c r="E15" s="22">
        <f t="shared" si="0"/>
        <v>4</v>
      </c>
      <c r="F15" s="43">
        <v>14</v>
      </c>
      <c r="G15" s="41">
        <v>4</v>
      </c>
      <c r="H15" s="41">
        <v>5</v>
      </c>
      <c r="I15" s="41">
        <v>4</v>
      </c>
      <c r="J15" s="22">
        <f t="shared" si="1"/>
        <v>5</v>
      </c>
      <c r="K15" s="43">
        <v>18</v>
      </c>
      <c r="L15" s="41">
        <v>4</v>
      </c>
      <c r="M15" s="41">
        <v>5</v>
      </c>
      <c r="N15" s="41">
        <v>5</v>
      </c>
      <c r="O15" s="22">
        <f t="shared" si="2"/>
        <v>5</v>
      </c>
      <c r="P15" s="43">
        <v>19</v>
      </c>
      <c r="Q15" s="41">
        <v>4</v>
      </c>
      <c r="R15" s="41">
        <v>4</v>
      </c>
      <c r="S15" s="41">
        <v>2</v>
      </c>
      <c r="T15" s="22">
        <f t="shared" si="3"/>
        <v>6</v>
      </c>
      <c r="U15" s="43">
        <v>16</v>
      </c>
      <c r="V15" s="41">
        <v>3</v>
      </c>
      <c r="W15" s="41">
        <v>5</v>
      </c>
      <c r="X15" s="41">
        <v>6</v>
      </c>
      <c r="Y15" s="22">
        <f t="shared" si="4"/>
        <v>4</v>
      </c>
      <c r="Z15" s="43">
        <v>18</v>
      </c>
      <c r="AA15" s="41">
        <v>3</v>
      </c>
      <c r="AB15" s="41">
        <v>3</v>
      </c>
      <c r="AC15" s="41">
        <v>3</v>
      </c>
      <c r="AD15" s="22">
        <f t="shared" si="5"/>
        <v>6</v>
      </c>
      <c r="AE15" s="43">
        <v>15</v>
      </c>
      <c r="AF15" s="41">
        <v>3</v>
      </c>
      <c r="AG15" s="41">
        <v>3</v>
      </c>
      <c r="AH15" s="41">
        <v>5</v>
      </c>
      <c r="AI15" s="22">
        <f t="shared" si="6"/>
        <v>5</v>
      </c>
      <c r="AJ15" s="43">
        <v>16</v>
      </c>
      <c r="AK15" s="41">
        <v>3</v>
      </c>
      <c r="AL15" s="41">
        <v>3</v>
      </c>
      <c r="AM15" s="41">
        <v>4</v>
      </c>
      <c r="AN15" s="22">
        <f t="shared" si="7"/>
        <v>2</v>
      </c>
      <c r="AO15" s="43">
        <v>12</v>
      </c>
      <c r="AP15" s="41">
        <v>3</v>
      </c>
      <c r="AQ15" s="41">
        <v>2</v>
      </c>
      <c r="AR15" s="41">
        <v>2</v>
      </c>
      <c r="AS15" s="22">
        <f t="shared" si="8"/>
        <v>4</v>
      </c>
      <c r="AT15" s="43">
        <v>11</v>
      </c>
      <c r="AU15" s="41">
        <v>1</v>
      </c>
      <c r="AV15" s="41">
        <v>2</v>
      </c>
      <c r="AW15" s="41">
        <v>1</v>
      </c>
      <c r="AX15" s="22">
        <f t="shared" si="9"/>
        <v>0</v>
      </c>
      <c r="AY15" s="43">
        <v>4</v>
      </c>
      <c r="AZ15" s="41">
        <v>1</v>
      </c>
      <c r="BA15" s="41">
        <v>1</v>
      </c>
      <c r="BB15" s="41">
        <v>2</v>
      </c>
      <c r="BC15" s="22">
        <f t="shared" si="10"/>
        <v>2</v>
      </c>
      <c r="BD15" s="43">
        <v>6</v>
      </c>
    </row>
    <row r="16" spans="1:56">
      <c r="A16" s="1" t="s">
        <v>411</v>
      </c>
      <c r="B16" s="41">
        <v>0</v>
      </c>
      <c r="C16" s="41">
        <v>0</v>
      </c>
      <c r="D16" s="41">
        <v>0</v>
      </c>
      <c r="E16" s="22">
        <f t="shared" si="0"/>
        <v>1</v>
      </c>
      <c r="F16" s="43">
        <v>1</v>
      </c>
      <c r="G16" s="41">
        <v>0</v>
      </c>
      <c r="H16" s="41">
        <v>0</v>
      </c>
      <c r="I16" s="41">
        <v>0</v>
      </c>
      <c r="J16" s="22">
        <f t="shared" si="1"/>
        <v>0</v>
      </c>
      <c r="K16" s="43">
        <v>0</v>
      </c>
      <c r="L16" s="41">
        <v>0</v>
      </c>
      <c r="M16" s="41">
        <v>0</v>
      </c>
      <c r="N16" s="41">
        <v>0</v>
      </c>
      <c r="O16" s="22">
        <f t="shared" si="2"/>
        <v>0</v>
      </c>
      <c r="P16" s="43">
        <v>0</v>
      </c>
      <c r="Q16" s="41">
        <v>0</v>
      </c>
      <c r="R16" s="41">
        <v>0</v>
      </c>
      <c r="S16" s="41">
        <v>0</v>
      </c>
      <c r="T16" s="22">
        <f t="shared" si="3"/>
        <v>0</v>
      </c>
      <c r="U16" s="43">
        <v>0</v>
      </c>
      <c r="V16" s="41">
        <v>0</v>
      </c>
      <c r="W16" s="41">
        <v>0</v>
      </c>
      <c r="X16" s="41">
        <v>0</v>
      </c>
      <c r="Y16" s="22">
        <f t="shared" si="4"/>
        <v>0</v>
      </c>
      <c r="Z16" s="43">
        <v>0</v>
      </c>
      <c r="AA16" s="41">
        <v>0</v>
      </c>
      <c r="AB16" s="41">
        <v>0</v>
      </c>
      <c r="AC16" s="41">
        <v>0</v>
      </c>
      <c r="AD16" s="22">
        <f t="shared" si="5"/>
        <v>0</v>
      </c>
      <c r="AE16" s="43">
        <v>0</v>
      </c>
      <c r="AF16" s="41">
        <v>0</v>
      </c>
      <c r="AG16" s="41">
        <v>0</v>
      </c>
      <c r="AH16" s="41">
        <v>0</v>
      </c>
      <c r="AI16" s="22">
        <f t="shared" si="6"/>
        <v>0</v>
      </c>
      <c r="AJ16" s="43">
        <v>0</v>
      </c>
      <c r="AK16" s="41">
        <v>0</v>
      </c>
      <c r="AL16" s="41">
        <v>0</v>
      </c>
      <c r="AM16" s="41">
        <v>0</v>
      </c>
      <c r="AN16" s="22">
        <f t="shared" si="7"/>
        <v>0</v>
      </c>
      <c r="AO16" s="43">
        <v>0</v>
      </c>
      <c r="AP16" s="41">
        <v>0</v>
      </c>
      <c r="AQ16" s="41">
        <v>0</v>
      </c>
      <c r="AR16" s="41">
        <v>0</v>
      </c>
      <c r="AS16" s="22">
        <f t="shared" si="8"/>
        <v>0</v>
      </c>
      <c r="AT16" s="43">
        <v>0</v>
      </c>
      <c r="AU16" s="41">
        <v>0</v>
      </c>
      <c r="AV16" s="41">
        <v>0</v>
      </c>
      <c r="AW16" s="41">
        <v>0</v>
      </c>
      <c r="AX16" s="22">
        <f t="shared" si="9"/>
        <v>0</v>
      </c>
      <c r="AY16" s="43">
        <v>0</v>
      </c>
      <c r="AZ16" s="41">
        <v>0</v>
      </c>
      <c r="BA16" s="41">
        <v>0</v>
      </c>
      <c r="BB16" s="41">
        <v>0</v>
      </c>
      <c r="BC16" s="22">
        <f t="shared" si="10"/>
        <v>0</v>
      </c>
      <c r="BD16" s="43">
        <v>0</v>
      </c>
    </row>
    <row r="17" spans="1:56">
      <c r="A17" s="1" t="s">
        <v>412</v>
      </c>
      <c r="B17" s="41">
        <v>0</v>
      </c>
      <c r="C17" s="41">
        <v>0</v>
      </c>
      <c r="D17" s="41">
        <v>0</v>
      </c>
      <c r="E17" s="22">
        <f t="shared" si="0"/>
        <v>0</v>
      </c>
      <c r="F17" s="43">
        <v>0</v>
      </c>
      <c r="G17" s="41">
        <v>0</v>
      </c>
      <c r="H17" s="41">
        <v>0</v>
      </c>
      <c r="I17" s="41">
        <v>0</v>
      </c>
      <c r="J17" s="22">
        <f t="shared" si="1"/>
        <v>0</v>
      </c>
      <c r="K17" s="43">
        <v>0</v>
      </c>
      <c r="L17" s="41">
        <v>0</v>
      </c>
      <c r="M17" s="41">
        <v>0</v>
      </c>
      <c r="N17" s="41">
        <v>0</v>
      </c>
      <c r="O17" s="22">
        <f t="shared" si="2"/>
        <v>0</v>
      </c>
      <c r="P17" s="43">
        <v>0</v>
      </c>
      <c r="Q17" s="41">
        <v>0</v>
      </c>
      <c r="R17" s="41">
        <v>0</v>
      </c>
      <c r="S17" s="41">
        <v>0</v>
      </c>
      <c r="T17" s="22">
        <f t="shared" si="3"/>
        <v>0</v>
      </c>
      <c r="U17" s="43">
        <v>0</v>
      </c>
      <c r="V17" s="41">
        <v>0</v>
      </c>
      <c r="W17" s="41">
        <v>0</v>
      </c>
      <c r="X17" s="41">
        <v>0</v>
      </c>
      <c r="Y17" s="22">
        <f t="shared" si="4"/>
        <v>0</v>
      </c>
      <c r="Z17" s="43">
        <v>0</v>
      </c>
      <c r="AA17" s="41">
        <v>0</v>
      </c>
      <c r="AB17" s="41">
        <v>0</v>
      </c>
      <c r="AC17" s="41">
        <v>0</v>
      </c>
      <c r="AD17" s="22">
        <f t="shared" si="5"/>
        <v>0</v>
      </c>
      <c r="AE17" s="43">
        <v>0</v>
      </c>
      <c r="AF17" s="41">
        <v>0</v>
      </c>
      <c r="AG17" s="41">
        <v>0</v>
      </c>
      <c r="AH17" s="41">
        <v>0</v>
      </c>
      <c r="AI17" s="22">
        <f t="shared" si="6"/>
        <v>0</v>
      </c>
      <c r="AJ17" s="43">
        <v>0</v>
      </c>
      <c r="AK17" s="41">
        <v>0</v>
      </c>
      <c r="AL17" s="41">
        <v>0</v>
      </c>
      <c r="AM17" s="41">
        <v>0</v>
      </c>
      <c r="AN17" s="22">
        <f t="shared" si="7"/>
        <v>0</v>
      </c>
      <c r="AO17" s="43">
        <v>0</v>
      </c>
      <c r="AP17" s="41">
        <v>0</v>
      </c>
      <c r="AQ17" s="41">
        <v>0</v>
      </c>
      <c r="AR17" s="41">
        <v>0</v>
      </c>
      <c r="AS17" s="22">
        <f t="shared" si="8"/>
        <v>0</v>
      </c>
      <c r="AT17" s="43">
        <v>0</v>
      </c>
      <c r="AU17" s="41">
        <v>0</v>
      </c>
      <c r="AV17" s="41">
        <v>0</v>
      </c>
      <c r="AW17" s="41">
        <v>0</v>
      </c>
      <c r="AX17" s="22">
        <f t="shared" si="9"/>
        <v>0</v>
      </c>
      <c r="AY17" s="43">
        <v>0</v>
      </c>
      <c r="AZ17" s="41">
        <v>0</v>
      </c>
      <c r="BA17" s="41">
        <v>0</v>
      </c>
      <c r="BB17" s="41">
        <v>0</v>
      </c>
      <c r="BC17" s="22">
        <f t="shared" si="10"/>
        <v>0</v>
      </c>
      <c r="BD17" s="43">
        <v>0</v>
      </c>
    </row>
    <row r="18" spans="1:56">
      <c r="A18" s="1" t="s">
        <v>413</v>
      </c>
      <c r="B18" s="41">
        <v>0</v>
      </c>
      <c r="C18" s="41">
        <v>0</v>
      </c>
      <c r="D18" s="41">
        <v>0</v>
      </c>
      <c r="E18" s="22">
        <f t="shared" si="0"/>
        <v>0</v>
      </c>
      <c r="F18" s="43">
        <v>0</v>
      </c>
      <c r="G18" s="41">
        <v>0</v>
      </c>
      <c r="H18" s="41">
        <v>0</v>
      </c>
      <c r="I18" s="41">
        <v>0</v>
      </c>
      <c r="J18" s="22">
        <f t="shared" si="1"/>
        <v>0</v>
      </c>
      <c r="K18" s="43">
        <v>0</v>
      </c>
      <c r="L18" s="41">
        <v>0</v>
      </c>
      <c r="M18" s="41">
        <v>0</v>
      </c>
      <c r="N18" s="41">
        <v>0</v>
      </c>
      <c r="O18" s="22">
        <f t="shared" si="2"/>
        <v>0</v>
      </c>
      <c r="P18" s="43">
        <v>0</v>
      </c>
      <c r="Q18" s="41">
        <v>0</v>
      </c>
      <c r="R18" s="41">
        <v>0</v>
      </c>
      <c r="S18" s="41">
        <v>0</v>
      </c>
      <c r="T18" s="22">
        <f t="shared" si="3"/>
        <v>0</v>
      </c>
      <c r="U18" s="43">
        <v>0</v>
      </c>
      <c r="V18" s="41">
        <v>0</v>
      </c>
      <c r="W18" s="41">
        <v>0</v>
      </c>
      <c r="X18" s="41">
        <v>0</v>
      </c>
      <c r="Y18" s="22">
        <f t="shared" si="4"/>
        <v>0</v>
      </c>
      <c r="Z18" s="43">
        <v>0</v>
      </c>
      <c r="AA18" s="41">
        <v>0</v>
      </c>
      <c r="AB18" s="41">
        <v>0</v>
      </c>
      <c r="AC18" s="41">
        <v>0</v>
      </c>
      <c r="AD18" s="22">
        <f t="shared" si="5"/>
        <v>0</v>
      </c>
      <c r="AE18" s="43">
        <v>0</v>
      </c>
      <c r="AF18" s="41">
        <v>0</v>
      </c>
      <c r="AG18" s="41">
        <v>0</v>
      </c>
      <c r="AH18" s="41">
        <v>0</v>
      </c>
      <c r="AI18" s="22">
        <f t="shared" si="6"/>
        <v>0</v>
      </c>
      <c r="AJ18" s="43">
        <v>0</v>
      </c>
      <c r="AK18" s="41">
        <v>0</v>
      </c>
      <c r="AL18" s="41">
        <v>0</v>
      </c>
      <c r="AM18" s="41">
        <v>0</v>
      </c>
      <c r="AN18" s="22">
        <f t="shared" si="7"/>
        <v>0</v>
      </c>
      <c r="AO18" s="43">
        <v>0</v>
      </c>
      <c r="AP18" s="41">
        <v>0</v>
      </c>
      <c r="AQ18" s="41">
        <v>0</v>
      </c>
      <c r="AR18" s="41">
        <v>0</v>
      </c>
      <c r="AS18" s="22">
        <f t="shared" si="8"/>
        <v>0</v>
      </c>
      <c r="AT18" s="43">
        <v>0</v>
      </c>
      <c r="AU18" s="41">
        <v>0</v>
      </c>
      <c r="AV18" s="41">
        <v>0</v>
      </c>
      <c r="AW18" s="41">
        <v>0</v>
      </c>
      <c r="AX18" s="22">
        <f t="shared" si="9"/>
        <v>0</v>
      </c>
      <c r="AY18" s="43">
        <v>0</v>
      </c>
      <c r="AZ18" s="41">
        <v>0</v>
      </c>
      <c r="BA18" s="41">
        <v>0</v>
      </c>
      <c r="BB18" s="41">
        <v>0</v>
      </c>
      <c r="BC18" s="22">
        <f t="shared" si="10"/>
        <v>0</v>
      </c>
      <c r="BD18" s="43">
        <v>0</v>
      </c>
    </row>
    <row r="19" spans="1:56">
      <c r="A19" s="1" t="s">
        <v>449</v>
      </c>
      <c r="B19" s="41">
        <v>0</v>
      </c>
      <c r="C19" s="41">
        <v>0</v>
      </c>
      <c r="D19" s="41">
        <v>0</v>
      </c>
      <c r="E19" s="22">
        <f>+F19-SUM(B19,C19,D19)</f>
        <v>0</v>
      </c>
      <c r="F19" s="43">
        <v>0</v>
      </c>
      <c r="G19" s="41">
        <v>0</v>
      </c>
      <c r="H19" s="41">
        <v>0</v>
      </c>
      <c r="I19" s="41">
        <v>0</v>
      </c>
      <c r="J19" s="22">
        <f>+K19-SUM(G19,H19,I19)</f>
        <v>0</v>
      </c>
      <c r="K19" s="43">
        <v>0</v>
      </c>
      <c r="L19" s="41">
        <v>0</v>
      </c>
      <c r="M19" s="41">
        <v>0</v>
      </c>
      <c r="N19" s="41">
        <v>0</v>
      </c>
      <c r="O19" s="22">
        <f>+P19-SUM(L19,M19,N19)</f>
        <v>0</v>
      </c>
      <c r="P19" s="43">
        <v>0</v>
      </c>
      <c r="Q19" s="41">
        <v>0</v>
      </c>
      <c r="R19" s="41">
        <v>0</v>
      </c>
      <c r="S19" s="41">
        <v>0</v>
      </c>
      <c r="T19" s="22">
        <f>+U19-SUM(Q19,R19,S19)</f>
        <v>0</v>
      </c>
      <c r="U19" s="43">
        <v>0</v>
      </c>
      <c r="V19" s="41">
        <v>0</v>
      </c>
      <c r="W19" s="41">
        <v>0</v>
      </c>
      <c r="X19" s="41">
        <v>0</v>
      </c>
      <c r="Y19" s="22">
        <f>+Z19-SUM(V19,W19,X19)</f>
        <v>0</v>
      </c>
      <c r="Z19" s="43">
        <v>0</v>
      </c>
      <c r="AA19" s="41">
        <v>0</v>
      </c>
      <c r="AB19" s="41">
        <v>0</v>
      </c>
      <c r="AC19" s="41">
        <v>0</v>
      </c>
      <c r="AD19" s="22">
        <f>+AE19-SUM(AA19,AB19,AC19)</f>
        <v>0</v>
      </c>
      <c r="AE19" s="43">
        <v>0</v>
      </c>
      <c r="AF19" s="41">
        <v>0</v>
      </c>
      <c r="AG19" s="41">
        <v>0</v>
      </c>
      <c r="AH19" s="41">
        <v>0</v>
      </c>
      <c r="AI19" s="22">
        <f>+AJ19-SUM(AF19,AG19,AH19)</f>
        <v>0</v>
      </c>
      <c r="AJ19" s="43">
        <v>0</v>
      </c>
      <c r="AK19" s="41">
        <v>0</v>
      </c>
      <c r="AL19" s="41">
        <v>0</v>
      </c>
      <c r="AM19" s="41">
        <v>0</v>
      </c>
      <c r="AN19" s="22">
        <f>+AO19-SUM(AK19,AL19,AM19)</f>
        <v>0</v>
      </c>
      <c r="AO19" s="43">
        <v>0</v>
      </c>
      <c r="AP19" s="41">
        <v>0</v>
      </c>
      <c r="AQ19" s="41">
        <v>0</v>
      </c>
      <c r="AR19" s="41">
        <v>1</v>
      </c>
      <c r="AS19" s="22">
        <f>+AT19-SUM(AP19,AQ19,AR19)</f>
        <v>2</v>
      </c>
      <c r="AT19" s="43">
        <v>3</v>
      </c>
      <c r="AU19" s="41">
        <v>0</v>
      </c>
      <c r="AV19" s="41">
        <v>0</v>
      </c>
      <c r="AW19" s="41">
        <v>1</v>
      </c>
      <c r="AX19" s="22">
        <f>+AY19-SUM(AU19,AV19,AW19)</f>
        <v>1</v>
      </c>
      <c r="AY19" s="43">
        <v>2</v>
      </c>
      <c r="AZ19" s="41">
        <v>0</v>
      </c>
      <c r="BA19" s="41">
        <v>0</v>
      </c>
      <c r="BB19" s="41">
        <v>0</v>
      </c>
      <c r="BC19" s="22">
        <f>+BD19-SUM(AZ19,BA19,BB19)</f>
        <v>0</v>
      </c>
      <c r="BD19" s="43">
        <v>0</v>
      </c>
    </row>
    <row r="20" spans="1:56">
      <c r="A20" s="1" t="s">
        <v>450</v>
      </c>
      <c r="B20" s="41">
        <v>0</v>
      </c>
      <c r="C20" s="41">
        <v>0</v>
      </c>
      <c r="D20" s="41">
        <v>0</v>
      </c>
      <c r="E20" s="22">
        <f>+F20-SUM(B20,C20,D20)</f>
        <v>0</v>
      </c>
      <c r="F20" s="43">
        <v>0</v>
      </c>
      <c r="G20" s="41">
        <v>0</v>
      </c>
      <c r="H20" s="41">
        <v>0</v>
      </c>
      <c r="I20" s="41">
        <v>0</v>
      </c>
      <c r="J20" s="22">
        <f>+K20-SUM(G20,H20,I20)</f>
        <v>0</v>
      </c>
      <c r="K20" s="43">
        <v>0</v>
      </c>
      <c r="L20" s="41">
        <v>0</v>
      </c>
      <c r="M20" s="41">
        <v>0</v>
      </c>
      <c r="N20" s="41">
        <v>0</v>
      </c>
      <c r="O20" s="22">
        <f>+P20-SUM(L20,M20,N20)</f>
        <v>0</v>
      </c>
      <c r="P20" s="43">
        <v>0</v>
      </c>
      <c r="Q20" s="41">
        <v>0</v>
      </c>
      <c r="R20" s="41">
        <v>0</v>
      </c>
      <c r="S20" s="41">
        <v>0</v>
      </c>
      <c r="T20" s="22">
        <f>+U20-SUM(Q20,R20,S20)</f>
        <v>0</v>
      </c>
      <c r="U20" s="43">
        <v>0</v>
      </c>
      <c r="V20" s="41">
        <v>0</v>
      </c>
      <c r="W20" s="41">
        <v>0</v>
      </c>
      <c r="X20" s="41">
        <v>0</v>
      </c>
      <c r="Y20" s="22">
        <f>+Z20-SUM(V20,W20,X20)</f>
        <v>0</v>
      </c>
      <c r="Z20" s="43">
        <v>0</v>
      </c>
      <c r="AA20" s="41">
        <v>0</v>
      </c>
      <c r="AB20" s="41">
        <v>0</v>
      </c>
      <c r="AC20" s="41">
        <v>0</v>
      </c>
      <c r="AD20" s="22">
        <f>+AE20-SUM(AA20,AB20,AC20)</f>
        <v>0</v>
      </c>
      <c r="AE20" s="43">
        <v>0</v>
      </c>
      <c r="AF20" s="41">
        <v>0</v>
      </c>
      <c r="AG20" s="41">
        <v>0</v>
      </c>
      <c r="AH20" s="41">
        <v>0</v>
      </c>
      <c r="AI20" s="22">
        <f>+AJ20-SUM(AF20,AG20,AH20)</f>
        <v>0</v>
      </c>
      <c r="AJ20" s="43">
        <v>0</v>
      </c>
      <c r="AK20" s="41">
        <v>0</v>
      </c>
      <c r="AL20" s="41">
        <v>0</v>
      </c>
      <c r="AM20" s="41">
        <v>0</v>
      </c>
      <c r="AN20" s="22">
        <f>+AO20-SUM(AK20,AL20,AM20)</f>
        <v>0</v>
      </c>
      <c r="AO20" s="43">
        <v>0</v>
      </c>
      <c r="AP20" s="41">
        <v>0</v>
      </c>
      <c r="AQ20" s="41">
        <v>0</v>
      </c>
      <c r="AR20" s="41">
        <v>0</v>
      </c>
      <c r="AS20" s="22">
        <f>+AT20-SUM(AP20,AQ20,AR20)</f>
        <v>0</v>
      </c>
      <c r="AT20" s="43">
        <v>0</v>
      </c>
      <c r="AU20" s="41">
        <v>0</v>
      </c>
      <c r="AV20" s="41">
        <v>0</v>
      </c>
      <c r="AW20" s="41">
        <v>0</v>
      </c>
      <c r="AX20" s="22">
        <f>+AY20-SUM(AU20,AV20,AW20)</f>
        <v>0</v>
      </c>
      <c r="AY20" s="43">
        <v>0</v>
      </c>
      <c r="AZ20" s="41">
        <v>0</v>
      </c>
      <c r="BA20" s="41">
        <v>0</v>
      </c>
      <c r="BB20" s="41">
        <v>0</v>
      </c>
      <c r="BC20" s="22">
        <f>+BD20-SUM(AZ20,BA20,BB20)</f>
        <v>0</v>
      </c>
      <c r="BD20" s="43">
        <v>0</v>
      </c>
    </row>
    <row r="21" spans="1:56">
      <c r="A21" s="1" t="s">
        <v>451</v>
      </c>
      <c r="B21" s="41">
        <v>0</v>
      </c>
      <c r="C21" s="41">
        <v>0</v>
      </c>
      <c r="D21" s="41">
        <v>0</v>
      </c>
      <c r="E21" s="22">
        <f>+F21-SUM(B21,C21,D21)</f>
        <v>0</v>
      </c>
      <c r="F21" s="43">
        <v>0</v>
      </c>
      <c r="G21" s="41">
        <v>0</v>
      </c>
      <c r="H21" s="41">
        <v>0</v>
      </c>
      <c r="I21" s="41">
        <v>0</v>
      </c>
      <c r="J21" s="22">
        <f>+K21-SUM(G21,H21,I21)</f>
        <v>0</v>
      </c>
      <c r="K21" s="43">
        <v>0</v>
      </c>
      <c r="L21" s="41">
        <v>0</v>
      </c>
      <c r="M21" s="41">
        <v>0</v>
      </c>
      <c r="N21" s="41">
        <v>0</v>
      </c>
      <c r="O21" s="22">
        <f>+P21-SUM(L21,M21,N21)</f>
        <v>0</v>
      </c>
      <c r="P21" s="43">
        <v>0</v>
      </c>
      <c r="Q21" s="41">
        <v>0</v>
      </c>
      <c r="R21" s="41">
        <v>0</v>
      </c>
      <c r="S21" s="41">
        <v>0</v>
      </c>
      <c r="T21" s="22">
        <f>+U21-SUM(Q21,R21,S21)</f>
        <v>0</v>
      </c>
      <c r="U21" s="43">
        <v>0</v>
      </c>
      <c r="V21" s="41">
        <v>0</v>
      </c>
      <c r="W21" s="41">
        <v>0</v>
      </c>
      <c r="X21" s="41">
        <v>0</v>
      </c>
      <c r="Y21" s="22">
        <f>+Z21-SUM(V21,W21,X21)</f>
        <v>0</v>
      </c>
      <c r="Z21" s="43">
        <v>0</v>
      </c>
      <c r="AA21" s="41">
        <v>0</v>
      </c>
      <c r="AB21" s="41">
        <v>0</v>
      </c>
      <c r="AC21" s="41">
        <v>0</v>
      </c>
      <c r="AD21" s="22">
        <f>+AE21-SUM(AA21,AB21,AC21)</f>
        <v>0</v>
      </c>
      <c r="AE21" s="43">
        <v>0</v>
      </c>
      <c r="AF21" s="41">
        <v>0</v>
      </c>
      <c r="AG21" s="41">
        <v>0</v>
      </c>
      <c r="AH21" s="41">
        <v>0</v>
      </c>
      <c r="AI21" s="22">
        <f>+AJ21-SUM(AF21,AG21,AH21)</f>
        <v>0</v>
      </c>
      <c r="AJ21" s="43">
        <v>0</v>
      </c>
      <c r="AK21" s="41">
        <v>0</v>
      </c>
      <c r="AL21" s="41">
        <v>0</v>
      </c>
      <c r="AM21" s="41">
        <v>4</v>
      </c>
      <c r="AN21" s="22">
        <f>+AO21-SUM(AK21,AL21,AM21)</f>
        <v>0</v>
      </c>
      <c r="AO21" s="43">
        <v>4</v>
      </c>
      <c r="AP21" s="41">
        <v>0</v>
      </c>
      <c r="AQ21" s="41">
        <v>0</v>
      </c>
      <c r="AR21" s="41">
        <v>1</v>
      </c>
      <c r="AS21" s="22">
        <f>+AT21-SUM(AP21,AQ21,AR21)</f>
        <v>1</v>
      </c>
      <c r="AT21" s="43">
        <v>2</v>
      </c>
      <c r="AU21" s="41">
        <v>0</v>
      </c>
      <c r="AV21" s="41">
        <v>0</v>
      </c>
      <c r="AW21" s="41">
        <v>3</v>
      </c>
      <c r="AX21" s="22">
        <f>+AY21-SUM(AU21,AV21,AW21)</f>
        <v>3</v>
      </c>
      <c r="AY21" s="43">
        <v>6</v>
      </c>
      <c r="AZ21" s="41">
        <v>1</v>
      </c>
      <c r="BA21" s="41">
        <v>4</v>
      </c>
      <c r="BB21" s="41">
        <v>1</v>
      </c>
      <c r="BC21" s="22">
        <f>+BD21-SUM(AZ21,BA21,BB21)</f>
        <v>3</v>
      </c>
      <c r="BD21" s="43">
        <v>9</v>
      </c>
    </row>
    <row r="22" spans="1:56">
      <c r="A22" s="5" t="s">
        <v>303</v>
      </c>
      <c r="B22" s="41"/>
      <c r="C22" s="41"/>
      <c r="D22" s="41"/>
      <c r="E22" s="22"/>
      <c r="F22" s="43"/>
      <c r="G22" s="41"/>
      <c r="H22" s="41"/>
      <c r="I22" s="41"/>
      <c r="J22" s="22"/>
      <c r="K22" s="43"/>
      <c r="L22" s="41"/>
      <c r="M22" s="41"/>
      <c r="N22" s="41"/>
      <c r="O22" s="22"/>
      <c r="P22" s="43"/>
      <c r="Q22" s="41"/>
      <c r="R22" s="41"/>
      <c r="S22" s="41"/>
      <c r="T22" s="22"/>
      <c r="U22" s="43"/>
      <c r="V22" s="41"/>
      <c r="W22" s="41"/>
      <c r="X22" s="41"/>
      <c r="Y22" s="22"/>
      <c r="Z22" s="43"/>
      <c r="AA22" s="41"/>
      <c r="AB22" s="41"/>
      <c r="AC22" s="41"/>
      <c r="AD22" s="22"/>
      <c r="AE22" s="43"/>
      <c r="AF22" s="41"/>
      <c r="AG22" s="41"/>
      <c r="AH22" s="41"/>
      <c r="AI22" s="22"/>
      <c r="AJ22" s="43"/>
      <c r="AK22" s="41"/>
      <c r="AL22" s="41"/>
      <c r="AM22" s="41"/>
      <c r="AN22" s="22"/>
      <c r="AO22" s="43"/>
      <c r="AP22" s="41"/>
      <c r="AQ22" s="41"/>
      <c r="AR22" s="41"/>
      <c r="AS22" s="22"/>
      <c r="AT22" s="43"/>
      <c r="AU22" s="41"/>
      <c r="AV22" s="41"/>
      <c r="AX22" s="22"/>
      <c r="AY22" s="43"/>
      <c r="AZ22" s="41"/>
      <c r="BA22" s="41"/>
      <c r="BB22" s="41"/>
      <c r="BC22" s="22"/>
      <c r="BD22" s="43"/>
    </row>
    <row r="23" spans="1:56">
      <c r="A23" s="1" t="s">
        <v>323</v>
      </c>
      <c r="B23" s="41">
        <v>0</v>
      </c>
      <c r="C23" s="41">
        <v>1</v>
      </c>
      <c r="D23" s="41">
        <v>0</v>
      </c>
      <c r="E23" s="22">
        <f t="shared" si="0"/>
        <v>2</v>
      </c>
      <c r="F23" s="43">
        <v>3</v>
      </c>
      <c r="G23" s="41">
        <v>1</v>
      </c>
      <c r="H23" s="41">
        <v>0</v>
      </c>
      <c r="I23" s="41">
        <v>2</v>
      </c>
      <c r="J23" s="22">
        <f t="shared" si="1"/>
        <v>2</v>
      </c>
      <c r="K23" s="43">
        <v>5</v>
      </c>
      <c r="L23" s="41">
        <v>1</v>
      </c>
      <c r="M23" s="41">
        <v>2</v>
      </c>
      <c r="N23" s="41">
        <v>0</v>
      </c>
      <c r="O23" s="22">
        <f t="shared" si="2"/>
        <v>0</v>
      </c>
      <c r="P23" s="43">
        <v>3</v>
      </c>
      <c r="Q23" s="41">
        <v>0</v>
      </c>
      <c r="R23" s="41">
        <v>0</v>
      </c>
      <c r="S23" s="41">
        <v>1</v>
      </c>
      <c r="T23" s="22">
        <f t="shared" si="3"/>
        <v>0</v>
      </c>
      <c r="U23" s="43">
        <v>1</v>
      </c>
      <c r="V23" s="41">
        <v>0</v>
      </c>
      <c r="W23" s="41">
        <v>1</v>
      </c>
      <c r="X23" s="41">
        <v>0</v>
      </c>
      <c r="Y23" s="22">
        <f t="shared" si="4"/>
        <v>1</v>
      </c>
      <c r="Z23" s="43">
        <v>2</v>
      </c>
      <c r="AA23" s="41">
        <v>0</v>
      </c>
      <c r="AB23" s="41">
        <v>0</v>
      </c>
      <c r="AC23" s="41">
        <v>0</v>
      </c>
      <c r="AD23" s="22">
        <f>+AE23-SUM(AA23,AB23,AC23)</f>
        <v>2</v>
      </c>
      <c r="AE23" s="43">
        <v>2</v>
      </c>
      <c r="AF23" s="41">
        <v>0</v>
      </c>
      <c r="AG23" s="41">
        <v>0</v>
      </c>
      <c r="AH23" s="41">
        <v>0</v>
      </c>
      <c r="AI23" s="22">
        <f>+AJ23-SUM(AF23,AG23,AH23)</f>
        <v>0</v>
      </c>
      <c r="AJ23" s="43">
        <v>0</v>
      </c>
      <c r="AK23" s="41">
        <v>0</v>
      </c>
      <c r="AL23" s="41">
        <v>0</v>
      </c>
      <c r="AM23" s="41">
        <v>2</v>
      </c>
      <c r="AN23" s="22">
        <f>+AO23-SUM(AK23,AL23,AM23)</f>
        <v>4</v>
      </c>
      <c r="AO23" s="43">
        <v>6</v>
      </c>
      <c r="AP23" s="41">
        <v>3</v>
      </c>
      <c r="AQ23" s="41">
        <v>0</v>
      </c>
      <c r="AR23" s="41">
        <v>0</v>
      </c>
      <c r="AS23" s="22">
        <f>+AT23-SUM(AP23,AQ23,AR23)</f>
        <v>2</v>
      </c>
      <c r="AT23" s="43">
        <v>5</v>
      </c>
      <c r="AU23" s="41">
        <v>0</v>
      </c>
      <c r="AV23" s="41">
        <v>0</v>
      </c>
      <c r="AW23" s="41">
        <v>0</v>
      </c>
      <c r="AX23" s="22">
        <f>+AY23-SUM(AU23,AV23,AW23)</f>
        <v>2</v>
      </c>
      <c r="AY23" s="43">
        <v>2</v>
      </c>
      <c r="AZ23" s="41">
        <v>0</v>
      </c>
      <c r="BA23" s="41">
        <v>2</v>
      </c>
      <c r="BB23" s="41">
        <v>2</v>
      </c>
      <c r="BC23" s="22">
        <f>+BD23-SUM(AZ23,BA23,BB23)</f>
        <v>0</v>
      </c>
      <c r="BD23" s="43">
        <v>4</v>
      </c>
    </row>
    <row r="24" spans="1:56">
      <c r="A24" s="1" t="s">
        <v>324</v>
      </c>
      <c r="B24" s="41">
        <v>0</v>
      </c>
      <c r="C24" s="41">
        <v>1</v>
      </c>
      <c r="D24" s="41">
        <v>0</v>
      </c>
      <c r="E24" s="22">
        <f t="shared" si="0"/>
        <v>0</v>
      </c>
      <c r="F24" s="43">
        <v>1</v>
      </c>
      <c r="G24" s="41">
        <v>0</v>
      </c>
      <c r="H24" s="41">
        <v>1</v>
      </c>
      <c r="I24" s="41">
        <v>1</v>
      </c>
      <c r="J24" s="22">
        <f t="shared" si="1"/>
        <v>0</v>
      </c>
      <c r="K24" s="43">
        <v>2</v>
      </c>
      <c r="L24" s="41">
        <v>0</v>
      </c>
      <c r="M24" s="41">
        <v>0</v>
      </c>
      <c r="N24" s="41">
        <v>0</v>
      </c>
      <c r="O24" s="22">
        <f t="shared" si="2"/>
        <v>1</v>
      </c>
      <c r="P24" s="43">
        <v>1</v>
      </c>
      <c r="Q24" s="41">
        <v>0</v>
      </c>
      <c r="R24" s="41">
        <v>0</v>
      </c>
      <c r="S24" s="41">
        <v>0</v>
      </c>
      <c r="T24" s="22">
        <f t="shared" si="3"/>
        <v>1</v>
      </c>
      <c r="U24" s="43">
        <v>1</v>
      </c>
      <c r="V24" s="41">
        <v>0</v>
      </c>
      <c r="W24" s="41">
        <v>0</v>
      </c>
      <c r="X24" s="41">
        <v>0</v>
      </c>
      <c r="Y24" s="22">
        <f t="shared" si="4"/>
        <v>0</v>
      </c>
      <c r="Z24" s="43">
        <v>0</v>
      </c>
      <c r="AA24" s="41">
        <v>0</v>
      </c>
      <c r="AB24" s="41">
        <v>0</v>
      </c>
      <c r="AC24" s="41">
        <v>0</v>
      </c>
      <c r="AD24" s="22">
        <f>+AE24-SUM(AA24,AB24,AC24)</f>
        <v>0</v>
      </c>
      <c r="AE24" s="43">
        <v>0</v>
      </c>
      <c r="AF24" s="41">
        <v>0</v>
      </c>
      <c r="AG24" s="41">
        <v>0</v>
      </c>
      <c r="AH24" s="41">
        <v>0</v>
      </c>
      <c r="AI24" s="22">
        <f>+AJ24-SUM(AF24,AG24,AH24)</f>
        <v>0</v>
      </c>
      <c r="AJ24" s="43">
        <v>0</v>
      </c>
      <c r="AK24" s="41">
        <v>0</v>
      </c>
      <c r="AL24" s="41">
        <v>0</v>
      </c>
      <c r="AM24" s="41">
        <v>0</v>
      </c>
      <c r="AN24" s="22">
        <f>+AO24-SUM(AK24,AL24,AM24)</f>
        <v>1</v>
      </c>
      <c r="AO24" s="43">
        <v>1</v>
      </c>
      <c r="AP24" s="41">
        <v>0</v>
      </c>
      <c r="AQ24" s="41">
        <v>0</v>
      </c>
      <c r="AR24" s="41">
        <v>0</v>
      </c>
      <c r="AS24" s="22">
        <f>+AT24-SUM(AP24,AQ24,AR24)</f>
        <v>0</v>
      </c>
      <c r="AT24" s="43">
        <v>0</v>
      </c>
      <c r="AU24" s="41">
        <v>0</v>
      </c>
      <c r="AV24" s="41">
        <v>0</v>
      </c>
      <c r="AW24" s="41">
        <v>0</v>
      </c>
      <c r="AX24" s="22">
        <f>+AY24-SUM(AU24,AV24,AW24)</f>
        <v>0</v>
      </c>
      <c r="AY24" s="43">
        <v>0</v>
      </c>
      <c r="AZ24" s="41">
        <v>0</v>
      </c>
      <c r="BA24" s="41">
        <v>0</v>
      </c>
      <c r="BB24" s="41">
        <v>0</v>
      </c>
      <c r="BC24" s="22">
        <f>+BD24-SUM(AZ24,BA24,BB24)</f>
        <v>0</v>
      </c>
      <c r="BD24" s="43">
        <v>0</v>
      </c>
    </row>
    <row r="25" spans="1:56">
      <c r="A25" s="1" t="s">
        <v>414</v>
      </c>
      <c r="B25" s="41">
        <v>0</v>
      </c>
      <c r="C25" s="41">
        <v>0</v>
      </c>
      <c r="D25" s="41">
        <v>0</v>
      </c>
      <c r="E25" s="22">
        <f t="shared" si="0"/>
        <v>0</v>
      </c>
      <c r="F25" s="43">
        <v>0</v>
      </c>
      <c r="G25" s="41">
        <v>0</v>
      </c>
      <c r="H25" s="41">
        <v>0</v>
      </c>
      <c r="I25" s="41">
        <v>0</v>
      </c>
      <c r="J25" s="22">
        <f t="shared" si="1"/>
        <v>0</v>
      </c>
      <c r="K25" s="43">
        <v>0</v>
      </c>
      <c r="L25" s="41">
        <v>0</v>
      </c>
      <c r="M25" s="41">
        <v>0</v>
      </c>
      <c r="N25" s="41">
        <v>0</v>
      </c>
      <c r="O25" s="22">
        <f t="shared" si="2"/>
        <v>0</v>
      </c>
      <c r="P25" s="43">
        <v>0</v>
      </c>
      <c r="Q25" s="41">
        <v>0</v>
      </c>
      <c r="R25" s="41">
        <v>0</v>
      </c>
      <c r="S25" s="41">
        <v>0</v>
      </c>
      <c r="T25" s="22">
        <f t="shared" si="3"/>
        <v>0</v>
      </c>
      <c r="U25" s="43">
        <v>0</v>
      </c>
      <c r="V25" s="41">
        <v>0</v>
      </c>
      <c r="W25" s="41">
        <v>0</v>
      </c>
      <c r="X25" s="41">
        <v>0</v>
      </c>
      <c r="Y25" s="22">
        <f t="shared" si="4"/>
        <v>0</v>
      </c>
      <c r="Z25" s="43">
        <v>0</v>
      </c>
      <c r="AA25" s="41">
        <v>0</v>
      </c>
      <c r="AB25" s="41">
        <v>0</v>
      </c>
      <c r="AC25" s="41">
        <v>0</v>
      </c>
      <c r="AD25" s="22">
        <f>+AE25-SUM(AA25,AB25,AC25)</f>
        <v>0</v>
      </c>
      <c r="AE25" s="43">
        <v>0</v>
      </c>
      <c r="AF25" s="41">
        <v>0</v>
      </c>
      <c r="AG25" s="41">
        <v>0</v>
      </c>
      <c r="AH25" s="41">
        <v>0</v>
      </c>
      <c r="AI25" s="22">
        <f>+AJ25-SUM(AF25,AG25,AH25)</f>
        <v>0</v>
      </c>
      <c r="AJ25" s="43">
        <v>0</v>
      </c>
      <c r="AK25" s="41">
        <v>0</v>
      </c>
      <c r="AL25" s="41">
        <v>0</v>
      </c>
      <c r="AM25" s="41">
        <v>0</v>
      </c>
      <c r="AN25" s="22">
        <f>+AO25-SUM(AK25,AL25,AM25)</f>
        <v>0</v>
      </c>
      <c r="AO25" s="43">
        <v>0</v>
      </c>
      <c r="AP25" s="41">
        <v>0</v>
      </c>
      <c r="AQ25" s="41">
        <v>0</v>
      </c>
      <c r="AR25" s="41">
        <v>0</v>
      </c>
      <c r="AS25" s="22">
        <f>+AT25-SUM(AP25,AQ25,AR25)</f>
        <v>0</v>
      </c>
      <c r="AT25" s="43">
        <v>0</v>
      </c>
      <c r="AU25" s="41">
        <v>0</v>
      </c>
      <c r="AV25" s="41">
        <v>0</v>
      </c>
      <c r="AW25" s="41">
        <v>0</v>
      </c>
      <c r="AX25" s="22">
        <f>+AY25-SUM(AU25,AV25,AW25)</f>
        <v>0</v>
      </c>
      <c r="AY25" s="43">
        <v>0</v>
      </c>
      <c r="AZ25" s="41">
        <v>0</v>
      </c>
      <c r="BA25" s="41">
        <v>0</v>
      </c>
      <c r="BB25" s="41">
        <v>0</v>
      </c>
      <c r="BC25" s="22">
        <f>+BD25-SUM(AZ25,BA25,BB25)</f>
        <v>0</v>
      </c>
      <c r="BD25" s="43">
        <v>0</v>
      </c>
    </row>
    <row r="26" spans="1:56">
      <c r="A26" s="1" t="s">
        <v>415</v>
      </c>
      <c r="B26" s="41">
        <v>0</v>
      </c>
      <c r="C26" s="41">
        <v>0</v>
      </c>
      <c r="D26" s="41">
        <v>0</v>
      </c>
      <c r="E26" s="22">
        <f t="shared" si="0"/>
        <v>0</v>
      </c>
      <c r="F26" s="43">
        <v>0</v>
      </c>
      <c r="G26" s="41">
        <v>0</v>
      </c>
      <c r="H26" s="41">
        <v>0</v>
      </c>
      <c r="I26" s="41">
        <v>0</v>
      </c>
      <c r="J26" s="22">
        <f t="shared" si="1"/>
        <v>0</v>
      </c>
      <c r="K26" s="43">
        <v>0</v>
      </c>
      <c r="L26" s="41">
        <v>0</v>
      </c>
      <c r="M26" s="41">
        <v>0</v>
      </c>
      <c r="N26" s="41">
        <v>0</v>
      </c>
      <c r="O26" s="22">
        <f t="shared" si="2"/>
        <v>0</v>
      </c>
      <c r="P26" s="43">
        <v>0</v>
      </c>
      <c r="Q26" s="41">
        <v>0</v>
      </c>
      <c r="R26" s="41">
        <v>0</v>
      </c>
      <c r="S26" s="41">
        <v>0</v>
      </c>
      <c r="T26" s="22">
        <f t="shared" si="3"/>
        <v>0</v>
      </c>
      <c r="U26" s="43">
        <v>0</v>
      </c>
      <c r="V26" s="41">
        <v>0</v>
      </c>
      <c r="W26" s="41">
        <v>0</v>
      </c>
      <c r="X26" s="41">
        <v>0</v>
      </c>
      <c r="Y26" s="22">
        <f t="shared" si="4"/>
        <v>0</v>
      </c>
      <c r="Z26" s="43">
        <v>0</v>
      </c>
      <c r="AA26" s="41">
        <v>0</v>
      </c>
      <c r="AB26" s="41">
        <v>0</v>
      </c>
      <c r="AC26" s="41">
        <v>0</v>
      </c>
      <c r="AD26" s="22">
        <f>+AE26-SUM(AA26,AB26,AC26)</f>
        <v>0</v>
      </c>
      <c r="AE26" s="43">
        <v>0</v>
      </c>
      <c r="AF26" s="41">
        <v>0</v>
      </c>
      <c r="AG26" s="41">
        <v>0</v>
      </c>
      <c r="AH26" s="41">
        <v>0</v>
      </c>
      <c r="AI26" s="22">
        <f>+AJ26-SUM(AF26,AG26,AH26)</f>
        <v>0</v>
      </c>
      <c r="AJ26" s="43">
        <v>0</v>
      </c>
      <c r="AK26" s="41">
        <v>0</v>
      </c>
      <c r="AL26" s="41">
        <v>0</v>
      </c>
      <c r="AM26" s="41">
        <v>0</v>
      </c>
      <c r="AN26" s="22">
        <f>+AO26-SUM(AK26,AL26,AM26)</f>
        <v>0</v>
      </c>
      <c r="AO26" s="43">
        <v>0</v>
      </c>
      <c r="AP26" s="41">
        <v>0</v>
      </c>
      <c r="AQ26" s="41">
        <v>0</v>
      </c>
      <c r="AR26" s="41">
        <v>0</v>
      </c>
      <c r="AS26" s="22">
        <f>+AT26-SUM(AP26,AQ26,AR26)</f>
        <v>0</v>
      </c>
      <c r="AT26" s="43">
        <v>0</v>
      </c>
      <c r="AU26" s="41">
        <v>0</v>
      </c>
      <c r="AV26" s="41">
        <v>0</v>
      </c>
      <c r="AW26" s="41">
        <v>0</v>
      </c>
      <c r="AX26" s="22">
        <f>+AY26-SUM(AU26,AV26,AW26)</f>
        <v>0</v>
      </c>
      <c r="AY26" s="43">
        <v>0</v>
      </c>
      <c r="AZ26" s="41">
        <v>0</v>
      </c>
      <c r="BA26" s="41">
        <v>0</v>
      </c>
      <c r="BB26" s="41">
        <v>0</v>
      </c>
      <c r="BC26" s="22">
        <f>+BD26-SUM(AZ26,BA26,BB26)</f>
        <v>0</v>
      </c>
      <c r="BD26" s="43">
        <v>0</v>
      </c>
    </row>
    <row r="27" spans="1:56">
      <c r="A27" s="14" t="s">
        <v>11</v>
      </c>
      <c r="B27" s="39">
        <f t="shared" ref="B27:AK27" si="11">SUM(B6:B26)</f>
        <v>42</v>
      </c>
      <c r="C27" s="39">
        <f t="shared" si="11"/>
        <v>56</v>
      </c>
      <c r="D27" s="39">
        <f t="shared" si="11"/>
        <v>48</v>
      </c>
      <c r="E27" s="39">
        <f t="shared" si="11"/>
        <v>44</v>
      </c>
      <c r="F27" s="40">
        <f t="shared" si="11"/>
        <v>190</v>
      </c>
      <c r="G27" s="39">
        <f t="shared" si="11"/>
        <v>50</v>
      </c>
      <c r="H27" s="39">
        <f t="shared" si="11"/>
        <v>45</v>
      </c>
      <c r="I27" s="39">
        <f t="shared" si="11"/>
        <v>50</v>
      </c>
      <c r="J27" s="39">
        <f t="shared" si="11"/>
        <v>40</v>
      </c>
      <c r="K27" s="40">
        <f t="shared" si="11"/>
        <v>185</v>
      </c>
      <c r="L27" s="39">
        <f t="shared" si="11"/>
        <v>42</v>
      </c>
      <c r="M27" s="39">
        <f t="shared" si="11"/>
        <v>45</v>
      </c>
      <c r="N27" s="39">
        <f t="shared" si="11"/>
        <v>44</v>
      </c>
      <c r="O27" s="39">
        <f t="shared" si="11"/>
        <v>43</v>
      </c>
      <c r="P27" s="40">
        <f t="shared" si="11"/>
        <v>174</v>
      </c>
      <c r="Q27" s="39">
        <f t="shared" si="11"/>
        <v>25</v>
      </c>
      <c r="R27" s="39">
        <f t="shared" si="11"/>
        <v>16</v>
      </c>
      <c r="S27" s="39">
        <f t="shared" si="11"/>
        <v>25</v>
      </c>
      <c r="T27" s="39">
        <f t="shared" si="11"/>
        <v>32</v>
      </c>
      <c r="U27" s="40">
        <f t="shared" si="11"/>
        <v>98</v>
      </c>
      <c r="V27" s="39">
        <f t="shared" si="11"/>
        <v>60</v>
      </c>
      <c r="W27" s="39">
        <f t="shared" si="11"/>
        <v>37</v>
      </c>
      <c r="X27" s="39">
        <f t="shared" si="11"/>
        <v>77</v>
      </c>
      <c r="Y27" s="39">
        <f t="shared" si="11"/>
        <v>57</v>
      </c>
      <c r="Z27" s="40">
        <f t="shared" si="11"/>
        <v>231</v>
      </c>
      <c r="AA27" s="39">
        <f t="shared" si="11"/>
        <v>39</v>
      </c>
      <c r="AB27" s="39">
        <f t="shared" si="11"/>
        <v>44</v>
      </c>
      <c r="AC27" s="39">
        <f>SUM(AC6:AC26)</f>
        <v>37</v>
      </c>
      <c r="AD27" s="39">
        <f>SUM(AD6:AD26)</f>
        <v>36</v>
      </c>
      <c r="AE27" s="40">
        <f>SUM(AE6:AE26)</f>
        <v>156</v>
      </c>
      <c r="AF27" s="39">
        <f>SUM(AF6:AF26)</f>
        <v>42</v>
      </c>
      <c r="AG27" s="39">
        <f>SUM(AG6:AG26)</f>
        <v>43</v>
      </c>
      <c r="AH27" s="39">
        <f t="shared" si="11"/>
        <v>37</v>
      </c>
      <c r="AI27" s="39">
        <f t="shared" si="11"/>
        <v>47</v>
      </c>
      <c r="AJ27" s="40">
        <f t="shared" si="11"/>
        <v>169</v>
      </c>
      <c r="AK27" s="39">
        <f t="shared" si="11"/>
        <v>41</v>
      </c>
      <c r="AL27" s="39">
        <f>SUM(AL6:AL26)</f>
        <v>40</v>
      </c>
      <c r="AM27" s="39">
        <f>SUM(AM6:AM26)</f>
        <v>36</v>
      </c>
      <c r="AN27" s="39">
        <f t="shared" ref="AN27:AO27" si="12">SUM(AN6:AN26)</f>
        <v>50</v>
      </c>
      <c r="AO27" s="40">
        <f t="shared" si="12"/>
        <v>167</v>
      </c>
      <c r="AP27" s="39">
        <f>SUM(AP6:AP26)</f>
        <v>42</v>
      </c>
      <c r="AQ27" s="39">
        <f>SUM(AQ6:AQ26)</f>
        <v>38</v>
      </c>
      <c r="AR27" s="39">
        <f>SUM(AR6:AR26)</f>
        <v>28</v>
      </c>
      <c r="AS27" s="39">
        <f t="shared" ref="AS27:AT27" si="13">SUM(AS6:AS26)</f>
        <v>54</v>
      </c>
      <c r="AT27" s="40">
        <f t="shared" si="13"/>
        <v>162</v>
      </c>
      <c r="AU27" s="39">
        <f>SUM(AU6:AU26)</f>
        <v>14</v>
      </c>
      <c r="AV27" s="39">
        <f>SUM(AV6:AV26)</f>
        <v>28</v>
      </c>
      <c r="AW27" s="39">
        <f>SUM(AW6:AW26)</f>
        <v>34</v>
      </c>
      <c r="AX27" s="39">
        <f t="shared" ref="AX27:AY27" si="14">SUM(AX6:AX26)</f>
        <v>36</v>
      </c>
      <c r="AY27" s="40">
        <f t="shared" si="14"/>
        <v>112</v>
      </c>
      <c r="AZ27" s="39">
        <f>SUM(AZ6:AZ26)</f>
        <v>26</v>
      </c>
      <c r="BA27" s="39">
        <f>SUM(BA6:BA26)</f>
        <v>36</v>
      </c>
      <c r="BB27" s="39">
        <f>SUM(BB6:BB26)</f>
        <v>32</v>
      </c>
      <c r="BC27" s="39">
        <f t="shared" ref="BC27:BD27" si="15">SUM(BC6:BC26)</f>
        <v>37</v>
      </c>
      <c r="BD27" s="40">
        <f t="shared" si="15"/>
        <v>131</v>
      </c>
    </row>
  </sheetData>
  <pageMargins left="0.7" right="0.7" top="0.75" bottom="0.75" header="0.3" footer="0.3"/>
  <pageSetup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41"/>
  <dimension ref="A1:AJ26"/>
  <sheetViews>
    <sheetView showGridLines="0" zoomScale="85" zoomScaleNormal="85" workbookViewId="0">
      <pane xSplit="1" ySplit="2" topLeftCell="U3" activePane="bottomRight" state="frozen"/>
      <selection activeCell="F35" sqref="F35"/>
      <selection pane="topRight" activeCell="F35" sqref="F35"/>
      <selection pane="bottomLeft" activeCell="F35" sqref="F35"/>
      <selection pane="bottomRight" activeCell="AB5" sqref="AB5"/>
    </sheetView>
  </sheetViews>
  <sheetFormatPr defaultRowHeight="14.5"/>
  <cols>
    <col min="1" max="1" width="47.81640625" customWidth="1"/>
    <col min="2" max="21" width="12.1796875" style="26" customWidth="1"/>
    <col min="22" max="27" width="12.1796875" customWidth="1"/>
    <col min="28" max="32" width="12" customWidth="1"/>
    <col min="35" max="35" width="41.7265625" customWidth="1"/>
  </cols>
  <sheetData>
    <row r="1" spans="1:36">
      <c r="A1" s="15" t="s">
        <v>352</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row>
    <row r="2" spans="1:36">
      <c r="A2" s="7"/>
      <c r="B2" s="107" t="str">
        <f>Income_Statement_Annual!B2</f>
        <v>CY2000A</v>
      </c>
      <c r="C2" s="107" t="str">
        <f>Income_Statement_Annual!C2</f>
        <v>CY2001A</v>
      </c>
      <c r="D2" s="107" t="str">
        <f>Income_Statement_Annual!D2</f>
        <v>CY2002A</v>
      </c>
      <c r="E2" s="107" t="str">
        <f>Income_Statement_Annual!E2</f>
        <v>CY2003A</v>
      </c>
      <c r="F2" s="107" t="str">
        <f>Income_Statement_Annual!F2</f>
        <v>CY2004A</v>
      </c>
      <c r="G2" s="107" t="str">
        <f>Income_Statement_Annual!G2</f>
        <v>CY2005A</v>
      </c>
      <c r="H2" s="107" t="str">
        <f>Income_Statement_Annual!H2</f>
        <v>CY2006A</v>
      </c>
      <c r="I2" s="107" t="str">
        <f>Income_Statement_Annual!I2</f>
        <v>CY2007A</v>
      </c>
      <c r="J2" s="231" t="str">
        <f>Income_Statement_Annual!J2</f>
        <v>CY2008A</v>
      </c>
      <c r="K2" s="107" t="str">
        <f>Income_Statement_Annual!K2</f>
        <v>CY2009A</v>
      </c>
      <c r="L2" s="107" t="str">
        <f>Income_Statement_Annual!L2</f>
        <v>CY2010A</v>
      </c>
      <c r="M2" s="107" t="str">
        <f>Income_Statement_Annual!M2</f>
        <v>CY2011A</v>
      </c>
      <c r="N2" s="107" t="str">
        <f>Income_Statement_Annual!N2</f>
        <v>CY2012A</v>
      </c>
      <c r="O2" s="107" t="str">
        <f>Income_Statement_Annual!O2</f>
        <v>CY2013A</v>
      </c>
      <c r="P2" s="107" t="str">
        <f>Income_Statement_Annual!P2</f>
        <v>CY2014A</v>
      </c>
      <c r="Q2" s="107" t="str">
        <f>Income_Statement_Annual!Q2</f>
        <v>CY2015A</v>
      </c>
      <c r="R2" s="107" t="str">
        <f>Income_Statement_Annual!R2</f>
        <v>CY2016A</v>
      </c>
      <c r="S2" s="107" t="str">
        <f>Income_Statement_Annual!S2</f>
        <v>CY2017A</v>
      </c>
      <c r="T2" s="107" t="str">
        <f>Income_Statement_Annual!T2</f>
        <v>CY2018A</v>
      </c>
      <c r="U2" s="107" t="str">
        <f>Income_Statement_Annual!U2</f>
        <v>CY2019A</v>
      </c>
      <c r="V2" s="107" t="str">
        <f>Income_Statement_Annual!V2</f>
        <v>CY2020A</v>
      </c>
      <c r="W2" s="106" t="str">
        <f>Income_Statement_Annual!W2</f>
        <v>CY2021A</v>
      </c>
      <c r="X2" s="106" t="str">
        <f>Income_Statement_Annual!X2</f>
        <v>CY2022A</v>
      </c>
      <c r="Y2" s="106" t="str">
        <f>Income_Statement_Annual!Y2</f>
        <v>CY2023A</v>
      </c>
      <c r="Z2" s="106" t="str">
        <f>Income_Statement_Annual!Z2</f>
        <v>CY2024A</v>
      </c>
      <c r="AA2" s="106" t="str">
        <f>Income_Statement_Annual!AA2</f>
        <v>CY2025A</v>
      </c>
      <c r="AB2" s="106" t="str">
        <f>Income_Statement_Annual!AB2</f>
        <v>CY2026E</v>
      </c>
      <c r="AC2" s="106" t="str">
        <f>Income_Statement_Annual!AC2</f>
        <v>CY2027E</v>
      </c>
      <c r="AD2" s="106" t="str">
        <f>Income_Statement_Annual!AD2</f>
        <v>CY2028E</v>
      </c>
      <c r="AE2" s="106" t="str">
        <f>Income_Statement_Annual!AE2</f>
        <v>CY2029E</v>
      </c>
      <c r="AF2" s="106" t="str">
        <f>Income_Statement_Annual!AF2</f>
        <v>CY2030E</v>
      </c>
    </row>
    <row r="3" spans="1:36">
      <c r="A3" s="9" t="str">
        <f>BGS_Qtr!A3</f>
        <v>Net Sales</v>
      </c>
      <c r="B3" s="31"/>
      <c r="C3" s="31"/>
      <c r="D3" s="31"/>
      <c r="E3" s="31"/>
      <c r="F3" s="31"/>
      <c r="G3" s="31"/>
      <c r="H3" s="31"/>
      <c r="I3" s="31"/>
      <c r="J3" s="233"/>
      <c r="K3" s="31"/>
      <c r="L3" s="31"/>
      <c r="M3" s="31"/>
      <c r="N3" s="31"/>
      <c r="O3" s="31"/>
      <c r="P3" s="31"/>
      <c r="Q3" s="178"/>
      <c r="R3" s="178">
        <f>BGS_Qtr!K3</f>
        <v>13925</v>
      </c>
      <c r="S3" s="178">
        <f>BGS_Qtr!P3</f>
        <v>14581</v>
      </c>
      <c r="T3" s="178">
        <f>BGS_Qtr!U3</f>
        <v>17056</v>
      </c>
      <c r="U3" s="178">
        <f>BGS_Qtr!Z3</f>
        <v>18468</v>
      </c>
      <c r="V3" s="178">
        <f>BGS_Qtr!AE3</f>
        <v>15543</v>
      </c>
      <c r="W3" s="178">
        <f>BGS_Qtr!AJ3</f>
        <v>16328</v>
      </c>
      <c r="X3" s="178">
        <f>BGS_Qtr!AO3</f>
        <v>17611</v>
      </c>
      <c r="Y3" s="178">
        <f>BGS_Qtr!AT3</f>
        <v>19127</v>
      </c>
      <c r="Z3" s="178">
        <f>BGS_Qtr!AY3</f>
        <v>19954</v>
      </c>
      <c r="AA3" s="178">
        <f>BGS_Qtr!BD3</f>
        <v>20923</v>
      </c>
      <c r="AB3" s="178">
        <f>BGS_Qtr!BI3</f>
        <v>20923</v>
      </c>
      <c r="AC3" s="25">
        <f>AB3*(1+AC4)</f>
        <v>22178.38</v>
      </c>
      <c r="AD3" s="25">
        <f>AC3*(1+AD4)</f>
        <v>23509.082800000004</v>
      </c>
      <c r="AE3" s="25">
        <f>AD3*(1+AE4)</f>
        <v>24919.627768000006</v>
      </c>
      <c r="AF3" s="25">
        <f>AE3*(1+AF4)</f>
        <v>26414.805434080008</v>
      </c>
    </row>
    <row r="4" spans="1:36">
      <c r="A4" s="1" t="str">
        <f>BGS_Qtr!A4</f>
        <v>YoY</v>
      </c>
      <c r="B4" s="197"/>
      <c r="C4" s="197"/>
      <c r="D4" s="197"/>
      <c r="E4" s="197"/>
      <c r="F4" s="197"/>
      <c r="G4" s="197"/>
      <c r="H4" s="197"/>
      <c r="I4" s="197"/>
      <c r="J4" s="206"/>
      <c r="K4" s="197"/>
      <c r="L4" s="197"/>
      <c r="M4" s="197"/>
      <c r="N4" s="204"/>
      <c r="O4" s="204"/>
      <c r="P4" s="204"/>
      <c r="Q4" s="197"/>
      <c r="R4" s="197"/>
      <c r="S4" s="197">
        <f>BGS_Qtr!P4</f>
        <v>4.7109515260323143E-2</v>
      </c>
      <c r="T4" s="197">
        <f>BGS_Qtr!U4</f>
        <v>0.16974144434538108</v>
      </c>
      <c r="U4" s="197">
        <f>BGS_Qtr!Z4</f>
        <v>8.2786116322701719E-2</v>
      </c>
      <c r="V4" s="197">
        <f>BGS_Qtr!AE4</f>
        <v>-0.15838206627680307</v>
      </c>
      <c r="W4" s="197">
        <f>BGS_Qtr!AJ4</f>
        <v>5.0505050505050608E-2</v>
      </c>
      <c r="X4" s="197">
        <f>BGS_Qtr!AO4</f>
        <v>7.8576678098971176E-2</v>
      </c>
      <c r="Y4" s="197">
        <f>BGS_Qtr!AT4</f>
        <v>8.6082562035091792E-2</v>
      </c>
      <c r="Z4" s="197">
        <f>BGS_Qtr!AY4</f>
        <v>4.3237308516756334E-2</v>
      </c>
      <c r="AA4" s="197">
        <f>BGS_Qtr!BD4</f>
        <v>4.8561691891350067E-2</v>
      </c>
      <c r="AB4" s="197">
        <f>BGS_Qtr!BI4</f>
        <v>0</v>
      </c>
      <c r="AC4" s="200">
        <v>0.06</v>
      </c>
      <c r="AD4" s="200">
        <v>0.06</v>
      </c>
      <c r="AE4" s="200">
        <v>0.06</v>
      </c>
      <c r="AF4" s="200">
        <v>0.06</v>
      </c>
    </row>
    <row r="5" spans="1:36">
      <c r="A5" s="1"/>
      <c r="B5" s="38"/>
      <c r="C5" s="38"/>
      <c r="D5" s="38"/>
      <c r="E5" s="38"/>
      <c r="F5" s="38"/>
      <c r="G5" s="38"/>
      <c r="H5" s="38"/>
      <c r="I5" s="38"/>
      <c r="J5" s="177"/>
      <c r="K5" s="38"/>
      <c r="L5" s="38"/>
      <c r="M5" s="38"/>
      <c r="N5" s="38"/>
      <c r="O5" s="38"/>
      <c r="P5" s="38"/>
      <c r="Q5" s="38"/>
      <c r="R5" s="38"/>
      <c r="S5" s="38"/>
      <c r="T5" s="38"/>
      <c r="U5" s="38"/>
      <c r="V5" s="38"/>
      <c r="W5" s="38"/>
      <c r="X5" s="449"/>
      <c r="Y5" s="449"/>
      <c r="Z5" s="449"/>
      <c r="AA5" s="449"/>
      <c r="AB5" s="577"/>
      <c r="AC5" s="201"/>
      <c r="AD5" s="201"/>
      <c r="AE5" s="201"/>
      <c r="AF5" s="201"/>
    </row>
    <row r="6" spans="1:36">
      <c r="A6" s="7" t="str">
        <f>BGS_Qtr!A6</f>
        <v>R&amp;D Expense, net</v>
      </c>
      <c r="B6" s="21"/>
      <c r="C6" s="21"/>
      <c r="D6" s="21"/>
      <c r="E6" s="21"/>
      <c r="F6" s="21"/>
      <c r="G6" s="21"/>
      <c r="H6" s="21"/>
      <c r="I6" s="21"/>
      <c r="J6" s="234"/>
      <c r="K6" s="21"/>
      <c r="L6" s="21"/>
      <c r="M6" s="21"/>
      <c r="N6" s="21"/>
      <c r="O6" s="21"/>
      <c r="P6" s="21"/>
      <c r="Q6" s="196"/>
      <c r="R6" s="196">
        <f>BGS_Qtr!K6</f>
        <v>153</v>
      </c>
      <c r="S6" s="196">
        <f>BGS_Qtr!P6</f>
        <v>140</v>
      </c>
      <c r="T6" s="196">
        <f>BGS_Qtr!U6</f>
        <v>161</v>
      </c>
      <c r="U6" s="196">
        <f>BGS_Qtr!Z6</f>
        <v>121</v>
      </c>
      <c r="V6" s="196">
        <f>BGS_Qtr!AE6</f>
        <v>138</v>
      </c>
      <c r="W6" s="196">
        <f>BGS_Qtr!AJ6</f>
        <v>107</v>
      </c>
      <c r="X6" s="382">
        <f>BGS_Qtr!AO6</f>
        <v>119</v>
      </c>
      <c r="Y6" s="382">
        <f>BGS_Qtr!AT6</f>
        <v>107</v>
      </c>
      <c r="Z6" s="382">
        <f>BGS_Qtr!AY6</f>
        <v>132</v>
      </c>
      <c r="AA6" s="382">
        <f>BGS_Qtr!BD6</f>
        <v>125</v>
      </c>
      <c r="AB6" s="382">
        <f>BGS_Qtr!BI6</f>
        <v>127.5</v>
      </c>
      <c r="AC6" s="229">
        <f>AB6*(1+AC7)</f>
        <v>130.05000000000001</v>
      </c>
      <c r="AD6" s="229">
        <f>AC6*(1+AD7)</f>
        <v>132.65100000000001</v>
      </c>
      <c r="AE6" s="229">
        <f>AD6*(1+AE7)</f>
        <v>135.30402000000001</v>
      </c>
      <c r="AF6" s="229">
        <f>AE6*(1+AF7)</f>
        <v>138.0101004</v>
      </c>
      <c r="AI6" t="s">
        <v>663</v>
      </c>
      <c r="AJ6">
        <v>300</v>
      </c>
    </row>
    <row r="7" spans="1:36">
      <c r="A7" s="1" t="str">
        <f>BGS_Qtr!A7</f>
        <v>YoY</v>
      </c>
      <c r="B7" s="21"/>
      <c r="C7" s="21"/>
      <c r="D7" s="21"/>
      <c r="E7" s="21"/>
      <c r="F7" s="21"/>
      <c r="G7" s="21"/>
      <c r="H7" s="21"/>
      <c r="I7" s="21"/>
      <c r="J7" s="234"/>
      <c r="K7" s="21"/>
      <c r="L7" s="21"/>
      <c r="M7" s="21"/>
      <c r="N7" s="21"/>
      <c r="O7" s="21"/>
      <c r="P7" s="21"/>
      <c r="Q7" s="196"/>
      <c r="R7" s="197"/>
      <c r="S7" s="197">
        <f>BGS_Qtr!P7</f>
        <v>-8.496732026143794E-2</v>
      </c>
      <c r="T7" s="197">
        <f>BGS_Qtr!U7</f>
        <v>0.14999999999999991</v>
      </c>
      <c r="U7" s="197">
        <f>BGS_Qtr!Z7</f>
        <v>-0.24844720496894412</v>
      </c>
      <c r="V7" s="197">
        <f>BGS_Qtr!AE7</f>
        <v>0.14049586776859502</v>
      </c>
      <c r="W7" s="197">
        <f>BGS_Qtr!AJ7</f>
        <v>-0.22463768115942029</v>
      </c>
      <c r="X7" s="197">
        <f>BGS_Qtr!AO7</f>
        <v>0.11214953271028039</v>
      </c>
      <c r="Y7" s="197">
        <f>BGS_Qtr!AT7</f>
        <v>-0.10084033613445376</v>
      </c>
      <c r="Z7" s="197">
        <f>BGS_Qtr!AY7</f>
        <v>0.23364485981308403</v>
      </c>
      <c r="AA7" s="197">
        <f>BGS_Qtr!BD7</f>
        <v>-5.3030303030302983E-2</v>
      </c>
      <c r="AB7" s="197">
        <f>BGS_Qtr!BI7</f>
        <v>2.0000000000000018E-2</v>
      </c>
      <c r="AC7" s="200">
        <v>0.02</v>
      </c>
      <c r="AD7" s="200">
        <v>0.02</v>
      </c>
      <c r="AE7" s="200">
        <v>0.02</v>
      </c>
      <c r="AF7" s="200">
        <v>0.02</v>
      </c>
      <c r="AI7" t="s">
        <v>664</v>
      </c>
      <c r="AJ7" s="563">
        <f>AJ6/AB22</f>
        <v>1643.8356164383563</v>
      </c>
    </row>
    <row r="8" spans="1:36">
      <c r="A8" s="1" t="str">
        <f>BGS_Qtr!A8</f>
        <v>% of Sales</v>
      </c>
      <c r="B8" s="21"/>
      <c r="C8" s="21"/>
      <c r="D8" s="21"/>
      <c r="E8" s="21"/>
      <c r="F8" s="21"/>
      <c r="G8" s="21"/>
      <c r="H8" s="21"/>
      <c r="I8" s="21"/>
      <c r="J8" s="234"/>
      <c r="K8" s="21"/>
      <c r="L8" s="21"/>
      <c r="M8" s="202"/>
      <c r="N8" s="202"/>
      <c r="O8" s="202"/>
      <c r="P8" s="202"/>
      <c r="Q8" s="197"/>
      <c r="R8" s="197">
        <f>BGS_Qtr!K8</f>
        <v>1.0987432675044883E-2</v>
      </c>
      <c r="S8" s="197">
        <f>BGS_Qtr!P8</f>
        <v>9.6015362457993279E-3</v>
      </c>
      <c r="T8" s="197">
        <f>BGS_Qtr!U8</f>
        <v>9.4394934333958732E-3</v>
      </c>
      <c r="U8" s="197">
        <f>BGS_Qtr!Z8</f>
        <v>6.5518735109378386E-3</v>
      </c>
      <c r="V8" s="197">
        <f>BGS_Qtr!AE8</f>
        <v>8.878594865856012E-3</v>
      </c>
      <c r="W8" s="197">
        <f>BGS_Qtr!AJ8</f>
        <v>6.5531602155805974E-3</v>
      </c>
      <c r="X8" s="197">
        <f>BGS_Qtr!AO8</f>
        <v>6.7571404235988869E-3</v>
      </c>
      <c r="Y8" s="197">
        <f>BGS_Qtr!AT8</f>
        <v>5.5941862288910963E-3</v>
      </c>
      <c r="Z8" s="197">
        <f>BGS_Qtr!AY8</f>
        <v>6.615214994487321E-3</v>
      </c>
      <c r="AA8" s="197">
        <f>BGS_Qtr!BD8</f>
        <v>5.9742866701715811E-3</v>
      </c>
      <c r="AB8" s="197">
        <f>BGS_Qtr!BI8</f>
        <v>6.0937724035750127E-3</v>
      </c>
      <c r="AC8" s="204">
        <f>AC6/AC3</f>
        <v>5.8638187279684093E-3</v>
      </c>
      <c r="AD8" s="204">
        <f>AD6/AD3</f>
        <v>5.6425425495545065E-3</v>
      </c>
      <c r="AE8" s="204">
        <f>AE6/AE3</f>
        <v>5.4296164156090523E-3</v>
      </c>
      <c r="AF8" s="204">
        <f>AF6/AF3</f>
        <v>5.2247252301143706E-3</v>
      </c>
    </row>
    <row r="9" spans="1:36">
      <c r="B9" s="100"/>
      <c r="C9" s="100"/>
      <c r="D9" s="100"/>
      <c r="E9" s="100"/>
      <c r="F9" s="100"/>
      <c r="G9" s="100"/>
      <c r="H9" s="100"/>
      <c r="I9" s="100"/>
      <c r="J9" s="236"/>
      <c r="K9" s="100"/>
      <c r="L9" s="100"/>
      <c r="M9" s="100"/>
      <c r="N9" s="100"/>
      <c r="O9" s="100"/>
      <c r="P9" s="100"/>
      <c r="Q9" s="100"/>
      <c r="R9" s="100"/>
      <c r="S9" s="100"/>
      <c r="T9" s="100"/>
      <c r="U9" s="100"/>
      <c r="V9" s="100"/>
      <c r="W9" s="100"/>
      <c r="X9" s="449"/>
      <c r="Y9" s="449"/>
      <c r="Z9" s="449"/>
      <c r="AA9" s="449"/>
      <c r="AB9" s="449"/>
      <c r="AC9" s="201"/>
      <c r="AD9" s="201"/>
      <c r="AE9" s="201"/>
      <c r="AF9" s="201"/>
    </row>
    <row r="10" spans="1:36">
      <c r="A10" s="10" t="str">
        <f>BGS_Qtr!A10</f>
        <v>Operating Expenses</v>
      </c>
      <c r="B10" s="198"/>
      <c r="C10" s="198"/>
      <c r="D10" s="198"/>
      <c r="E10" s="198"/>
      <c r="F10" s="198"/>
      <c r="G10" s="198"/>
      <c r="H10" s="198"/>
      <c r="I10" s="198"/>
      <c r="J10" s="207"/>
      <c r="K10" s="198"/>
      <c r="L10" s="198"/>
      <c r="M10" s="29"/>
      <c r="N10" s="29"/>
      <c r="O10" s="29"/>
      <c r="P10" s="29"/>
      <c r="Q10" s="198"/>
      <c r="R10" s="198">
        <f>BGS_Qtr!K10</f>
        <v>-11748</v>
      </c>
      <c r="S10" s="198">
        <f>BGS_Qtr!P10</f>
        <v>-12335</v>
      </c>
      <c r="T10" s="198">
        <f>BGS_Qtr!U10</f>
        <v>-14520</v>
      </c>
      <c r="U10" s="198">
        <f>BGS_Qtr!Z10</f>
        <v>-15771</v>
      </c>
      <c r="V10" s="198">
        <f>BGS_Qtr!AE10</f>
        <v>-15093</v>
      </c>
      <c r="W10" s="198">
        <f>BGS_Qtr!AJ10</f>
        <v>-14311</v>
      </c>
      <c r="X10" s="198">
        <f>BGS_Qtr!AO10</f>
        <v>-14884</v>
      </c>
      <c r="Y10" s="198">
        <f>BGS_Qtr!AT10</f>
        <v>-15798</v>
      </c>
      <c r="Z10" s="198">
        <f>BGS_Qtr!AY10</f>
        <v>-16336</v>
      </c>
      <c r="AA10" s="198">
        <f>BGS_Qtr!BD10</f>
        <v>-7449</v>
      </c>
      <c r="AB10" s="198">
        <f>BGS_Qtr!BI10</f>
        <v>-17104.552500000002</v>
      </c>
      <c r="AC10" s="29">
        <f>+-AC3+AC13</f>
        <v>-18297.163500000002</v>
      </c>
      <c r="AD10" s="29">
        <f>+-AD3+AD13</f>
        <v>-19394.993310000005</v>
      </c>
      <c r="AE10" s="29">
        <f>+-AE3+AE13</f>
        <v>-20558.692908600005</v>
      </c>
      <c r="AF10" s="29">
        <f>+-AF3+AF13</f>
        <v>-21792.214483116008</v>
      </c>
      <c r="AI10" t="s">
        <v>665</v>
      </c>
      <c r="AJ10">
        <v>22103.0458</v>
      </c>
    </row>
    <row r="11" spans="1:36">
      <c r="A11" s="1" t="str">
        <f>BGS_Qtr!A11</f>
        <v>YoY</v>
      </c>
      <c r="B11" s="197"/>
      <c r="C11" s="197"/>
      <c r="D11" s="197"/>
      <c r="E11" s="197"/>
      <c r="F11" s="197"/>
      <c r="G11" s="197"/>
      <c r="H11" s="197"/>
      <c r="I11" s="197"/>
      <c r="J11" s="206"/>
      <c r="K11" s="197"/>
      <c r="L11" s="197"/>
      <c r="M11" s="197"/>
      <c r="N11" s="204"/>
      <c r="O11" s="204"/>
      <c r="P11" s="204"/>
      <c r="Q11" s="197"/>
      <c r="R11" s="197"/>
      <c r="S11" s="197">
        <f>BGS_Qtr!P11</f>
        <v>4.9965951651344875E-2</v>
      </c>
      <c r="T11" s="197">
        <f>BGS_Qtr!U11</f>
        <v>0.1771382245642481</v>
      </c>
      <c r="U11" s="197">
        <f>BGS_Qtr!Z11</f>
        <v>8.6157024793388493E-2</v>
      </c>
      <c r="V11" s="197">
        <f>BGS_Qtr!AE11</f>
        <v>-4.2990298649419834E-2</v>
      </c>
      <c r="W11" s="197">
        <f>BGS_Qtr!AJ11</f>
        <v>-5.1812098323726241E-2</v>
      </c>
      <c r="X11" s="454">
        <f>BGS_Qtr!AO11</f>
        <v>4.0039130738592776E-2</v>
      </c>
      <c r="Y11" s="454">
        <f>BGS_Qtr!AT11</f>
        <v>6.1408223595807554E-2</v>
      </c>
      <c r="Z11" s="454">
        <f>BGS_Qtr!AY11</f>
        <v>3.4054943663754944E-2</v>
      </c>
      <c r="AA11" s="454">
        <f>BGS_Qtr!BD11</f>
        <v>-0.54401322233104799</v>
      </c>
      <c r="AB11" s="454">
        <f>BGS_Qtr!BI11</f>
        <v>1.2962213048731375</v>
      </c>
      <c r="AC11" s="202">
        <f>AC10/AB10-1</f>
        <v>6.972477064220195E-2</v>
      </c>
      <c r="AD11" s="202">
        <f>AD10/AC10-1</f>
        <v>6.0000000000000053E-2</v>
      </c>
      <c r="AE11" s="202">
        <f>AE10/AD10-1</f>
        <v>6.0000000000000053E-2</v>
      </c>
      <c r="AF11" s="202">
        <f>AF10/AE10-1</f>
        <v>6.0000000000000053E-2</v>
      </c>
      <c r="AJ11" s="563">
        <f>AJ10-AJ7</f>
        <v>20459.210183561645</v>
      </c>
    </row>
    <row r="12" spans="1:36">
      <c r="A12" s="1"/>
      <c r="B12" s="197"/>
      <c r="C12" s="197"/>
      <c r="D12" s="197"/>
      <c r="E12" s="197"/>
      <c r="F12" s="197"/>
      <c r="G12" s="197"/>
      <c r="H12" s="197"/>
      <c r="I12" s="197"/>
      <c r="J12" s="206"/>
      <c r="K12" s="197"/>
      <c r="L12" s="197"/>
      <c r="M12" s="197"/>
      <c r="N12" s="204"/>
      <c r="O12" s="204"/>
      <c r="P12" s="204"/>
      <c r="Q12" s="197"/>
      <c r="R12" s="197"/>
      <c r="S12" s="197"/>
      <c r="T12" s="197"/>
      <c r="U12" s="197"/>
      <c r="V12" s="197"/>
      <c r="W12" s="197"/>
      <c r="X12" s="202"/>
      <c r="Y12" s="202"/>
      <c r="Z12" s="202"/>
      <c r="AA12" s="202"/>
      <c r="AB12" s="202"/>
      <c r="AC12" s="202"/>
      <c r="AD12" s="202"/>
      <c r="AE12" s="202"/>
      <c r="AF12" s="202"/>
    </row>
    <row r="13" spans="1:36">
      <c r="A13" s="9" t="str">
        <f>BGS_Qtr!A13</f>
        <v>Operating Profit</v>
      </c>
      <c r="B13" s="31"/>
      <c r="C13" s="31"/>
      <c r="D13" s="31"/>
      <c r="E13" s="31"/>
      <c r="F13" s="31"/>
      <c r="G13" s="31"/>
      <c r="H13" s="31"/>
      <c r="I13" s="31"/>
      <c r="J13" s="233"/>
      <c r="K13" s="31"/>
      <c r="L13" s="31"/>
      <c r="M13" s="31"/>
      <c r="N13" s="31"/>
      <c r="O13" s="31"/>
      <c r="P13" s="31"/>
      <c r="Q13" s="25"/>
      <c r="R13" s="25">
        <f t="shared" ref="R13:W13" si="0">R3+R10</f>
        <v>2177</v>
      </c>
      <c r="S13" s="25">
        <f t="shared" si="0"/>
        <v>2246</v>
      </c>
      <c r="T13" s="25">
        <f t="shared" si="0"/>
        <v>2536</v>
      </c>
      <c r="U13" s="25">
        <f t="shared" si="0"/>
        <v>2697</v>
      </c>
      <c r="V13" s="25">
        <f t="shared" si="0"/>
        <v>450</v>
      </c>
      <c r="W13" s="25">
        <f t="shared" si="0"/>
        <v>2017</v>
      </c>
      <c r="X13" s="25">
        <f t="shared" ref="X13:AC13" si="1">X19-X17</f>
        <v>2727</v>
      </c>
      <c r="Y13" s="25">
        <f t="shared" si="1"/>
        <v>3329</v>
      </c>
      <c r="Z13" s="25">
        <f t="shared" ref="Z13:AA13" si="2">Z19-Z17</f>
        <v>3618</v>
      </c>
      <c r="AA13" s="25">
        <f t="shared" si="2"/>
        <v>13474</v>
      </c>
      <c r="AB13" s="25">
        <f t="shared" ref="AB13" si="3">AB19-AB17</f>
        <v>3818.4474999999998</v>
      </c>
      <c r="AC13" s="25">
        <f t="shared" si="1"/>
        <v>3881.2165</v>
      </c>
      <c r="AD13" s="25">
        <f t="shared" ref="AD13:AE13" si="4">AD19-AD17</f>
        <v>4114.0894900000003</v>
      </c>
      <c r="AE13" s="25">
        <f t="shared" si="4"/>
        <v>4360.9348594000003</v>
      </c>
      <c r="AF13" s="25">
        <f t="shared" ref="AF13" si="5">AF19-AF17</f>
        <v>4622.5909509640014</v>
      </c>
    </row>
    <row r="14" spans="1:36">
      <c r="A14" s="1" t="str">
        <f>BGS_Qtr!A14</f>
        <v>YoY</v>
      </c>
      <c r="B14" s="27"/>
      <c r="C14" s="27"/>
      <c r="D14" s="27"/>
      <c r="E14" s="27"/>
      <c r="F14" s="27"/>
      <c r="G14" s="27"/>
      <c r="H14" s="27"/>
      <c r="I14" s="27"/>
      <c r="J14" s="237"/>
      <c r="K14" s="27"/>
      <c r="L14" s="27"/>
      <c r="M14" s="27"/>
      <c r="N14" s="202"/>
      <c r="O14" s="202"/>
      <c r="P14" s="202"/>
      <c r="Q14" s="197"/>
      <c r="R14" s="197"/>
      <c r="S14" s="197">
        <f>BGS_Qtr!P14</f>
        <v>3.1694993109784075E-2</v>
      </c>
      <c r="T14" s="197">
        <f>BGS_Qtr!U14</f>
        <v>0.12911843276936774</v>
      </c>
      <c r="U14" s="197">
        <f>BGS_Qtr!Z14</f>
        <v>6.3485804416403724E-2</v>
      </c>
      <c r="V14" s="197">
        <f>BGS_Qtr!AE14</f>
        <v>-0.83314794215795329</v>
      </c>
      <c r="W14" s="197">
        <f>BGS_Qtr!AJ14</f>
        <v>3.4822222222222221</v>
      </c>
      <c r="X14" s="454">
        <f>BGS_Qtr!AO14</f>
        <v>0.35200793257312846</v>
      </c>
      <c r="Y14" s="454">
        <f>BGS_Qtr!AT14</f>
        <v>0.22075540887422074</v>
      </c>
      <c r="Z14" s="454">
        <f>BGS_Qtr!AY14</f>
        <v>8.6812856713727848E-2</v>
      </c>
      <c r="AA14" s="454">
        <f>BGS_Qtr!BD14</f>
        <v>2.7241569928137093</v>
      </c>
      <c r="AB14" s="454">
        <f>BGS_Qtr!BI14</f>
        <v>-0.71660624165058628</v>
      </c>
      <c r="AC14" s="202">
        <f>AC13/AB13-1</f>
        <v>1.6438356164383716E-2</v>
      </c>
      <c r="AD14" s="202">
        <f>AD13/AC13-1</f>
        <v>6.0000000000000053E-2</v>
      </c>
      <c r="AE14" s="202">
        <f>AE13/AD13-1</f>
        <v>6.0000000000000053E-2</v>
      </c>
      <c r="AF14" s="202">
        <f>AF13/AE13-1</f>
        <v>6.0000000000000275E-2</v>
      </c>
    </row>
    <row r="15" spans="1:36">
      <c r="A15" s="1" t="str">
        <f>BGS_Qtr!A15</f>
        <v>% Margin</v>
      </c>
      <c r="B15" s="27"/>
      <c r="C15" s="27"/>
      <c r="D15" s="27"/>
      <c r="E15" s="27"/>
      <c r="F15" s="27"/>
      <c r="G15" s="27"/>
      <c r="H15" s="27"/>
      <c r="I15" s="27"/>
      <c r="J15" s="237"/>
      <c r="K15" s="27"/>
      <c r="L15" s="27"/>
      <c r="M15" s="202"/>
      <c r="N15" s="202"/>
      <c r="O15" s="202"/>
      <c r="P15" s="202"/>
      <c r="Q15" s="197"/>
      <c r="R15" s="197">
        <f>BGS_Qtr!K15</f>
        <v>0.15633752244165169</v>
      </c>
      <c r="S15" s="197">
        <f>BGS_Qtr!P15</f>
        <v>0.1540360743433235</v>
      </c>
      <c r="T15" s="197">
        <f>BGS_Qtr!U15</f>
        <v>0.14868667917448405</v>
      </c>
      <c r="U15" s="197">
        <f>BGS_Qtr!Z15</f>
        <v>0.14603638726445745</v>
      </c>
      <c r="V15" s="197">
        <f>BGS_Qtr!AE15</f>
        <v>2.8951939779965258E-2</v>
      </c>
      <c r="W15" s="197">
        <f>BGS_Qtr!AJ15</f>
        <v>0.12353013228809408</v>
      </c>
      <c r="X15" s="454">
        <f>BGS_Qtr!AO15</f>
        <v>0.15484640281642156</v>
      </c>
      <c r="Y15" s="454">
        <f>BGS_Qtr!AT15</f>
        <v>0.1740471584670884</v>
      </c>
      <c r="Z15" s="454">
        <f>BGS_Qtr!AY15</f>
        <v>0.18131702916708428</v>
      </c>
      <c r="AA15" s="454">
        <f>BGS_Qtr!BD15</f>
        <v>0.6439803087511351</v>
      </c>
      <c r="AB15" s="454">
        <f>BGS_Qtr!BI15</f>
        <v>0.1825</v>
      </c>
      <c r="AC15" s="202">
        <f>AC13/AC3</f>
        <v>0.17499999999999999</v>
      </c>
      <c r="AD15" s="202">
        <f>AD13/AD3</f>
        <v>0.17499999999999999</v>
      </c>
      <c r="AE15" s="202">
        <f>AE13/AE3</f>
        <v>0.17499999999999996</v>
      </c>
      <c r="AF15" s="202">
        <f>AF13/AF3</f>
        <v>0.17499999999999999</v>
      </c>
    </row>
    <row r="16" spans="1:36">
      <c r="A16" s="1"/>
      <c r="B16" s="204"/>
      <c r="C16" s="204"/>
      <c r="D16" s="204"/>
      <c r="E16" s="204"/>
      <c r="F16" s="204"/>
      <c r="G16" s="204"/>
      <c r="H16" s="204"/>
      <c r="I16" s="204"/>
      <c r="J16" s="235"/>
      <c r="K16" s="204"/>
      <c r="L16" s="204"/>
      <c r="M16" s="204"/>
      <c r="N16" s="204"/>
      <c r="O16" s="204"/>
      <c r="P16" s="204"/>
      <c r="Q16" s="197"/>
      <c r="R16" s="197"/>
      <c r="S16" s="197"/>
      <c r="T16" s="197"/>
      <c r="U16" s="197"/>
      <c r="V16" s="197"/>
      <c r="W16" s="197"/>
      <c r="X16" s="454"/>
      <c r="Y16" s="454"/>
      <c r="Z16" s="454"/>
      <c r="AA16" s="454"/>
      <c r="AB16" s="454"/>
      <c r="AC16" s="202"/>
      <c r="AD16" s="202"/>
      <c r="AE16" s="202"/>
      <c r="AF16" s="202"/>
    </row>
    <row r="17" spans="1:36">
      <c r="A17" s="7" t="str">
        <f>BGS_Qtr!A17</f>
        <v>Non-Recurring and Unusual Charges</v>
      </c>
      <c r="B17" s="21"/>
      <c r="C17" s="21"/>
      <c r="D17" s="21"/>
      <c r="E17" s="21"/>
      <c r="F17" s="21"/>
      <c r="G17" s="21"/>
      <c r="H17" s="21"/>
      <c r="I17" s="21"/>
      <c r="J17" s="234"/>
      <c r="K17" s="21"/>
      <c r="L17" s="21"/>
      <c r="M17" s="21"/>
      <c r="N17" s="21"/>
      <c r="O17" s="21"/>
      <c r="P17" s="21"/>
      <c r="Q17" s="196"/>
      <c r="R17" s="196">
        <f>BGS_Qtr!K17</f>
        <v>0</v>
      </c>
      <c r="S17" s="196">
        <f>BGS_Qtr!P17</f>
        <v>0</v>
      </c>
      <c r="T17" s="196">
        <f>BGS_Qtr!U17</f>
        <v>0</v>
      </c>
      <c r="U17" s="196">
        <f>BGS_Qtr!Z17</f>
        <v>0</v>
      </c>
      <c r="V17" s="196">
        <f>BGS_Qtr!AE17</f>
        <v>0</v>
      </c>
      <c r="W17" s="196">
        <f>BGS_Qtr!AJ17</f>
        <v>0</v>
      </c>
      <c r="X17" s="382">
        <f>BGS_Qtr!AO17</f>
        <v>0</v>
      </c>
      <c r="Y17" s="382">
        <f>BGS_Qtr!AT17</f>
        <v>0</v>
      </c>
      <c r="Z17" s="382">
        <f>BGS_Qtr!AY17</f>
        <v>0</v>
      </c>
      <c r="AA17" s="382">
        <f>BGS_Qtr!BD17</f>
        <v>0</v>
      </c>
      <c r="AB17" s="382">
        <f>BGS_Qtr!BI17</f>
        <v>0</v>
      </c>
      <c r="AC17" s="270">
        <v>0</v>
      </c>
      <c r="AD17" s="270">
        <v>0</v>
      </c>
      <c r="AE17" s="270">
        <v>0</v>
      </c>
      <c r="AF17" s="270">
        <v>0</v>
      </c>
    </row>
    <row r="18" spans="1:36">
      <c r="B18" s="100"/>
      <c r="C18" s="100"/>
      <c r="D18" s="100"/>
      <c r="E18" s="100"/>
      <c r="F18" s="100"/>
      <c r="G18" s="100"/>
      <c r="H18" s="100"/>
      <c r="I18" s="100"/>
      <c r="J18" s="236"/>
      <c r="K18" s="100"/>
      <c r="L18" s="100"/>
      <c r="M18" s="100"/>
      <c r="N18" s="100"/>
      <c r="O18" s="100"/>
      <c r="P18" s="100"/>
      <c r="Q18" s="100"/>
      <c r="R18" s="100"/>
      <c r="S18" s="100"/>
      <c r="T18" s="100"/>
      <c r="U18" s="100"/>
      <c r="V18" s="100"/>
      <c r="W18" s="100"/>
      <c r="X18" s="201"/>
      <c r="Y18" s="201"/>
      <c r="Z18" s="201"/>
      <c r="AA18" s="201"/>
      <c r="AB18" s="201"/>
      <c r="AC18" s="201"/>
      <c r="AD18" s="201"/>
      <c r="AE18" s="201"/>
      <c r="AF18" s="201"/>
    </row>
    <row r="19" spans="1:36">
      <c r="A19" s="9" t="str">
        <f>BGS_Qtr!A19</f>
        <v>Adjusted Operating Profit</v>
      </c>
      <c r="B19" s="31"/>
      <c r="C19" s="31"/>
      <c r="D19" s="31"/>
      <c r="E19" s="31"/>
      <c r="F19" s="31"/>
      <c r="G19" s="31"/>
      <c r="H19" s="31"/>
      <c r="I19" s="31"/>
      <c r="J19" s="233"/>
      <c r="K19" s="31"/>
      <c r="L19" s="31"/>
      <c r="M19" s="25"/>
      <c r="N19" s="25"/>
      <c r="O19" s="25"/>
      <c r="P19" s="25"/>
      <c r="Q19" s="199"/>
      <c r="R19" s="199">
        <f t="shared" ref="R19:W19" si="6">R13+R17</f>
        <v>2177</v>
      </c>
      <c r="S19" s="199">
        <f t="shared" si="6"/>
        <v>2246</v>
      </c>
      <c r="T19" s="199">
        <f t="shared" si="6"/>
        <v>2536</v>
      </c>
      <c r="U19" s="199">
        <f t="shared" si="6"/>
        <v>2697</v>
      </c>
      <c r="V19" s="199">
        <f t="shared" si="6"/>
        <v>450</v>
      </c>
      <c r="W19" s="199">
        <f t="shared" si="6"/>
        <v>2017</v>
      </c>
      <c r="X19" s="178">
        <f>BGS_Qtr!AO19</f>
        <v>2727</v>
      </c>
      <c r="Y19" s="178">
        <f>BGS_Qtr!AT19</f>
        <v>3329</v>
      </c>
      <c r="Z19" s="178">
        <f>BGS_Qtr!AY19</f>
        <v>3618</v>
      </c>
      <c r="AA19" s="178">
        <f>BGS_Qtr!BD19</f>
        <v>13474</v>
      </c>
      <c r="AB19" s="178">
        <f>BGS_Qtr!BI19</f>
        <v>3818.4474999999998</v>
      </c>
      <c r="AC19" s="199">
        <f>AC3*AC22</f>
        <v>3881.2165</v>
      </c>
      <c r="AD19" s="199">
        <f>AD3*AD22</f>
        <v>4114.0894900000003</v>
      </c>
      <c r="AE19" s="199">
        <f>AE3*AE22</f>
        <v>4360.9348594000003</v>
      </c>
      <c r="AF19" s="199">
        <f>AF3*AF22</f>
        <v>4622.5909509640014</v>
      </c>
      <c r="AJ19">
        <v>3790.6723547000001</v>
      </c>
    </row>
    <row r="20" spans="1:36">
      <c r="A20" s="1" t="str">
        <f>BGS_Qtr!A20</f>
        <v>YoY</v>
      </c>
      <c r="B20" s="197"/>
      <c r="C20" s="197"/>
      <c r="D20" s="197"/>
      <c r="E20" s="197"/>
      <c r="F20" s="197"/>
      <c r="G20" s="197"/>
      <c r="H20" s="197"/>
      <c r="I20" s="197"/>
      <c r="J20" s="206"/>
      <c r="K20" s="197"/>
      <c r="L20" s="197"/>
      <c r="M20" s="197"/>
      <c r="N20" s="204"/>
      <c r="O20" s="204"/>
      <c r="P20" s="204"/>
      <c r="Q20" s="197"/>
      <c r="R20" s="197"/>
      <c r="S20" s="197">
        <f>BGS_Qtr!P20</f>
        <v>3.1694993109784075E-2</v>
      </c>
      <c r="T20" s="197">
        <f>BGS_Qtr!U20</f>
        <v>0.12911843276936774</v>
      </c>
      <c r="U20" s="197">
        <f>BGS_Qtr!Z20</f>
        <v>6.3485804416403724E-2</v>
      </c>
      <c r="V20" s="197">
        <f>BGS_Qtr!AE20</f>
        <v>-0.83314794215795329</v>
      </c>
      <c r="W20" s="197">
        <f>BGS_Qtr!AJ20</f>
        <v>3.4822222222222221</v>
      </c>
      <c r="X20" s="454">
        <f>BGS_Qtr!AO20</f>
        <v>0.35200793257312846</v>
      </c>
      <c r="Y20" s="454">
        <f>BGS_Qtr!AT20</f>
        <v>0.22075540887422074</v>
      </c>
      <c r="Z20" s="454">
        <f>BGS_Qtr!AY20</f>
        <v>8.6812856713727848E-2</v>
      </c>
      <c r="AA20" s="454">
        <f>BGS_Qtr!BD20</f>
        <v>2.7241569928137093</v>
      </c>
      <c r="AB20" s="454">
        <f>BGS_Qtr!BI20</f>
        <v>-0.71660624165058628</v>
      </c>
      <c r="AC20" s="202">
        <f>AC19/AB19-1</f>
        <v>1.6438356164383716E-2</v>
      </c>
      <c r="AD20" s="202">
        <f>AD19/AC19-1</f>
        <v>6.0000000000000053E-2</v>
      </c>
      <c r="AE20" s="202">
        <f>AE19/AD19-1</f>
        <v>6.0000000000000053E-2</v>
      </c>
      <c r="AF20" s="202">
        <f>AF19/AE19-1</f>
        <v>6.0000000000000275E-2</v>
      </c>
    </row>
    <row r="21" spans="1:36">
      <c r="B21" s="100"/>
      <c r="C21" s="100"/>
      <c r="D21" s="100"/>
      <c r="E21" s="100"/>
      <c r="F21" s="100"/>
      <c r="G21" s="100"/>
      <c r="H21" s="100"/>
      <c r="I21" s="100"/>
      <c r="J21" s="236"/>
      <c r="K21" s="100"/>
      <c r="L21" s="100"/>
      <c r="M21" s="100"/>
      <c r="N21" s="100"/>
      <c r="O21" s="100"/>
      <c r="P21" s="100"/>
      <c r="Q21" s="100"/>
      <c r="R21" s="100"/>
      <c r="S21" s="100"/>
      <c r="T21" s="100"/>
      <c r="U21" s="100"/>
      <c r="V21" s="100"/>
      <c r="W21" s="100"/>
      <c r="X21" s="449"/>
      <c r="Y21" s="449"/>
      <c r="Z21" s="449"/>
      <c r="AA21" s="449"/>
      <c r="AB21" s="449"/>
      <c r="AC21" s="201"/>
      <c r="AD21" s="201"/>
      <c r="AE21" s="201"/>
      <c r="AF21" s="201"/>
      <c r="AJ21" s="297">
        <f>AJ19-AB19</f>
        <v>-27.775145299999622</v>
      </c>
    </row>
    <row r="22" spans="1:36">
      <c r="A22" s="9" t="str">
        <f>BGS_Qtr!A22</f>
        <v>Adjusted Operating Margin</v>
      </c>
      <c r="B22" s="119"/>
      <c r="C22" s="119"/>
      <c r="D22" s="119"/>
      <c r="E22" s="119"/>
      <c r="F22" s="119"/>
      <c r="G22" s="119"/>
      <c r="H22" s="119"/>
      <c r="I22" s="119"/>
      <c r="J22" s="209"/>
      <c r="K22" s="119"/>
      <c r="L22" s="119"/>
      <c r="M22" s="119"/>
      <c r="N22" s="119"/>
      <c r="O22" s="119"/>
      <c r="P22" s="119"/>
      <c r="Q22" s="119"/>
      <c r="R22" s="119">
        <f t="shared" ref="R22:W22" si="7">+R19/R3</f>
        <v>0.15633752244165169</v>
      </c>
      <c r="S22" s="119">
        <f t="shared" si="7"/>
        <v>0.1540360743433235</v>
      </c>
      <c r="T22" s="119">
        <f t="shared" si="7"/>
        <v>0.14868667917448405</v>
      </c>
      <c r="U22" s="119">
        <f t="shared" si="7"/>
        <v>0.14603638726445745</v>
      </c>
      <c r="V22" s="119">
        <f t="shared" si="7"/>
        <v>2.8951939779965258E-2</v>
      </c>
      <c r="W22" s="119">
        <f t="shared" si="7"/>
        <v>0.12353013228809408</v>
      </c>
      <c r="X22" s="455">
        <f>BGS_Qtr!AO22</f>
        <v>0.15484640281642156</v>
      </c>
      <c r="Y22" s="455">
        <f>BGS_Qtr!AT22</f>
        <v>0.1740471584670884</v>
      </c>
      <c r="Z22" s="455">
        <f>BGS_Qtr!AY22</f>
        <v>0.18131702916708428</v>
      </c>
      <c r="AA22" s="455">
        <f>BGS_Qtr!BD22</f>
        <v>0.6439803087511351</v>
      </c>
      <c r="AB22" s="455">
        <f>BGS_Qtr!BI22</f>
        <v>0.1825</v>
      </c>
      <c r="AC22" s="203">
        <v>0.17499999999999999</v>
      </c>
      <c r="AD22" s="203">
        <v>0.17499999999999999</v>
      </c>
      <c r="AE22" s="203">
        <v>0.17499999999999999</v>
      </c>
      <c r="AF22" s="203">
        <v>0.17499999999999999</v>
      </c>
    </row>
    <row r="23" spans="1:36">
      <c r="A23" s="1" t="str">
        <f>BGS_Qtr!A23</f>
        <v>YoY</v>
      </c>
      <c r="B23" s="197"/>
      <c r="C23" s="197"/>
      <c r="D23" s="197"/>
      <c r="E23" s="197"/>
      <c r="F23" s="197"/>
      <c r="G23" s="197"/>
      <c r="H23" s="197"/>
      <c r="I23" s="197"/>
      <c r="J23" s="206"/>
      <c r="K23" s="197"/>
      <c r="L23" s="197"/>
      <c r="M23" s="197"/>
      <c r="N23" s="204"/>
      <c r="O23" s="204"/>
      <c r="P23" s="204"/>
      <c r="Q23" s="469"/>
      <c r="R23" s="197"/>
      <c r="S23" s="197">
        <f>BGS_Qtr!P23</f>
        <v>-1.4721021942682655E-2</v>
      </c>
      <c r="T23" s="197">
        <f>BGS_Qtr!U23</f>
        <v>-3.4728197220324164E-2</v>
      </c>
      <c r="U23" s="197">
        <f>BGS_Qtr!Z23</f>
        <v>-1.7824676189831967E-2</v>
      </c>
      <c r="V23" s="197">
        <f>BGS_Qtr!AE23</f>
        <v>-0.80174845240771286</v>
      </c>
      <c r="W23" s="197">
        <f>BGS_Qtr!AJ23</f>
        <v>3.2667307692307697</v>
      </c>
      <c r="X23" s="454">
        <f>BGS_Qtr!AO23</f>
        <v>0.25351118749951973</v>
      </c>
      <c r="Y23" s="454">
        <f>BGS_Qtr!AT23</f>
        <v>0.12399871938536622</v>
      </c>
      <c r="Z23" s="454">
        <f>BGS_Qtr!AY23</f>
        <v>4.1769545472760905E-2</v>
      </c>
      <c r="AA23" s="454">
        <f>BGS_Qtr!BD23</f>
        <v>2.5516813379823522</v>
      </c>
      <c r="AB23" s="454">
        <f>BGS_Qtr!BI23</f>
        <v>-0.71660624165058628</v>
      </c>
      <c r="AC23" s="202">
        <f>AC22/AB22-1</f>
        <v>-4.1095890410958957E-2</v>
      </c>
      <c r="AD23" s="202">
        <f>AD22/AC22-1</f>
        <v>0</v>
      </c>
      <c r="AE23" s="202">
        <f>AE22/AD22-1</f>
        <v>0</v>
      </c>
      <c r="AF23" s="202">
        <f>AF22/AE22-1</f>
        <v>0</v>
      </c>
    </row>
    <row r="24" spans="1:36">
      <c r="A24" s="6"/>
      <c r="B24" s="70"/>
      <c r="C24" s="70"/>
      <c r="D24" s="70"/>
      <c r="E24" s="70"/>
      <c r="F24" s="70"/>
      <c r="G24" s="70"/>
      <c r="H24" s="70"/>
      <c r="I24" s="70"/>
      <c r="J24" s="70"/>
      <c r="K24" s="70"/>
      <c r="L24" s="70"/>
      <c r="M24" s="70"/>
      <c r="N24" s="70"/>
      <c r="O24" s="70"/>
      <c r="P24" s="70"/>
      <c r="Q24" s="70"/>
      <c r="R24" s="182"/>
      <c r="S24" s="182"/>
      <c r="T24" s="182"/>
      <c r="U24" s="182"/>
      <c r="V24" s="201"/>
      <c r="W24" s="201"/>
      <c r="X24" s="201"/>
      <c r="Y24" s="201"/>
      <c r="Z24" s="201"/>
      <c r="AA24" s="201"/>
      <c r="AB24" s="201"/>
      <c r="AC24" s="201"/>
      <c r="AD24" s="201"/>
      <c r="AE24" s="201"/>
      <c r="AF24" s="201"/>
    </row>
    <row r="25" spans="1:36">
      <c r="A25" s="2" t="s">
        <v>342</v>
      </c>
      <c r="R25" s="27"/>
      <c r="S25" s="27"/>
      <c r="T25" s="27"/>
      <c r="U25" s="27"/>
      <c r="V25" s="201"/>
      <c r="W25" s="201"/>
      <c r="X25" s="201"/>
      <c r="Y25" s="201"/>
      <c r="Z25" s="201"/>
      <c r="AA25" s="201"/>
      <c r="AB25" s="201"/>
      <c r="AC25" s="201"/>
      <c r="AD25" s="201"/>
      <c r="AE25" s="201"/>
      <c r="AF25" s="201"/>
    </row>
    <row r="26" spans="1:36">
      <c r="R26" s="27"/>
      <c r="S26" s="27"/>
      <c r="T26" s="27"/>
      <c r="U26" s="27"/>
      <c r="V26" s="201"/>
      <c r="W26" s="201">
        <f>BGS_Qtr!AJ30</f>
        <v>-220</v>
      </c>
      <c r="X26" s="201"/>
      <c r="Y26" s="201"/>
      <c r="Z26" s="201"/>
      <c r="AA26" s="201"/>
      <c r="AB26" s="201"/>
      <c r="AC26" s="201"/>
      <c r="AD26" s="201"/>
      <c r="AE26" s="201"/>
      <c r="AF26" s="201"/>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51"/>
  <dimension ref="A1:BK35"/>
  <sheetViews>
    <sheetView showGridLines="0" zoomScaleNormal="100" workbookViewId="0">
      <pane xSplit="1" ySplit="2" topLeftCell="AW3" activePane="bottomRight" state="frozen"/>
      <selection activeCell="K20" sqref="K20"/>
      <selection pane="topRight" activeCell="K20" sqref="K20"/>
      <selection pane="bottomLeft" activeCell="K20" sqref="K20"/>
      <selection pane="bottomRight" activeCell="BD30" sqref="BD30"/>
    </sheetView>
  </sheetViews>
  <sheetFormatPr defaultRowHeight="14.5" outlineLevelCol="1"/>
  <cols>
    <col min="1" max="1" width="48" customWidth="1"/>
    <col min="2" max="5" width="12.26953125" style="26" hidden="1" customWidth="1" outlineLevel="1"/>
    <col min="6" max="6" width="12.26953125" style="26" customWidth="1" collapsed="1"/>
    <col min="7" max="10" width="12.26953125" style="26" hidden="1" customWidth="1" outlineLevel="1"/>
    <col min="11" max="11" width="12.26953125" style="26" customWidth="1" collapsed="1"/>
    <col min="12" max="15" width="12.26953125" style="26" hidden="1" customWidth="1" outlineLevel="1"/>
    <col min="16" max="16" width="12.26953125" style="26" customWidth="1" collapsed="1"/>
    <col min="17" max="20" width="12.26953125" style="26" hidden="1" customWidth="1" outlineLevel="1"/>
    <col min="21" max="21" width="12.26953125" style="26" customWidth="1" collapsed="1"/>
    <col min="22" max="25" width="12.26953125" style="26" hidden="1" customWidth="1" outlineLevel="1"/>
    <col min="26" max="26" width="12.26953125" style="26" customWidth="1" collapsed="1"/>
    <col min="27" max="30" width="12.26953125" style="26" customWidth="1" outlineLevel="1"/>
    <col min="31" max="31" width="12.26953125" style="26" customWidth="1"/>
    <col min="32" max="35" width="12.26953125" style="26" customWidth="1" outlineLevel="1"/>
    <col min="36" max="36" width="12.26953125" style="26" customWidth="1"/>
    <col min="37" max="40" width="12.26953125" style="26" customWidth="1" outlineLevel="1"/>
    <col min="41" max="41" width="12.26953125" style="26" customWidth="1"/>
    <col min="42" max="45" width="12.26953125" style="26" customWidth="1" outlineLevel="1"/>
    <col min="46" max="46" width="12.26953125" style="26" customWidth="1"/>
    <col min="47" max="50" width="12.26953125" style="26" customWidth="1" outlineLevel="1"/>
    <col min="51" max="51" width="12.26953125" style="26" customWidth="1"/>
    <col min="52" max="55" width="12.26953125" style="26" customWidth="1" outlineLevel="1"/>
    <col min="56" max="56" width="12.26953125" style="26" customWidth="1"/>
    <col min="57" max="60" width="12.26953125" style="26" customWidth="1" outlineLevel="1"/>
    <col min="61" max="61" width="12.26953125" style="26" customWidth="1"/>
    <col min="63" max="63" width="10.54296875" customWidth="1"/>
  </cols>
  <sheetData>
    <row r="1" spans="1:61">
      <c r="A1" s="15" t="s">
        <v>353</v>
      </c>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row>
    <row r="2" spans="1:61">
      <c r="A2" s="7"/>
      <c r="B2" s="106" t="str">
        <f>Income_Statement_Qtr!B2</f>
        <v>1Q15A</v>
      </c>
      <c r="C2" s="106" t="str">
        <f>Income_Statement_Qtr!C2</f>
        <v>2Q15A</v>
      </c>
      <c r="D2" s="106" t="str">
        <f>Income_Statement_Qtr!D2</f>
        <v>3Q15A</v>
      </c>
      <c r="E2" s="106" t="str">
        <f>Income_Statement_Qtr!E2</f>
        <v>4Q15A</v>
      </c>
      <c r="F2" s="107" t="str">
        <f>Income_Statement_Qtr!F2</f>
        <v>CY2015A</v>
      </c>
      <c r="G2" s="106" t="str">
        <f>Income_Statement_Qtr!G2</f>
        <v>1Q16A</v>
      </c>
      <c r="H2" s="106" t="str">
        <f>Income_Statement_Qtr!H2</f>
        <v>2Q16A</v>
      </c>
      <c r="I2" s="106" t="str">
        <f>Income_Statement_Qtr!I2</f>
        <v>3Q16A</v>
      </c>
      <c r="J2" s="106" t="str">
        <f>Income_Statement_Qtr!J2</f>
        <v>4Q16A</v>
      </c>
      <c r="K2" s="107" t="str">
        <f>Income_Statement_Qtr!K2</f>
        <v>CY2016A</v>
      </c>
      <c r="L2" s="106" t="str">
        <f>Income_Statement_Qtr!L2</f>
        <v>1Q17A</v>
      </c>
      <c r="M2" s="106" t="str">
        <f>Income_Statement_Qtr!M2</f>
        <v>2Q17A</v>
      </c>
      <c r="N2" s="106" t="str">
        <f>Income_Statement_Qtr!N2</f>
        <v>3Q17A</v>
      </c>
      <c r="O2" s="106" t="str">
        <f>Income_Statement_Qtr!O2</f>
        <v>4Q17A</v>
      </c>
      <c r="P2" s="107" t="str">
        <f>Income_Statement_Qtr!P2</f>
        <v>CY2017A</v>
      </c>
      <c r="Q2" s="106" t="str">
        <f>Income_Statement_Qtr!Q2</f>
        <v>1Q18A</v>
      </c>
      <c r="R2" s="106" t="str">
        <f>Income_Statement_Qtr!R2</f>
        <v>2Q18A</v>
      </c>
      <c r="S2" s="106" t="str">
        <f>Income_Statement_Qtr!S2</f>
        <v>3Q18A</v>
      </c>
      <c r="T2" s="106" t="str">
        <f>Income_Statement_Qtr!T2</f>
        <v>4Q18A</v>
      </c>
      <c r="U2" s="107" t="str">
        <f>Income_Statement_Qtr!U2</f>
        <v>CY2018A</v>
      </c>
      <c r="V2" s="106" t="str">
        <f>Income_Statement_Qtr!V2</f>
        <v>1Q19A</v>
      </c>
      <c r="W2" s="106" t="str">
        <f>Income_Statement_Qtr!W2</f>
        <v>2Q19A</v>
      </c>
      <c r="X2" s="106" t="str">
        <f>Income_Statement_Qtr!X2</f>
        <v>3Q19A</v>
      </c>
      <c r="Y2" s="106" t="str">
        <f>Income_Statement_Qtr!Y2</f>
        <v>4Q19A</v>
      </c>
      <c r="Z2" s="107" t="str">
        <f>Income_Statement_Qtr!Z2</f>
        <v>CY2019A</v>
      </c>
      <c r="AA2" s="106" t="str">
        <f>Income_Statement_Qtr!AA2</f>
        <v>1Q20A</v>
      </c>
      <c r="AB2" s="106" t="str">
        <f>Income_Statement_Qtr!AB2</f>
        <v>2Q20A</v>
      </c>
      <c r="AC2" s="106" t="str">
        <f>Income_Statement_Qtr!AC2</f>
        <v>3Q20A</v>
      </c>
      <c r="AD2" s="106" t="str">
        <f>Income_Statement_Qtr!AD2</f>
        <v>4Q20A</v>
      </c>
      <c r="AE2" s="172" t="str">
        <f>Income_Statement_Qtr!AE2</f>
        <v>CY2020E</v>
      </c>
      <c r="AF2" s="172" t="str">
        <f>Income_Statement_Qtr!AF2</f>
        <v>1Q21A</v>
      </c>
      <c r="AG2" s="106" t="str">
        <f>Income_Statement_Qtr!AG2</f>
        <v>2Q21A</v>
      </c>
      <c r="AH2" s="106" t="str">
        <f>Income_Statement_Qtr!AH2</f>
        <v>3Q21A</v>
      </c>
      <c r="AI2" s="231" t="str">
        <f>Income_Statement_Qtr!AI2</f>
        <v>4Q21A</v>
      </c>
      <c r="AJ2" s="231" t="str">
        <f>Income_Statement_Qtr!AJ2</f>
        <v>CY2021A</v>
      </c>
      <c r="AK2" s="106" t="str">
        <f>Income_Statement_Qtr!AK2</f>
        <v>1Q22A</v>
      </c>
      <c r="AL2" s="106" t="str">
        <f>Income_Statement_Qtr!AL2</f>
        <v>2Q22A</v>
      </c>
      <c r="AM2" s="106" t="str">
        <f>Income_Statement_Qtr!AM2</f>
        <v>3Q22A</v>
      </c>
      <c r="AN2" s="231" t="str">
        <f>Income_Statement_Qtr!AN2</f>
        <v>4Q22A</v>
      </c>
      <c r="AO2" s="231" t="str">
        <f>Income_Statement_Qtr!AO2</f>
        <v>CY2022A</v>
      </c>
      <c r="AP2" s="106" t="str">
        <f>Income_Statement_Qtr!AP2</f>
        <v>1Q23A</v>
      </c>
      <c r="AQ2" s="106" t="str">
        <f>Income_Statement_Qtr!AQ2</f>
        <v>2Q23A</v>
      </c>
      <c r="AR2" s="106" t="str">
        <f>Income_Statement_Qtr!AR2</f>
        <v>3Q23A</v>
      </c>
      <c r="AS2" s="106" t="str">
        <f>Income_Statement_Qtr!AS2</f>
        <v>4Q23A</v>
      </c>
      <c r="AT2" s="107" t="str">
        <f>Income_Statement_Qtr!AT2</f>
        <v>CY2023A</v>
      </c>
      <c r="AU2" s="106" t="str">
        <f>Income_Statement_Qtr!AU2</f>
        <v>1Q24A</v>
      </c>
      <c r="AV2" s="106" t="str">
        <f>Income_Statement_Qtr!AV2</f>
        <v>2Q24A</v>
      </c>
      <c r="AW2" s="106" t="str">
        <f>Income_Statement_Qtr!AW2</f>
        <v>3Q24A</v>
      </c>
      <c r="AX2" s="106" t="str">
        <f>Income_Statement_Qtr!AX2</f>
        <v>4Q24A</v>
      </c>
      <c r="AY2" s="107" t="str">
        <f>Income_Statement_Qtr!AY2</f>
        <v>CY2024A</v>
      </c>
      <c r="AZ2" s="106" t="str">
        <f>Income_Statement_Qtr!AZ2</f>
        <v>1Q25A</v>
      </c>
      <c r="BA2" s="106" t="str">
        <f>Income_Statement_Qtr!BA2</f>
        <v>2Q25A</v>
      </c>
      <c r="BB2" s="106" t="str">
        <f>Income_Statement_Qtr!BB2</f>
        <v>3Q25A</v>
      </c>
      <c r="BC2" s="106" t="str">
        <f>Income_Statement_Qtr!BC2</f>
        <v>4Q25A</v>
      </c>
      <c r="BD2" s="107" t="str">
        <f>Income_Statement_Qtr!BD2</f>
        <v>CY2025A</v>
      </c>
      <c r="BE2" s="106" t="str">
        <f>Income_Statement_Qtr!BE2</f>
        <v>1Q26E</v>
      </c>
      <c r="BF2" s="106" t="str">
        <f>Income_Statement_Qtr!BF2</f>
        <v>2Q26E</v>
      </c>
      <c r="BG2" s="106" t="str">
        <f>Income_Statement_Qtr!BG2</f>
        <v>3Q26E</v>
      </c>
      <c r="BH2" s="106" t="str">
        <f>Income_Statement_Qtr!BH2</f>
        <v>4Q26E</v>
      </c>
      <c r="BI2" s="107" t="str">
        <f>Income_Statement_Qtr!BI2</f>
        <v>CY2026E</v>
      </c>
    </row>
    <row r="3" spans="1:61">
      <c r="A3" s="9" t="s">
        <v>0</v>
      </c>
      <c r="B3" s="30"/>
      <c r="C3" s="30"/>
      <c r="D3" s="71"/>
      <c r="E3" s="24"/>
      <c r="F3" s="178"/>
      <c r="G3" s="30">
        <v>3421</v>
      </c>
      <c r="H3" s="30">
        <v>3581</v>
      </c>
      <c r="I3" s="30">
        <v>3506</v>
      </c>
      <c r="J3" s="24">
        <f>+K3-SUM(G3,H3,I3)</f>
        <v>3417</v>
      </c>
      <c r="K3" s="31">
        <v>13925</v>
      </c>
      <c r="L3" s="30">
        <v>3653</v>
      </c>
      <c r="M3" s="30">
        <v>3552</v>
      </c>
      <c r="N3" s="30">
        <v>3579</v>
      </c>
      <c r="O3" s="24">
        <f>+P3-SUM(L3,M3,N3)</f>
        <v>3797</v>
      </c>
      <c r="P3" s="31">
        <v>14581</v>
      </c>
      <c r="Q3" s="30">
        <v>3950</v>
      </c>
      <c r="R3" s="30">
        <v>4097</v>
      </c>
      <c r="S3" s="30">
        <v>4101</v>
      </c>
      <c r="T3" s="24">
        <f>+U3-SUM(Q3,R3,S3)</f>
        <v>4908</v>
      </c>
      <c r="U3" s="31">
        <v>17056</v>
      </c>
      <c r="V3" s="30">
        <v>4619</v>
      </c>
      <c r="W3" s="30">
        <v>4543</v>
      </c>
      <c r="X3" s="30">
        <v>4658</v>
      </c>
      <c r="Y3" s="24">
        <f>+Z3-SUM(V3,W3,X3)</f>
        <v>4648</v>
      </c>
      <c r="Z3" s="31">
        <v>18468</v>
      </c>
      <c r="AA3" s="30">
        <v>4628</v>
      </c>
      <c r="AB3" s="30">
        <v>3488</v>
      </c>
      <c r="AC3" s="30">
        <v>3694</v>
      </c>
      <c r="AD3" s="24">
        <f>+AE3-SUM(AA3,AB3,AC3)</f>
        <v>3733</v>
      </c>
      <c r="AE3" s="461">
        <v>15543</v>
      </c>
      <c r="AF3" s="461">
        <v>3749</v>
      </c>
      <c r="AG3" s="30">
        <v>4067</v>
      </c>
      <c r="AH3" s="30">
        <v>4221</v>
      </c>
      <c r="AI3" s="186">
        <f>+AJ3-SUM(AF3,AG3,AH3)</f>
        <v>4291</v>
      </c>
      <c r="AJ3" s="31">
        <v>16328</v>
      </c>
      <c r="AK3" s="461">
        <v>4314</v>
      </c>
      <c r="AL3" s="30">
        <v>4298</v>
      </c>
      <c r="AM3" s="30">
        <v>4432</v>
      </c>
      <c r="AN3" s="186">
        <f>+AO3-SUM(AK3,AL3,AM3)</f>
        <v>4567</v>
      </c>
      <c r="AO3" s="31">
        <v>17611</v>
      </c>
      <c r="AP3" s="461">
        <v>4720</v>
      </c>
      <c r="AQ3" s="30">
        <v>4746</v>
      </c>
      <c r="AR3" s="30">
        <v>4812</v>
      </c>
      <c r="AS3" s="186">
        <f>+AT3-SUM(AP3,AQ3,AR3)</f>
        <v>4849</v>
      </c>
      <c r="AT3" s="31">
        <v>19127</v>
      </c>
      <c r="AU3" s="461">
        <v>5045</v>
      </c>
      <c r="AV3" s="30">
        <v>4889</v>
      </c>
      <c r="AW3" s="30">
        <v>4901</v>
      </c>
      <c r="AX3" s="24">
        <f>AY3-SUM(AU3:AW3)</f>
        <v>5119</v>
      </c>
      <c r="AY3" s="31">
        <v>19954</v>
      </c>
      <c r="AZ3" s="461">
        <v>5063</v>
      </c>
      <c r="BA3" s="30">
        <v>5281</v>
      </c>
      <c r="BB3" s="30">
        <v>5370</v>
      </c>
      <c r="BC3" s="24">
        <f>BD3-SUM(AZ3:BB3)</f>
        <v>5209</v>
      </c>
      <c r="BD3" s="31">
        <v>20923</v>
      </c>
      <c r="BE3" s="94">
        <f t="shared" ref="BE3:BG3" si="0">AZ3*(1+BE4)</f>
        <v>5063</v>
      </c>
      <c r="BF3" s="94">
        <f t="shared" si="0"/>
        <v>5281</v>
      </c>
      <c r="BG3" s="94">
        <f t="shared" si="0"/>
        <v>5370</v>
      </c>
      <c r="BH3" s="24">
        <f>BI3-SUM(BE3:BG3)</f>
        <v>5209</v>
      </c>
      <c r="BI3" s="199">
        <f>BD3*(1+BI4)</f>
        <v>20923</v>
      </c>
    </row>
    <row r="4" spans="1:61">
      <c r="A4" s="1" t="s">
        <v>4</v>
      </c>
      <c r="B4" s="22"/>
      <c r="C4" s="22"/>
      <c r="D4" s="22"/>
      <c r="E4" s="22"/>
      <c r="F4" s="36"/>
      <c r="G4" s="34"/>
      <c r="H4" s="35"/>
      <c r="I4" s="35"/>
      <c r="J4" s="35"/>
      <c r="K4" s="36"/>
      <c r="L4" s="34">
        <f t="shared" ref="L4:AC4" si="1">L3/G3-1</f>
        <v>6.7816427945045277E-2</v>
      </c>
      <c r="M4" s="35">
        <f t="shared" si="1"/>
        <v>-8.0982965652052208E-3</v>
      </c>
      <c r="N4" s="35">
        <f t="shared" si="1"/>
        <v>2.082144894466631E-2</v>
      </c>
      <c r="O4" s="35">
        <f t="shared" si="1"/>
        <v>0.11120866256950546</v>
      </c>
      <c r="P4" s="36">
        <f t="shared" si="1"/>
        <v>4.7109515260323143E-2</v>
      </c>
      <c r="Q4" s="34">
        <f t="shared" si="1"/>
        <v>8.1303038598412369E-2</v>
      </c>
      <c r="R4" s="35">
        <f t="shared" si="1"/>
        <v>0.15343468468468457</v>
      </c>
      <c r="S4" s="35">
        <f t="shared" si="1"/>
        <v>0.14585079631181896</v>
      </c>
      <c r="T4" s="35">
        <f t="shared" si="1"/>
        <v>0.29259942059520672</v>
      </c>
      <c r="U4" s="36">
        <f t="shared" si="1"/>
        <v>0.16974144434538108</v>
      </c>
      <c r="V4" s="34">
        <f t="shared" si="1"/>
        <v>0.16936708860759486</v>
      </c>
      <c r="W4" s="35">
        <f t="shared" si="1"/>
        <v>0.1088601415670003</v>
      </c>
      <c r="X4" s="35">
        <f t="shared" si="1"/>
        <v>0.13582053157766394</v>
      </c>
      <c r="Y4" s="35">
        <f t="shared" si="1"/>
        <v>-5.2974735126324335E-2</v>
      </c>
      <c r="Z4" s="36">
        <f t="shared" si="1"/>
        <v>8.2786116322701719E-2</v>
      </c>
      <c r="AA4" s="34">
        <f t="shared" si="1"/>
        <v>1.9484736956050241E-3</v>
      </c>
      <c r="AB4" s="34">
        <f t="shared" si="1"/>
        <v>-0.23222540171692718</v>
      </c>
      <c r="AC4" s="34">
        <f t="shared" si="1"/>
        <v>-0.20695577501073426</v>
      </c>
      <c r="AD4" s="35">
        <f t="shared" ref="AD4:AM4" si="2">AD3/Y3-1</f>
        <v>-0.19685886402753872</v>
      </c>
      <c r="AE4" s="89">
        <f t="shared" si="2"/>
        <v>-0.15838206627680307</v>
      </c>
      <c r="AF4" s="89">
        <f t="shared" si="2"/>
        <v>-0.18993085566119272</v>
      </c>
      <c r="AG4" s="34">
        <f t="shared" si="2"/>
        <v>0.16599770642201839</v>
      </c>
      <c r="AH4" s="34">
        <f t="shared" si="2"/>
        <v>0.14266377910124528</v>
      </c>
      <c r="AI4" s="228">
        <f t="shared" si="2"/>
        <v>0.14947763193142238</v>
      </c>
      <c r="AJ4" s="36">
        <f t="shared" si="2"/>
        <v>5.0505050505050608E-2</v>
      </c>
      <c r="AK4" s="89">
        <f t="shared" si="2"/>
        <v>0.15070685516137639</v>
      </c>
      <c r="AL4" s="34">
        <f t="shared" si="2"/>
        <v>5.6798623063683218E-2</v>
      </c>
      <c r="AM4" s="34">
        <f t="shared" si="2"/>
        <v>4.9988154465766321E-2</v>
      </c>
      <c r="AN4" s="228">
        <f t="shared" ref="AN4" si="3">AN3/AI3-1</f>
        <v>6.4320671172220845E-2</v>
      </c>
      <c r="AO4" s="36">
        <f t="shared" ref="AO4:AR4" si="4">AO3/AJ3-1</f>
        <v>7.8576678098971176E-2</v>
      </c>
      <c r="AP4" s="89">
        <f t="shared" si="4"/>
        <v>9.4112192860454247E-2</v>
      </c>
      <c r="AQ4" s="34">
        <f t="shared" si="4"/>
        <v>0.10423452768729646</v>
      </c>
      <c r="AR4" s="34">
        <f t="shared" si="4"/>
        <v>8.5740072202166173E-2</v>
      </c>
      <c r="AS4" s="228">
        <f t="shared" ref="AS4" si="5">AS3/AN3-1</f>
        <v>6.1747317714035521E-2</v>
      </c>
      <c r="AT4" s="36">
        <f t="shared" ref="AT4:BB4" si="6">AT3/AO3-1</f>
        <v>8.6082562035091792E-2</v>
      </c>
      <c r="AU4" s="89">
        <f t="shared" si="6"/>
        <v>6.8855932203389925E-2</v>
      </c>
      <c r="AV4" s="34">
        <f t="shared" si="6"/>
        <v>3.0130636325326643E-2</v>
      </c>
      <c r="AW4" s="34">
        <f t="shared" si="6"/>
        <v>1.849542809642557E-2</v>
      </c>
      <c r="AX4" s="105">
        <f t="shared" ref="AX4" si="7">AX3/AS3-1</f>
        <v>5.5681583831717951E-2</v>
      </c>
      <c r="AY4" s="36">
        <f t="shared" si="6"/>
        <v>4.3237308516756334E-2</v>
      </c>
      <c r="AZ4" s="89">
        <f t="shared" si="6"/>
        <v>3.5678889990089502E-3</v>
      </c>
      <c r="BA4" s="34">
        <f t="shared" si="6"/>
        <v>8.0179995909183788E-2</v>
      </c>
      <c r="BB4" s="34">
        <f t="shared" si="6"/>
        <v>9.5694756172209683E-2</v>
      </c>
      <c r="BC4" s="105">
        <f t="shared" ref="BC4" si="8">BC3/AX3-1</f>
        <v>1.7581558898222216E-2</v>
      </c>
      <c r="BD4" s="36">
        <f t="shared" ref="BD4" si="9">BD3/AY3-1</f>
        <v>4.8561691891350067E-2</v>
      </c>
      <c r="BE4" s="193">
        <f>$BI4</f>
        <v>0</v>
      </c>
      <c r="BF4" s="193">
        <f t="shared" ref="BF4:BG4" si="10">$BI4</f>
        <v>0</v>
      </c>
      <c r="BG4" s="193">
        <f t="shared" si="10"/>
        <v>0</v>
      </c>
      <c r="BH4" s="105">
        <f>BH3/BC3-1</f>
        <v>0</v>
      </c>
      <c r="BI4" s="200">
        <v>0</v>
      </c>
    </row>
    <row r="5" spans="1:61">
      <c r="A5" s="1"/>
      <c r="B5" s="22"/>
      <c r="C5" s="22"/>
      <c r="D5" s="22"/>
      <c r="E5" s="22"/>
      <c r="F5" s="23"/>
      <c r="G5" s="22"/>
      <c r="H5" s="22"/>
      <c r="I5" s="22"/>
      <c r="J5" s="22"/>
      <c r="K5" s="23"/>
      <c r="L5" s="22"/>
      <c r="M5" s="22"/>
      <c r="N5" s="22"/>
      <c r="O5" s="22"/>
      <c r="P5" s="23"/>
      <c r="Q5" s="22"/>
      <c r="R5" s="22"/>
      <c r="S5" s="22"/>
      <c r="T5" s="22"/>
      <c r="U5" s="23"/>
      <c r="V5" s="22"/>
      <c r="W5" s="22"/>
      <c r="X5" s="22"/>
      <c r="Y5" s="22"/>
      <c r="Z5" s="23"/>
      <c r="AA5" s="22"/>
      <c r="AB5" s="22"/>
      <c r="AC5" s="22"/>
      <c r="AD5" s="22"/>
      <c r="AE5" s="210"/>
      <c r="AF5" s="210"/>
      <c r="AG5" s="22"/>
      <c r="AH5" s="22"/>
      <c r="AI5" s="423"/>
      <c r="AJ5" s="23"/>
      <c r="AK5" s="210"/>
      <c r="AL5" s="22"/>
      <c r="AM5" s="22"/>
      <c r="AN5" s="423"/>
      <c r="AO5" s="23"/>
      <c r="AP5" s="210"/>
      <c r="AQ5" s="22"/>
      <c r="AR5" s="22"/>
      <c r="AS5" s="423"/>
      <c r="AT5" s="23"/>
      <c r="AU5" s="210"/>
      <c r="AV5" s="22"/>
      <c r="AW5" s="22"/>
      <c r="AX5" s="22"/>
      <c r="AY5" s="23"/>
      <c r="AZ5" s="210"/>
      <c r="BA5" s="22"/>
      <c r="BB5" s="22"/>
      <c r="BC5" s="22"/>
      <c r="BD5" s="23"/>
      <c r="BE5" s="22"/>
      <c r="BF5" s="22"/>
      <c r="BG5" s="22"/>
      <c r="BH5" s="22"/>
      <c r="BI5" s="23"/>
    </row>
    <row r="6" spans="1:61">
      <c r="A6" s="7" t="s">
        <v>293</v>
      </c>
      <c r="B6" s="19"/>
      <c r="C6" s="19"/>
      <c r="D6" s="19"/>
      <c r="E6" s="20"/>
      <c r="F6" s="21"/>
      <c r="G6" s="19">
        <v>38</v>
      </c>
      <c r="H6" s="19">
        <v>47</v>
      </c>
      <c r="I6" s="19">
        <v>41</v>
      </c>
      <c r="J6" s="20">
        <f>+K6-SUM(G6,H6,I6)</f>
        <v>27</v>
      </c>
      <c r="K6" s="21">
        <v>153</v>
      </c>
      <c r="L6" s="19">
        <v>28</v>
      </c>
      <c r="M6" s="19">
        <v>35</v>
      </c>
      <c r="N6" s="19">
        <v>38</v>
      </c>
      <c r="O6" s="20">
        <f>+P6-SUM(L6,M6,N6)</f>
        <v>39</v>
      </c>
      <c r="P6" s="21">
        <v>140</v>
      </c>
      <c r="Q6" s="19">
        <v>34</v>
      </c>
      <c r="R6" s="41">
        <v>37</v>
      </c>
      <c r="S6" s="41">
        <v>48</v>
      </c>
      <c r="T6" s="22">
        <f>+U6-SUM(Q6,R6,S6)</f>
        <v>42</v>
      </c>
      <c r="U6" s="43">
        <v>161</v>
      </c>
      <c r="V6" s="41">
        <v>40</v>
      </c>
      <c r="W6" s="41">
        <v>33</v>
      </c>
      <c r="X6" s="41">
        <v>29</v>
      </c>
      <c r="Y6" s="22">
        <f>+Z6-SUM(V6,W6,X6)</f>
        <v>19</v>
      </c>
      <c r="Z6" s="43">
        <v>121</v>
      </c>
      <c r="AA6" s="41">
        <v>30</v>
      </c>
      <c r="AB6" s="41">
        <v>35</v>
      </c>
      <c r="AC6" s="41">
        <v>45</v>
      </c>
      <c r="AD6" s="22">
        <f>+AE6-SUM(AA6,AB6,AC6)</f>
        <v>28</v>
      </c>
      <c r="AE6" s="154">
        <v>138</v>
      </c>
      <c r="AF6" s="154">
        <v>25</v>
      </c>
      <c r="AG6" s="41">
        <v>25</v>
      </c>
      <c r="AH6" s="41">
        <v>30</v>
      </c>
      <c r="AI6" s="423">
        <f>+AJ6-SUM(AF6,AG6,AH6)</f>
        <v>27</v>
      </c>
      <c r="AJ6" s="43">
        <v>107</v>
      </c>
      <c r="AK6" s="463">
        <v>27</v>
      </c>
      <c r="AL6" s="41">
        <v>27</v>
      </c>
      <c r="AM6" s="41">
        <v>35</v>
      </c>
      <c r="AN6" s="423">
        <f>+AO6-SUM(AK6,AL6,AM6)</f>
        <v>30</v>
      </c>
      <c r="AO6" s="43">
        <v>119</v>
      </c>
      <c r="AP6" s="463">
        <v>26</v>
      </c>
      <c r="AQ6" s="41">
        <v>28</v>
      </c>
      <c r="AR6" s="41">
        <v>30</v>
      </c>
      <c r="AS6" s="423">
        <f>+AT6-SUM(AP6,AQ6,AR6)</f>
        <v>23</v>
      </c>
      <c r="AT6" s="43">
        <v>107</v>
      </c>
      <c r="AU6" s="463">
        <v>26</v>
      </c>
      <c r="AV6" s="41">
        <v>41</v>
      </c>
      <c r="AW6" s="41">
        <v>36</v>
      </c>
      <c r="AX6" s="423">
        <f>+AY6-SUM(AU6,AV6,AW6)</f>
        <v>29</v>
      </c>
      <c r="AY6" s="43">
        <v>132</v>
      </c>
      <c r="AZ6" s="463">
        <v>29</v>
      </c>
      <c r="BA6" s="41">
        <v>30</v>
      </c>
      <c r="BB6" s="41">
        <v>32</v>
      </c>
      <c r="BC6" s="423">
        <f>+BD6-SUM(AZ6,BA6,BB6)</f>
        <v>34</v>
      </c>
      <c r="BD6" s="43">
        <v>125</v>
      </c>
      <c r="BE6" s="22">
        <f t="shared" ref="BE6:BG6" si="11">AZ6*(1+BE7)</f>
        <v>29.580000000000002</v>
      </c>
      <c r="BF6" s="22">
        <f t="shared" si="11"/>
        <v>30.6</v>
      </c>
      <c r="BG6" s="22">
        <f t="shared" si="11"/>
        <v>32.64</v>
      </c>
      <c r="BH6" s="22">
        <f>BC6*(1+BH7)</f>
        <v>34.68</v>
      </c>
      <c r="BI6" s="23">
        <f>SUM(BE6:BH6)</f>
        <v>127.5</v>
      </c>
    </row>
    <row r="7" spans="1:61">
      <c r="A7" s="1" t="s">
        <v>4</v>
      </c>
      <c r="B7" s="19"/>
      <c r="C7" s="19"/>
      <c r="D7" s="19"/>
      <c r="E7" s="20"/>
      <c r="F7" s="21"/>
      <c r="G7" s="19"/>
      <c r="H7" s="19"/>
      <c r="I7" s="19"/>
      <c r="J7" s="20"/>
      <c r="K7" s="21"/>
      <c r="L7" s="34">
        <f t="shared" ref="L7:AC7" si="12">L6/G6-1</f>
        <v>-0.26315789473684215</v>
      </c>
      <c r="M7" s="35">
        <f t="shared" si="12"/>
        <v>-0.25531914893617025</v>
      </c>
      <c r="N7" s="35">
        <f t="shared" si="12"/>
        <v>-7.3170731707317027E-2</v>
      </c>
      <c r="O7" s="35">
        <f t="shared" si="12"/>
        <v>0.44444444444444442</v>
      </c>
      <c r="P7" s="36">
        <f t="shared" si="12"/>
        <v>-8.496732026143794E-2</v>
      </c>
      <c r="Q7" s="34">
        <f t="shared" si="12"/>
        <v>0.21428571428571419</v>
      </c>
      <c r="R7" s="35">
        <f t="shared" si="12"/>
        <v>5.7142857142857162E-2</v>
      </c>
      <c r="S7" s="35">
        <f t="shared" si="12"/>
        <v>0.26315789473684204</v>
      </c>
      <c r="T7" s="35">
        <f t="shared" si="12"/>
        <v>7.6923076923076872E-2</v>
      </c>
      <c r="U7" s="36">
        <f t="shared" si="12"/>
        <v>0.14999999999999991</v>
      </c>
      <c r="V7" s="34">
        <f t="shared" si="12"/>
        <v>0.17647058823529416</v>
      </c>
      <c r="W7" s="35">
        <f t="shared" si="12"/>
        <v>-0.10810810810810811</v>
      </c>
      <c r="X7" s="35">
        <f t="shared" si="12"/>
        <v>-0.39583333333333337</v>
      </c>
      <c r="Y7" s="35">
        <f t="shared" si="12"/>
        <v>-0.54761904761904767</v>
      </c>
      <c r="Z7" s="36">
        <f t="shared" si="12"/>
        <v>-0.24844720496894412</v>
      </c>
      <c r="AA7" s="34">
        <f t="shared" si="12"/>
        <v>-0.25</v>
      </c>
      <c r="AB7" s="34">
        <f t="shared" si="12"/>
        <v>6.0606060606060552E-2</v>
      </c>
      <c r="AC7" s="34">
        <f t="shared" si="12"/>
        <v>0.55172413793103448</v>
      </c>
      <c r="AD7" s="35">
        <f t="shared" ref="AD7:AM7" si="13">AD6/Y6-1</f>
        <v>0.47368421052631571</v>
      </c>
      <c r="AE7" s="89">
        <f t="shared" si="13"/>
        <v>0.14049586776859502</v>
      </c>
      <c r="AF7" s="89">
        <f t="shared" si="13"/>
        <v>-0.16666666666666663</v>
      </c>
      <c r="AG7" s="34">
        <f t="shared" si="13"/>
        <v>-0.2857142857142857</v>
      </c>
      <c r="AH7" s="34">
        <f t="shared" si="13"/>
        <v>-0.33333333333333337</v>
      </c>
      <c r="AI7" s="228">
        <f t="shared" si="13"/>
        <v>-3.5714285714285698E-2</v>
      </c>
      <c r="AJ7" s="36">
        <f t="shared" si="13"/>
        <v>-0.22463768115942029</v>
      </c>
      <c r="AK7" s="89">
        <f t="shared" si="13"/>
        <v>8.0000000000000071E-2</v>
      </c>
      <c r="AL7" s="34">
        <f t="shared" si="13"/>
        <v>8.0000000000000071E-2</v>
      </c>
      <c r="AM7" s="34">
        <f t="shared" si="13"/>
        <v>0.16666666666666674</v>
      </c>
      <c r="AN7" s="228">
        <f t="shared" ref="AN7" si="14">AN6/AI6-1</f>
        <v>0.11111111111111116</v>
      </c>
      <c r="AO7" s="36">
        <f t="shared" ref="AO7:AR7" si="15">AO6/AJ6-1</f>
        <v>0.11214953271028039</v>
      </c>
      <c r="AP7" s="89">
        <f t="shared" si="15"/>
        <v>-3.703703703703709E-2</v>
      </c>
      <c r="AQ7" s="34">
        <f t="shared" si="15"/>
        <v>3.7037037037036979E-2</v>
      </c>
      <c r="AR7" s="34">
        <f t="shared" si="15"/>
        <v>-0.1428571428571429</v>
      </c>
      <c r="AS7" s="228">
        <f t="shared" ref="AS7" si="16">AS6/AN6-1</f>
        <v>-0.23333333333333328</v>
      </c>
      <c r="AT7" s="36">
        <f t="shared" ref="AT7:AW7" si="17">AT6/AO6-1</f>
        <v>-0.10084033613445376</v>
      </c>
      <c r="AU7" s="89">
        <f t="shared" si="17"/>
        <v>0</v>
      </c>
      <c r="AV7" s="34">
        <f t="shared" si="17"/>
        <v>0.46428571428571419</v>
      </c>
      <c r="AW7" s="34">
        <f t="shared" si="17"/>
        <v>0.19999999999999996</v>
      </c>
      <c r="AX7" s="228">
        <f t="shared" ref="AX7" si="18">AX6/AS6-1</f>
        <v>0.26086956521739135</v>
      </c>
      <c r="AY7" s="36">
        <f t="shared" ref="AY7:BB7" si="19">AY6/AT6-1</f>
        <v>0.23364485981308403</v>
      </c>
      <c r="AZ7" s="89">
        <f t="shared" si="19"/>
        <v>0.11538461538461542</v>
      </c>
      <c r="BA7" s="34">
        <f t="shared" si="19"/>
        <v>-0.26829268292682928</v>
      </c>
      <c r="BB7" s="34">
        <f t="shared" si="19"/>
        <v>-0.11111111111111116</v>
      </c>
      <c r="BC7" s="228">
        <f t="shared" ref="BC7" si="20">BC6/AX6-1</f>
        <v>0.17241379310344818</v>
      </c>
      <c r="BD7" s="36">
        <f t="shared" ref="BD7" si="21">BD6/AY6-1</f>
        <v>-5.3030303030302983E-2</v>
      </c>
      <c r="BE7" s="193">
        <v>0.02</v>
      </c>
      <c r="BF7" s="193">
        <v>0.02</v>
      </c>
      <c r="BG7" s="193">
        <v>0.02</v>
      </c>
      <c r="BH7" s="190">
        <v>0.02</v>
      </c>
      <c r="BI7" s="36">
        <f>BI6/BD6-1</f>
        <v>2.0000000000000018E-2</v>
      </c>
    </row>
    <row r="8" spans="1:61">
      <c r="A8" s="1" t="s">
        <v>220</v>
      </c>
      <c r="B8" s="35"/>
      <c r="C8" s="35"/>
      <c r="D8" s="35"/>
      <c r="E8" s="35"/>
      <c r="F8" s="36"/>
      <c r="G8" s="34">
        <f t="shared" ref="G8:AA8" si="22">G6/G3</f>
        <v>1.1107863197895352E-2</v>
      </c>
      <c r="H8" s="35">
        <f t="shared" si="22"/>
        <v>1.312482546774644E-2</v>
      </c>
      <c r="I8" s="35">
        <f t="shared" si="22"/>
        <v>1.1694238448374215E-2</v>
      </c>
      <c r="J8" s="35">
        <f t="shared" si="22"/>
        <v>7.9016681299385431E-3</v>
      </c>
      <c r="K8" s="36">
        <f t="shared" si="22"/>
        <v>1.0987432675044883E-2</v>
      </c>
      <c r="L8" s="34">
        <f t="shared" si="22"/>
        <v>7.6649329318368466E-3</v>
      </c>
      <c r="M8" s="35">
        <f t="shared" si="22"/>
        <v>9.8536036036036036E-3</v>
      </c>
      <c r="N8" s="35">
        <f t="shared" si="22"/>
        <v>1.0617490919251188E-2</v>
      </c>
      <c r="O8" s="35">
        <f t="shared" si="22"/>
        <v>1.0271266789570714E-2</v>
      </c>
      <c r="P8" s="36">
        <f t="shared" si="22"/>
        <v>9.6015362457993279E-3</v>
      </c>
      <c r="Q8" s="34">
        <f t="shared" si="22"/>
        <v>8.6075949367088612E-3</v>
      </c>
      <c r="R8" s="35">
        <f t="shared" si="22"/>
        <v>9.0309982914327548E-3</v>
      </c>
      <c r="S8" s="35">
        <f t="shared" si="22"/>
        <v>1.1704462326261888E-2</v>
      </c>
      <c r="T8" s="35">
        <f t="shared" si="22"/>
        <v>8.557457212713936E-3</v>
      </c>
      <c r="U8" s="36">
        <f t="shared" si="22"/>
        <v>9.4394934333958732E-3</v>
      </c>
      <c r="V8" s="34">
        <f t="shared" si="22"/>
        <v>8.6598830915782642E-3</v>
      </c>
      <c r="W8" s="35">
        <f t="shared" si="22"/>
        <v>7.2639225181598066E-3</v>
      </c>
      <c r="X8" s="35">
        <f t="shared" si="22"/>
        <v>6.2258480034349502E-3</v>
      </c>
      <c r="Y8" s="35">
        <f t="shared" si="22"/>
        <v>4.087779690189329E-3</v>
      </c>
      <c r="Z8" s="36">
        <f t="shared" si="22"/>
        <v>6.5518735109378386E-3</v>
      </c>
      <c r="AA8" s="34">
        <f t="shared" si="22"/>
        <v>6.4822817631806397E-3</v>
      </c>
      <c r="AB8" s="34">
        <f t="shared" ref="AB8:AM8" si="23">AB6/AB3</f>
        <v>1.0034403669724771E-2</v>
      </c>
      <c r="AC8" s="34">
        <f t="shared" si="23"/>
        <v>1.2181916621548458E-2</v>
      </c>
      <c r="AD8" s="35">
        <f t="shared" si="23"/>
        <v>7.5006697026520222E-3</v>
      </c>
      <c r="AE8" s="89">
        <f t="shared" si="23"/>
        <v>8.878594865856012E-3</v>
      </c>
      <c r="AF8" s="89">
        <f t="shared" si="23"/>
        <v>6.6684449186449717E-3</v>
      </c>
      <c r="AG8" s="34">
        <f t="shared" si="23"/>
        <v>6.1470371281042539E-3</v>
      </c>
      <c r="AH8" s="34">
        <f t="shared" si="23"/>
        <v>7.1073205401563609E-3</v>
      </c>
      <c r="AI8" s="228">
        <f t="shared" si="23"/>
        <v>6.2922395711955256E-3</v>
      </c>
      <c r="AJ8" s="36">
        <f t="shared" si="23"/>
        <v>6.5531602155805974E-3</v>
      </c>
      <c r="AK8" s="89">
        <f t="shared" si="23"/>
        <v>6.2586926286509036E-3</v>
      </c>
      <c r="AL8" s="34">
        <f t="shared" si="23"/>
        <v>6.281991624011168E-3</v>
      </c>
      <c r="AM8" s="34">
        <f t="shared" si="23"/>
        <v>7.8971119133574002E-3</v>
      </c>
      <c r="AN8" s="228">
        <f t="shared" ref="AN8:AR8" si="24">AN6/AN3</f>
        <v>6.5688635865995184E-3</v>
      </c>
      <c r="AO8" s="36">
        <f t="shared" si="24"/>
        <v>6.7571404235988869E-3</v>
      </c>
      <c r="AP8" s="89">
        <f t="shared" si="24"/>
        <v>5.5084745762711863E-3</v>
      </c>
      <c r="AQ8" s="34">
        <f t="shared" si="24"/>
        <v>5.8997050147492625E-3</v>
      </c>
      <c r="AR8" s="34">
        <f t="shared" si="24"/>
        <v>6.2344139650872821E-3</v>
      </c>
      <c r="AS8" s="228">
        <f t="shared" ref="AS8:AW8" si="25">AS6/AS3</f>
        <v>4.7432460301093009E-3</v>
      </c>
      <c r="AT8" s="36">
        <f t="shared" si="25"/>
        <v>5.5941862288910963E-3</v>
      </c>
      <c r="AU8" s="89">
        <f t="shared" si="25"/>
        <v>5.1536174430128843E-3</v>
      </c>
      <c r="AV8" s="34">
        <f t="shared" si="25"/>
        <v>8.3861730415217828E-3</v>
      </c>
      <c r="AW8" s="34">
        <f t="shared" si="25"/>
        <v>7.3454397061824116E-3</v>
      </c>
      <c r="AX8" s="228">
        <f t="shared" ref="AX8:BB8" si="26">AX6/AX3</f>
        <v>5.6651689783160774E-3</v>
      </c>
      <c r="AY8" s="36">
        <f t="shared" si="26"/>
        <v>6.615214994487321E-3</v>
      </c>
      <c r="AZ8" s="89">
        <f t="shared" si="26"/>
        <v>5.7278293501876361E-3</v>
      </c>
      <c r="BA8" s="34">
        <f t="shared" si="26"/>
        <v>5.6807422836583979E-3</v>
      </c>
      <c r="BB8" s="34">
        <f t="shared" si="26"/>
        <v>5.9590316573556795E-3</v>
      </c>
      <c r="BC8" s="228">
        <f t="shared" ref="BC8:BD8" si="27">BC6/BC3</f>
        <v>6.5271645229410639E-3</v>
      </c>
      <c r="BD8" s="36">
        <f t="shared" si="27"/>
        <v>5.9742866701715811E-3</v>
      </c>
      <c r="BE8" s="110">
        <f t="shared" ref="BE8:BG8" si="28">BE6/BE3</f>
        <v>5.842385937191389E-3</v>
      </c>
      <c r="BF8" s="110">
        <f t="shared" si="28"/>
        <v>5.7943571293315663E-3</v>
      </c>
      <c r="BG8" s="110">
        <f t="shared" si="28"/>
        <v>6.0782122905027932E-3</v>
      </c>
      <c r="BH8" s="111">
        <f t="shared" ref="BH8:BI8" si="29">BH6/BH3</f>
        <v>6.6577078133998845E-3</v>
      </c>
      <c r="BI8" s="112">
        <f t="shared" si="29"/>
        <v>6.0937724035750127E-3</v>
      </c>
    </row>
    <row r="9" spans="1:61">
      <c r="F9" s="27"/>
      <c r="K9" s="27"/>
      <c r="P9" s="27"/>
      <c r="U9" s="27"/>
      <c r="Z9" s="27"/>
      <c r="AE9" s="151"/>
      <c r="AF9" s="151"/>
      <c r="AI9" s="237"/>
      <c r="AJ9" s="27"/>
      <c r="AK9" s="151"/>
      <c r="AN9" s="237"/>
      <c r="AO9" s="27"/>
      <c r="AP9" s="151"/>
      <c r="AS9" s="237"/>
      <c r="AT9" s="27"/>
      <c r="AU9" s="151"/>
      <c r="AY9" s="27"/>
      <c r="AZ9" s="151"/>
      <c r="BD9" s="27"/>
      <c r="BI9" s="27"/>
    </row>
    <row r="10" spans="1:61">
      <c r="A10" s="10" t="s">
        <v>10</v>
      </c>
      <c r="B10" s="28"/>
      <c r="C10" s="28"/>
      <c r="D10" s="28"/>
      <c r="E10" s="28"/>
      <c r="F10" s="29"/>
      <c r="G10" s="28">
        <f t="shared" ref="G10:AA10" si="30">+-G3+G13</f>
        <v>-2875</v>
      </c>
      <c r="H10" s="28">
        <f t="shared" si="30"/>
        <v>-3042</v>
      </c>
      <c r="I10" s="28">
        <f t="shared" si="30"/>
        <v>-2882</v>
      </c>
      <c r="J10" s="28">
        <f t="shared" si="30"/>
        <v>-2949</v>
      </c>
      <c r="K10" s="29">
        <f t="shared" si="30"/>
        <v>-11748</v>
      </c>
      <c r="L10" s="28">
        <f t="shared" si="30"/>
        <v>-3030</v>
      </c>
      <c r="M10" s="28">
        <f t="shared" si="30"/>
        <v>-2983</v>
      </c>
      <c r="N10" s="28">
        <f t="shared" si="30"/>
        <v>-3084</v>
      </c>
      <c r="O10" s="28">
        <f t="shared" si="30"/>
        <v>-3238</v>
      </c>
      <c r="P10" s="29">
        <f t="shared" si="30"/>
        <v>-12335</v>
      </c>
      <c r="Q10" s="28">
        <f t="shared" si="30"/>
        <v>-3303</v>
      </c>
      <c r="R10" s="28">
        <f t="shared" si="30"/>
        <v>-3493</v>
      </c>
      <c r="S10" s="28">
        <f t="shared" si="30"/>
        <v>-3553</v>
      </c>
      <c r="T10" s="28">
        <f t="shared" si="30"/>
        <v>-4171</v>
      </c>
      <c r="U10" s="29">
        <f t="shared" si="30"/>
        <v>-14520</v>
      </c>
      <c r="V10" s="28">
        <f t="shared" si="30"/>
        <v>-3966</v>
      </c>
      <c r="W10" s="28">
        <f t="shared" si="30"/>
        <v>-3856</v>
      </c>
      <c r="X10" s="28">
        <f t="shared" si="30"/>
        <v>-3985</v>
      </c>
      <c r="Y10" s="28">
        <f t="shared" si="30"/>
        <v>-3964</v>
      </c>
      <c r="Z10" s="29">
        <f t="shared" si="30"/>
        <v>-15771</v>
      </c>
      <c r="AA10" s="28">
        <f t="shared" si="30"/>
        <v>-3920</v>
      </c>
      <c r="AB10" s="28">
        <f t="shared" ref="AB10:AM10" si="31">+-AB3+AB13</f>
        <v>-4160</v>
      </c>
      <c r="AC10" s="28">
        <f t="shared" si="31"/>
        <v>-3423</v>
      </c>
      <c r="AD10" s="28">
        <f t="shared" si="31"/>
        <v>-3590</v>
      </c>
      <c r="AE10" s="462">
        <f t="shared" si="31"/>
        <v>-15093</v>
      </c>
      <c r="AF10" s="462">
        <f t="shared" si="31"/>
        <v>-3308</v>
      </c>
      <c r="AG10" s="28">
        <f t="shared" si="31"/>
        <v>-3536</v>
      </c>
      <c r="AH10" s="28">
        <f t="shared" si="31"/>
        <v>-3577</v>
      </c>
      <c r="AI10" s="465">
        <f t="shared" si="31"/>
        <v>-3890</v>
      </c>
      <c r="AJ10" s="29">
        <f t="shared" si="31"/>
        <v>-14311</v>
      </c>
      <c r="AK10" s="462">
        <f t="shared" si="31"/>
        <v>-3682</v>
      </c>
      <c r="AL10" s="28">
        <f t="shared" si="31"/>
        <v>-3570</v>
      </c>
      <c r="AM10" s="28">
        <f t="shared" si="31"/>
        <v>-3699</v>
      </c>
      <c r="AN10" s="465">
        <f t="shared" ref="AN10:AR10" si="32">+-AN3+AN13</f>
        <v>-3933</v>
      </c>
      <c r="AO10" s="29">
        <f t="shared" si="32"/>
        <v>-14884</v>
      </c>
      <c r="AP10" s="462">
        <f t="shared" si="32"/>
        <v>-3873</v>
      </c>
      <c r="AQ10" s="28">
        <f t="shared" si="32"/>
        <v>-3890</v>
      </c>
      <c r="AR10" s="28">
        <f t="shared" si="32"/>
        <v>-4028</v>
      </c>
      <c r="AS10" s="465">
        <f t="shared" ref="AS10:AW10" si="33">+-AS3+AS13</f>
        <v>-4007</v>
      </c>
      <c r="AT10" s="29">
        <f t="shared" si="33"/>
        <v>-15798</v>
      </c>
      <c r="AU10" s="462">
        <f t="shared" si="33"/>
        <v>-4129</v>
      </c>
      <c r="AV10" s="28">
        <f t="shared" si="33"/>
        <v>-4019</v>
      </c>
      <c r="AW10" s="28">
        <f t="shared" si="33"/>
        <v>-4067</v>
      </c>
      <c r="AX10" s="28">
        <f t="shared" ref="AX10:BB10" si="34">+-AX3+AX13</f>
        <v>-4121</v>
      </c>
      <c r="AY10" s="29">
        <f t="shared" si="34"/>
        <v>-16336</v>
      </c>
      <c r="AZ10" s="462">
        <f t="shared" si="34"/>
        <v>-4120</v>
      </c>
      <c r="BA10" s="28">
        <f t="shared" si="34"/>
        <v>-4232</v>
      </c>
      <c r="BB10" s="28">
        <f t="shared" si="34"/>
        <v>-4432</v>
      </c>
      <c r="BC10" s="28">
        <f t="shared" ref="BC10:BD10" si="35">+-BC3+BC13</f>
        <v>5335</v>
      </c>
      <c r="BD10" s="29">
        <f t="shared" si="35"/>
        <v>-7449</v>
      </c>
      <c r="BE10" s="28">
        <f t="shared" ref="BE10:BG10" si="36">+-BE3+BE13</f>
        <v>-4139.0025000000005</v>
      </c>
      <c r="BF10" s="28">
        <f t="shared" si="36"/>
        <v>-4317.2174999999997</v>
      </c>
      <c r="BG10" s="28">
        <f t="shared" si="36"/>
        <v>-4389.9750000000004</v>
      </c>
      <c r="BH10" s="28">
        <f t="shared" ref="BH10:BI10" si="37">+-BH3+BH13</f>
        <v>-4258.3575000000001</v>
      </c>
      <c r="BI10" s="29">
        <f t="shared" si="37"/>
        <v>-17104.552500000002</v>
      </c>
    </row>
    <row r="11" spans="1:61">
      <c r="A11" s="1" t="s">
        <v>4</v>
      </c>
      <c r="F11" s="36"/>
      <c r="G11" s="34"/>
      <c r="H11" s="35"/>
      <c r="I11" s="35"/>
      <c r="J11" s="35"/>
      <c r="K11" s="36"/>
      <c r="L11" s="34">
        <f t="shared" ref="L11:AC11" si="38">L10/G10-1</f>
        <v>5.3913043478260869E-2</v>
      </c>
      <c r="M11" s="35">
        <f t="shared" si="38"/>
        <v>-1.9395134779750189E-2</v>
      </c>
      <c r="N11" s="35">
        <f t="shared" si="38"/>
        <v>7.0090215128383093E-2</v>
      </c>
      <c r="O11" s="35">
        <f t="shared" si="38"/>
        <v>9.7999321804001394E-2</v>
      </c>
      <c r="P11" s="36">
        <f t="shared" si="38"/>
        <v>4.9965951651344875E-2</v>
      </c>
      <c r="Q11" s="34">
        <f t="shared" si="38"/>
        <v>9.0099009900990179E-2</v>
      </c>
      <c r="R11" s="35">
        <f t="shared" si="38"/>
        <v>0.17096882333221597</v>
      </c>
      <c r="S11" s="35">
        <f t="shared" si="38"/>
        <v>0.15207522697795062</v>
      </c>
      <c r="T11" s="35">
        <f t="shared" si="38"/>
        <v>0.28814082767140214</v>
      </c>
      <c r="U11" s="36">
        <f t="shared" si="38"/>
        <v>0.1771382245642481</v>
      </c>
      <c r="V11" s="34">
        <f t="shared" si="38"/>
        <v>0.20072661217075383</v>
      </c>
      <c r="W11" s="35">
        <f t="shared" si="38"/>
        <v>0.10392212997423411</v>
      </c>
      <c r="X11" s="35">
        <f t="shared" si="38"/>
        <v>0.12158739093723603</v>
      </c>
      <c r="Y11" s="35">
        <f t="shared" si="38"/>
        <v>-4.962838647806278E-2</v>
      </c>
      <c r="Z11" s="36">
        <f t="shared" si="38"/>
        <v>8.6157024793388493E-2</v>
      </c>
      <c r="AA11" s="34">
        <f t="shared" si="38"/>
        <v>-1.1598587997982857E-2</v>
      </c>
      <c r="AB11" s="34">
        <f t="shared" si="38"/>
        <v>7.8838174273858863E-2</v>
      </c>
      <c r="AC11" s="34">
        <f t="shared" si="38"/>
        <v>-0.14102885821831868</v>
      </c>
      <c r="AD11" s="35">
        <f t="shared" ref="AD11:AR11" si="39">AD10/Y10-1</f>
        <v>-9.4349142280524712E-2</v>
      </c>
      <c r="AE11" s="89">
        <f t="shared" si="39"/>
        <v>-4.2990298649419834E-2</v>
      </c>
      <c r="AF11" s="89">
        <f t="shared" si="39"/>
        <v>-0.15612244897959182</v>
      </c>
      <c r="AG11" s="34">
        <f t="shared" si="39"/>
        <v>-0.15000000000000002</v>
      </c>
      <c r="AH11" s="34">
        <f t="shared" si="39"/>
        <v>4.4989775051124781E-2</v>
      </c>
      <c r="AI11" s="228">
        <f t="shared" si="39"/>
        <v>8.3565459610027926E-2</v>
      </c>
      <c r="AJ11" s="36">
        <f t="shared" si="39"/>
        <v>-5.1812098323726241E-2</v>
      </c>
      <c r="AK11" s="89">
        <f t="shared" si="39"/>
        <v>0.11305925030229735</v>
      </c>
      <c r="AL11" s="34">
        <f t="shared" si="39"/>
        <v>9.6153846153845812E-3</v>
      </c>
      <c r="AM11" s="34">
        <f t="shared" si="39"/>
        <v>3.4106793402292501E-2</v>
      </c>
      <c r="AN11" s="228">
        <f t="shared" ref="AN11" si="40">AN10/AI10-1</f>
        <v>1.1053984575835507E-2</v>
      </c>
      <c r="AO11" s="36">
        <f t="shared" ref="AO11" si="41">AO10/AJ10-1</f>
        <v>4.0039130738592776E-2</v>
      </c>
      <c r="AP11" s="89">
        <f t="shared" si="39"/>
        <v>5.1873981531776137E-2</v>
      </c>
      <c r="AQ11" s="34">
        <f t="shared" si="39"/>
        <v>8.9635854341736598E-2</v>
      </c>
      <c r="AR11" s="34">
        <f t="shared" si="39"/>
        <v>8.8942957556096269E-2</v>
      </c>
      <c r="AS11" s="228">
        <f t="shared" ref="AS11" si="42">AS10/AN10-1</f>
        <v>1.8815153826595488E-2</v>
      </c>
      <c r="AT11" s="36">
        <f t="shared" ref="AT11:BB11" si="43">AT10/AO10-1</f>
        <v>6.1408223595807554E-2</v>
      </c>
      <c r="AU11" s="89">
        <f t="shared" si="43"/>
        <v>6.609863155176865E-2</v>
      </c>
      <c r="AV11" s="34">
        <f t="shared" si="43"/>
        <v>3.3161953727506521E-2</v>
      </c>
      <c r="AW11" s="34">
        <f t="shared" si="43"/>
        <v>9.6822244289969106E-3</v>
      </c>
      <c r="AX11" s="35">
        <f t="shared" ref="AX11" si="44">AX10/AS10-1</f>
        <v>2.8450212128774632E-2</v>
      </c>
      <c r="AY11" s="36">
        <f t="shared" si="43"/>
        <v>3.4054943663754944E-2</v>
      </c>
      <c r="AZ11" s="89">
        <f t="shared" si="43"/>
        <v>-2.1797045289416728E-3</v>
      </c>
      <c r="BA11" s="34">
        <f t="shared" si="43"/>
        <v>5.2998258273202259E-2</v>
      </c>
      <c r="BB11" s="34">
        <f t="shared" si="43"/>
        <v>8.9746742070322183E-2</v>
      </c>
      <c r="BC11" s="35">
        <f t="shared" ref="BC11" si="45">BC10/AX10-1</f>
        <v>-2.2945886920650329</v>
      </c>
      <c r="BD11" s="36">
        <f t="shared" ref="BD11" si="46">BD10/AY10-1</f>
        <v>-0.54401322233104799</v>
      </c>
      <c r="BE11" s="34">
        <f t="shared" ref="BE11:BG11" si="47">BE10/AZ10-1</f>
        <v>4.6122572815534557E-3</v>
      </c>
      <c r="BF11" s="34">
        <f t="shared" si="47"/>
        <v>2.0136460302457415E-2</v>
      </c>
      <c r="BG11" s="34">
        <f t="shared" si="47"/>
        <v>-9.4821750902526203E-3</v>
      </c>
      <c r="BH11" s="35">
        <f>BH10/BC10-1</f>
        <v>-1.7981925960637302</v>
      </c>
      <c r="BI11" s="36">
        <f>BI10/BD10-1</f>
        <v>1.2962213048731375</v>
      </c>
    </row>
    <row r="12" spans="1:61">
      <c r="A12" s="1"/>
      <c r="F12" s="36"/>
      <c r="G12" s="34"/>
      <c r="H12" s="35"/>
      <c r="I12" s="35"/>
      <c r="J12" s="35"/>
      <c r="K12" s="36"/>
      <c r="L12" s="34"/>
      <c r="M12" s="35"/>
      <c r="N12" s="35"/>
      <c r="O12" s="35"/>
      <c r="P12" s="36"/>
      <c r="Q12" s="34"/>
      <c r="R12" s="35"/>
      <c r="S12" s="35"/>
      <c r="T12" s="35"/>
      <c r="U12" s="36"/>
      <c r="V12" s="34"/>
      <c r="W12" s="35"/>
      <c r="X12" s="35"/>
      <c r="Y12" s="35"/>
      <c r="Z12" s="36"/>
      <c r="AA12" s="34"/>
      <c r="AB12" s="34"/>
      <c r="AC12" s="34"/>
      <c r="AD12" s="35"/>
      <c r="AE12" s="89"/>
      <c r="AF12" s="89"/>
      <c r="AG12" s="34"/>
      <c r="AH12" s="34"/>
      <c r="AI12" s="228"/>
      <c r="AJ12" s="36"/>
      <c r="AK12" s="89"/>
      <c r="AL12" s="34"/>
      <c r="AM12" s="34"/>
      <c r="AN12" s="228"/>
      <c r="AO12" s="36"/>
      <c r="AP12" s="89"/>
      <c r="AQ12" s="34"/>
      <c r="AR12" s="34"/>
      <c r="AS12" s="228"/>
      <c r="AT12" s="36"/>
      <c r="AU12" s="89"/>
      <c r="AV12" s="34"/>
      <c r="AW12" s="34"/>
      <c r="AX12" s="35"/>
      <c r="AY12" s="36"/>
      <c r="AZ12" s="89"/>
      <c r="BA12" s="34"/>
      <c r="BB12" s="34"/>
      <c r="BC12" s="35"/>
      <c r="BD12" s="36"/>
      <c r="BE12" s="34"/>
      <c r="BF12" s="34"/>
      <c r="BG12" s="34"/>
      <c r="BH12" s="35"/>
      <c r="BI12" s="36"/>
    </row>
    <row r="13" spans="1:61">
      <c r="A13" s="9" t="s">
        <v>9</v>
      </c>
      <c r="B13" s="30"/>
      <c r="C13" s="30"/>
      <c r="D13" s="24"/>
      <c r="E13" s="24"/>
      <c r="F13" s="25"/>
      <c r="G13" s="30">
        <v>546</v>
      </c>
      <c r="H13" s="30">
        <v>539</v>
      </c>
      <c r="I13" s="30">
        <v>624</v>
      </c>
      <c r="J13" s="24">
        <f>+K13-SUM(G13,H13,I13)</f>
        <v>468</v>
      </c>
      <c r="K13" s="31">
        <v>2177</v>
      </c>
      <c r="L13" s="30">
        <v>623</v>
      </c>
      <c r="M13" s="30">
        <v>569</v>
      </c>
      <c r="N13" s="30">
        <v>495</v>
      </c>
      <c r="O13" s="24">
        <f>+P13-SUM(L13,M13,N13)</f>
        <v>559</v>
      </c>
      <c r="P13" s="31">
        <v>2246</v>
      </c>
      <c r="Q13" s="30">
        <v>647</v>
      </c>
      <c r="R13" s="30">
        <v>604</v>
      </c>
      <c r="S13" s="30">
        <v>548</v>
      </c>
      <c r="T13" s="24">
        <f>+U13-SUM(Q13,R13,S13)</f>
        <v>737</v>
      </c>
      <c r="U13" s="31">
        <v>2536</v>
      </c>
      <c r="V13" s="30">
        <v>653</v>
      </c>
      <c r="W13" s="30">
        <v>687</v>
      </c>
      <c r="X13" s="30">
        <v>673</v>
      </c>
      <c r="Y13" s="24">
        <f>+Z13-SUM(V13,W13,X13)</f>
        <v>684</v>
      </c>
      <c r="Z13" s="31">
        <v>2697</v>
      </c>
      <c r="AA13" s="30">
        <v>708</v>
      </c>
      <c r="AB13" s="30">
        <v>-672</v>
      </c>
      <c r="AC13" s="30">
        <v>271</v>
      </c>
      <c r="AD13" s="24">
        <f>+AE13-SUM(AA13,AB13,AC13)</f>
        <v>143</v>
      </c>
      <c r="AE13" s="461">
        <v>450</v>
      </c>
      <c r="AF13" s="461">
        <v>441</v>
      </c>
      <c r="AG13" s="30">
        <v>531</v>
      </c>
      <c r="AH13" s="30">
        <v>644</v>
      </c>
      <c r="AI13" s="186">
        <f>+AJ13-SUM(AF13,AG13,AH13)</f>
        <v>401</v>
      </c>
      <c r="AJ13" s="31">
        <v>2017</v>
      </c>
      <c r="AK13" s="461">
        <v>632</v>
      </c>
      <c r="AL13" s="30">
        <v>728</v>
      </c>
      <c r="AM13" s="30">
        <v>733</v>
      </c>
      <c r="AN13" s="186">
        <f>+AO13-SUM(AK13,AL13,AM13)</f>
        <v>634</v>
      </c>
      <c r="AO13" s="31">
        <v>2727</v>
      </c>
      <c r="AP13" s="461">
        <v>847</v>
      </c>
      <c r="AQ13" s="30">
        <v>856</v>
      </c>
      <c r="AR13" s="30">
        <v>784</v>
      </c>
      <c r="AS13" s="186">
        <f>+AT13-SUM(AP13,AQ13,AR13)</f>
        <v>842</v>
      </c>
      <c r="AT13" s="31">
        <v>3329</v>
      </c>
      <c r="AU13" s="461">
        <v>916</v>
      </c>
      <c r="AV13" s="30">
        <v>870</v>
      </c>
      <c r="AW13" s="30">
        <v>834</v>
      </c>
      <c r="AX13" s="24">
        <f>AX19-AX17</f>
        <v>998</v>
      </c>
      <c r="AY13" s="31">
        <v>3618</v>
      </c>
      <c r="AZ13" s="461">
        <v>943</v>
      </c>
      <c r="BA13" s="30">
        <v>1049</v>
      </c>
      <c r="BB13" s="30">
        <v>938</v>
      </c>
      <c r="BC13" s="24">
        <f>BC19-BC17</f>
        <v>10544</v>
      </c>
      <c r="BD13" s="31">
        <v>13474</v>
      </c>
      <c r="BE13" s="24">
        <f t="shared" ref="BE13:BG13" si="48">BE19-BE17</f>
        <v>923.99749999999995</v>
      </c>
      <c r="BF13" s="24">
        <f t="shared" si="48"/>
        <v>963.78250000000003</v>
      </c>
      <c r="BG13" s="24">
        <f t="shared" si="48"/>
        <v>980.02499999999998</v>
      </c>
      <c r="BH13" s="24">
        <f>BH19-BH17</f>
        <v>950.64249999999993</v>
      </c>
      <c r="BI13" s="25">
        <f>SUM(BE13:BH13)</f>
        <v>3818.4474999999998</v>
      </c>
    </row>
    <row r="14" spans="1:61">
      <c r="A14" s="1" t="s">
        <v>4</v>
      </c>
      <c r="F14" s="36"/>
      <c r="G14" s="34"/>
      <c r="H14" s="35"/>
      <c r="I14" s="35"/>
      <c r="J14" s="35"/>
      <c r="K14" s="36"/>
      <c r="L14" s="34">
        <f t="shared" ref="L14:AH14" si="49">L13/G13-1</f>
        <v>0.14102564102564097</v>
      </c>
      <c r="M14" s="35">
        <f t="shared" si="49"/>
        <v>5.5658627087198598E-2</v>
      </c>
      <c r="N14" s="35">
        <f t="shared" si="49"/>
        <v>-0.20673076923076927</v>
      </c>
      <c r="O14" s="35">
        <f t="shared" si="49"/>
        <v>0.19444444444444442</v>
      </c>
      <c r="P14" s="36">
        <f t="shared" si="49"/>
        <v>3.1694993109784075E-2</v>
      </c>
      <c r="Q14" s="34">
        <f t="shared" si="49"/>
        <v>3.8523274478330594E-2</v>
      </c>
      <c r="R14" s="35">
        <f t="shared" si="49"/>
        <v>6.1511423550087763E-2</v>
      </c>
      <c r="S14" s="35">
        <f t="shared" si="49"/>
        <v>0.10707070707070709</v>
      </c>
      <c r="T14" s="35">
        <f t="shared" si="49"/>
        <v>0.31842576028622549</v>
      </c>
      <c r="U14" s="36">
        <f t="shared" si="49"/>
        <v>0.12911843276936774</v>
      </c>
      <c r="V14" s="34">
        <f t="shared" si="49"/>
        <v>9.2735703245749868E-3</v>
      </c>
      <c r="W14" s="35">
        <f t="shared" si="49"/>
        <v>0.13741721854304645</v>
      </c>
      <c r="X14" s="35">
        <f t="shared" si="49"/>
        <v>0.22810218978102181</v>
      </c>
      <c r="Y14" s="35">
        <f t="shared" si="49"/>
        <v>-7.1913161465400277E-2</v>
      </c>
      <c r="Z14" s="36">
        <f t="shared" si="49"/>
        <v>6.3485804416403724E-2</v>
      </c>
      <c r="AA14" s="34">
        <f t="shared" si="49"/>
        <v>8.4226646248085846E-2</v>
      </c>
      <c r="AB14" s="34">
        <f t="shared" si="49"/>
        <v>-1.9781659388646289</v>
      </c>
      <c r="AC14" s="34">
        <f t="shared" si="49"/>
        <v>-0.59732540861812777</v>
      </c>
      <c r="AD14" s="35">
        <f>AD13/Y13-1</f>
        <v>-0.79093567251461994</v>
      </c>
      <c r="AE14" s="89">
        <f>AE13/Z13-1</f>
        <v>-0.83314794215795329</v>
      </c>
      <c r="AF14" s="89">
        <f>AF13/AA13-1</f>
        <v>-0.3771186440677966</v>
      </c>
      <c r="AG14" s="34">
        <f t="shared" si="49"/>
        <v>-1.7901785714285714</v>
      </c>
      <c r="AH14" s="34">
        <f t="shared" si="49"/>
        <v>1.3763837638376382</v>
      </c>
      <c r="AI14" s="228">
        <f t="shared" ref="AI14:AR14" si="50">AI13/AD13-1</f>
        <v>1.8041958041958042</v>
      </c>
      <c r="AJ14" s="36">
        <f t="shared" si="50"/>
        <v>3.4822222222222221</v>
      </c>
      <c r="AK14" s="89">
        <f t="shared" si="50"/>
        <v>0.43310657596371893</v>
      </c>
      <c r="AL14" s="34">
        <f t="shared" si="50"/>
        <v>0.37099811676082872</v>
      </c>
      <c r="AM14" s="34">
        <f t="shared" si="50"/>
        <v>0.13819875776397517</v>
      </c>
      <c r="AN14" s="228">
        <f t="shared" ref="AN14" si="51">AN13/AI13-1</f>
        <v>0.58104738154613456</v>
      </c>
      <c r="AO14" s="36">
        <f t="shared" ref="AO14" si="52">AO13/AJ13-1</f>
        <v>0.35200793257312846</v>
      </c>
      <c r="AP14" s="89">
        <f t="shared" si="50"/>
        <v>0.34018987341772156</v>
      </c>
      <c r="AQ14" s="34">
        <f t="shared" si="50"/>
        <v>0.17582417582417587</v>
      </c>
      <c r="AR14" s="34">
        <f t="shared" si="50"/>
        <v>6.9577080491132426E-2</v>
      </c>
      <c r="AS14" s="228">
        <f t="shared" ref="AS14" si="53">AS13/AN13-1</f>
        <v>0.32807570977917977</v>
      </c>
      <c r="AT14" s="36">
        <f t="shared" ref="AT14:BB14" si="54">AT13/AO13-1</f>
        <v>0.22075540887422074</v>
      </c>
      <c r="AU14" s="89">
        <f t="shared" si="54"/>
        <v>8.1463990554899723E-2</v>
      </c>
      <c r="AV14" s="34">
        <f t="shared" si="54"/>
        <v>1.6355140186915973E-2</v>
      </c>
      <c r="AW14" s="34">
        <f t="shared" si="54"/>
        <v>6.3775510204081565E-2</v>
      </c>
      <c r="AX14" s="35">
        <f t="shared" ref="AX14" si="55">AX13/AS13-1</f>
        <v>0.18527315914489306</v>
      </c>
      <c r="AY14" s="36">
        <f t="shared" si="54"/>
        <v>8.6812856713727848E-2</v>
      </c>
      <c r="AZ14" s="89">
        <f t="shared" si="54"/>
        <v>2.9475982532751077E-2</v>
      </c>
      <c r="BA14" s="34">
        <f t="shared" si="54"/>
        <v>0.20574712643678161</v>
      </c>
      <c r="BB14" s="34">
        <f t="shared" si="54"/>
        <v>0.12470023980815337</v>
      </c>
      <c r="BC14" s="35">
        <f t="shared" ref="BC14" si="56">BC13/AX13-1</f>
        <v>9.5651302605210429</v>
      </c>
      <c r="BD14" s="36">
        <f t="shared" ref="BD14" si="57">BD13/AY13-1</f>
        <v>2.7241569928137093</v>
      </c>
      <c r="BE14" s="34">
        <f t="shared" ref="BE14:BG14" si="58">BE13/AZ13-1</f>
        <v>-2.0151113467656523E-2</v>
      </c>
      <c r="BF14" s="34">
        <f t="shared" si="58"/>
        <v>-8.1236892278360284E-2</v>
      </c>
      <c r="BG14" s="34">
        <f t="shared" si="58"/>
        <v>4.4802771855010581E-2</v>
      </c>
      <c r="BH14" s="35">
        <f>BH13/BC13-1</f>
        <v>-0.90984043057663122</v>
      </c>
      <c r="BI14" s="36">
        <f>BI13/BD13-1</f>
        <v>-0.71660624165058628</v>
      </c>
    </row>
    <row r="15" spans="1:61">
      <c r="A15" s="1" t="s">
        <v>212</v>
      </c>
      <c r="B15" s="34"/>
      <c r="C15" s="35"/>
      <c r="D15" s="35"/>
      <c r="E15" s="35"/>
      <c r="F15" s="36"/>
      <c r="G15" s="34">
        <f t="shared" ref="G15:AA15" si="59">G13/G3</f>
        <v>0.15960245542239113</v>
      </c>
      <c r="H15" s="35">
        <f t="shared" si="59"/>
        <v>0.15051661547053896</v>
      </c>
      <c r="I15" s="35">
        <f t="shared" si="59"/>
        <v>0.17798060467769539</v>
      </c>
      <c r="J15" s="35">
        <f t="shared" si="59"/>
        <v>0.13696224758560141</v>
      </c>
      <c r="K15" s="36">
        <f t="shared" si="59"/>
        <v>0.15633752244165169</v>
      </c>
      <c r="L15" s="34">
        <f t="shared" si="59"/>
        <v>0.17054475773336983</v>
      </c>
      <c r="M15" s="35">
        <f t="shared" si="59"/>
        <v>0.16019144144144143</v>
      </c>
      <c r="N15" s="35">
        <f t="shared" si="59"/>
        <v>0.13830678960603521</v>
      </c>
      <c r="O15" s="35">
        <f t="shared" si="59"/>
        <v>0.14722149065051357</v>
      </c>
      <c r="P15" s="36">
        <f t="shared" si="59"/>
        <v>0.1540360743433235</v>
      </c>
      <c r="Q15" s="34">
        <f t="shared" si="59"/>
        <v>0.16379746835443038</v>
      </c>
      <c r="R15" s="35">
        <f t="shared" si="59"/>
        <v>0.14742494508176715</v>
      </c>
      <c r="S15" s="35">
        <f t="shared" si="59"/>
        <v>0.13362594489148988</v>
      </c>
      <c r="T15" s="35">
        <f t="shared" si="59"/>
        <v>0.15016299918500409</v>
      </c>
      <c r="U15" s="36">
        <f t="shared" si="59"/>
        <v>0.14868667917448405</v>
      </c>
      <c r="V15" s="34">
        <f t="shared" si="59"/>
        <v>0.14137259147001516</v>
      </c>
      <c r="W15" s="35">
        <f t="shared" si="59"/>
        <v>0.15122165969623597</v>
      </c>
      <c r="X15" s="35">
        <f t="shared" si="59"/>
        <v>0.14448261056247316</v>
      </c>
      <c r="Y15" s="35">
        <f t="shared" si="59"/>
        <v>0.14716006884681584</v>
      </c>
      <c r="Z15" s="36">
        <f t="shared" si="59"/>
        <v>0.14603638726445745</v>
      </c>
      <c r="AA15" s="34">
        <f t="shared" si="59"/>
        <v>0.15298184961106309</v>
      </c>
      <c r="AB15" s="34">
        <f t="shared" ref="AB15:AM15" si="60">AB13/AB3</f>
        <v>-0.19266055045871561</v>
      </c>
      <c r="AC15" s="34">
        <f t="shared" si="60"/>
        <v>7.3362208987547375E-2</v>
      </c>
      <c r="AD15" s="35">
        <f t="shared" si="60"/>
        <v>3.8306991695687118E-2</v>
      </c>
      <c r="AE15" s="89">
        <f t="shared" si="60"/>
        <v>2.8951939779965258E-2</v>
      </c>
      <c r="AF15" s="89">
        <f t="shared" si="60"/>
        <v>0.11763136836489731</v>
      </c>
      <c r="AG15" s="34">
        <f t="shared" si="60"/>
        <v>0.13056306860093436</v>
      </c>
      <c r="AH15" s="34">
        <f t="shared" si="60"/>
        <v>0.15257048092868988</v>
      </c>
      <c r="AI15" s="228">
        <f t="shared" si="60"/>
        <v>9.3451409927755774E-2</v>
      </c>
      <c r="AJ15" s="36">
        <f t="shared" si="60"/>
        <v>0.12353013228809408</v>
      </c>
      <c r="AK15" s="89">
        <f t="shared" si="60"/>
        <v>0.14649976819656932</v>
      </c>
      <c r="AL15" s="34">
        <f t="shared" si="60"/>
        <v>0.16938110749185667</v>
      </c>
      <c r="AM15" s="34">
        <f t="shared" si="60"/>
        <v>0.16538808664259927</v>
      </c>
      <c r="AN15" s="228">
        <f t="shared" ref="AN15:AR15" si="61">AN13/AN3</f>
        <v>0.13882198379680316</v>
      </c>
      <c r="AO15" s="36">
        <f t="shared" si="61"/>
        <v>0.15484640281642156</v>
      </c>
      <c r="AP15" s="89">
        <f t="shared" si="61"/>
        <v>0.17944915254237287</v>
      </c>
      <c r="AQ15" s="34">
        <f t="shared" si="61"/>
        <v>0.18036241045090604</v>
      </c>
      <c r="AR15" s="34">
        <f t="shared" si="61"/>
        <v>0.1629260182876143</v>
      </c>
      <c r="AS15" s="228">
        <f t="shared" ref="AS15:AW15" si="62">AS13/AS3</f>
        <v>0.17364405031965355</v>
      </c>
      <c r="AT15" s="36">
        <f t="shared" si="62"/>
        <v>0.1740471584670884</v>
      </c>
      <c r="AU15" s="89">
        <f t="shared" si="62"/>
        <v>0.18156590683845392</v>
      </c>
      <c r="AV15" s="34">
        <f t="shared" si="62"/>
        <v>0.17795050112497443</v>
      </c>
      <c r="AW15" s="34">
        <f t="shared" si="62"/>
        <v>0.17016935319322588</v>
      </c>
      <c r="AX15" s="35">
        <f t="shared" ref="AX15:BB15" si="63">AX13/AX3</f>
        <v>0.19495995311584294</v>
      </c>
      <c r="AY15" s="36">
        <f t="shared" si="63"/>
        <v>0.18131702916708428</v>
      </c>
      <c r="AZ15" s="89">
        <f t="shared" si="63"/>
        <v>0.18625320955954969</v>
      </c>
      <c r="BA15" s="34">
        <f t="shared" si="63"/>
        <v>0.19863662185192199</v>
      </c>
      <c r="BB15" s="34">
        <f t="shared" si="63"/>
        <v>0.17467411545623837</v>
      </c>
      <c r="BC15" s="35">
        <f t="shared" ref="BC15:BD15" si="64">BC13/BC3</f>
        <v>2.0241889038203111</v>
      </c>
      <c r="BD15" s="36">
        <f t="shared" si="64"/>
        <v>0.6439803087511351</v>
      </c>
      <c r="BE15" s="34">
        <f t="shared" ref="BE15:BG15" si="65">BE13/BE3</f>
        <v>0.1825</v>
      </c>
      <c r="BF15" s="34">
        <f t="shared" si="65"/>
        <v>0.1825</v>
      </c>
      <c r="BG15" s="34">
        <f t="shared" si="65"/>
        <v>0.1825</v>
      </c>
      <c r="BH15" s="35">
        <f t="shared" ref="BH15:BI15" si="66">BH13/BH3</f>
        <v>0.1825</v>
      </c>
      <c r="BI15" s="36">
        <f t="shared" si="66"/>
        <v>0.1825</v>
      </c>
    </row>
    <row r="16" spans="1:61">
      <c r="F16" s="27"/>
      <c r="K16" s="27"/>
      <c r="P16" s="27"/>
      <c r="U16" s="27"/>
      <c r="Z16" s="27"/>
      <c r="AE16" s="151"/>
      <c r="AF16" s="151"/>
      <c r="AI16" s="237"/>
      <c r="AJ16" s="27"/>
      <c r="AK16" s="151"/>
      <c r="AN16" s="237"/>
      <c r="AO16" s="27"/>
      <c r="AP16" s="151"/>
      <c r="AS16" s="237"/>
      <c r="AT16" s="27"/>
      <c r="AU16" s="151"/>
      <c r="AY16" s="27"/>
      <c r="AZ16" s="151"/>
      <c r="BD16" s="27"/>
      <c r="BI16" s="27"/>
    </row>
    <row r="17" spans="1:63">
      <c r="A17" t="s">
        <v>221</v>
      </c>
      <c r="B17" s="19"/>
      <c r="C17" s="19"/>
      <c r="D17" s="19"/>
      <c r="E17" s="20"/>
      <c r="F17" s="21"/>
      <c r="G17" s="19">
        <v>0</v>
      </c>
      <c r="H17" s="19">
        <v>0</v>
      </c>
      <c r="I17" s="19">
        <v>0</v>
      </c>
      <c r="J17" s="20">
        <f>+K17-SUM(G17,H17,I17)</f>
        <v>0</v>
      </c>
      <c r="K17" s="21">
        <v>0</v>
      </c>
      <c r="L17" s="19">
        <v>0</v>
      </c>
      <c r="M17" s="19">
        <v>0</v>
      </c>
      <c r="N17" s="19">
        <v>0</v>
      </c>
      <c r="O17" s="20">
        <f>+P17-SUM(L17,M17,N17)</f>
        <v>0</v>
      </c>
      <c r="P17" s="21">
        <v>0</v>
      </c>
      <c r="Q17" s="19">
        <v>0</v>
      </c>
      <c r="R17" s="19">
        <v>0</v>
      </c>
      <c r="S17" s="19">
        <v>0</v>
      </c>
      <c r="T17" s="20">
        <f>+U17-SUM(Q17,R17,S17)</f>
        <v>0</v>
      </c>
      <c r="U17" s="21">
        <v>0</v>
      </c>
      <c r="V17" s="19">
        <v>0</v>
      </c>
      <c r="W17" s="19">
        <v>0</v>
      </c>
      <c r="X17" s="19">
        <v>0</v>
      </c>
      <c r="Y17" s="20">
        <f>+Z17-SUM(V17,W17,X17)</f>
        <v>0</v>
      </c>
      <c r="Z17" s="21">
        <v>0</v>
      </c>
      <c r="AA17" s="19">
        <v>0</v>
      </c>
      <c r="AB17" s="19">
        <v>0</v>
      </c>
      <c r="AC17" s="19">
        <v>0</v>
      </c>
      <c r="AD17" s="20">
        <f>+AE17-SUM(AA17,AB17,AC17)</f>
        <v>0</v>
      </c>
      <c r="AE17" s="463">
        <v>0</v>
      </c>
      <c r="AF17" s="463">
        <v>0</v>
      </c>
      <c r="AG17" s="19">
        <v>0</v>
      </c>
      <c r="AH17" s="41">
        <v>0</v>
      </c>
      <c r="AI17" s="466">
        <f>+AJ17-SUM(AF17,AG17,AH17)</f>
        <v>0</v>
      </c>
      <c r="AJ17" s="21">
        <v>0</v>
      </c>
      <c r="AK17" s="463">
        <v>0</v>
      </c>
      <c r="AL17" s="19">
        <v>0</v>
      </c>
      <c r="AM17" s="41">
        <v>0</v>
      </c>
      <c r="AN17" s="466">
        <f>+AO17-SUM(AK17,AL17,AM17)</f>
        <v>0</v>
      </c>
      <c r="AO17" s="21">
        <v>0</v>
      </c>
      <c r="AP17" s="463">
        <v>0</v>
      </c>
      <c r="AQ17" s="19">
        <v>0</v>
      </c>
      <c r="AR17" s="41">
        <v>0</v>
      </c>
      <c r="AS17" s="466">
        <f>+AT17-SUM(AP17,AQ17,AR17)</f>
        <v>0</v>
      </c>
      <c r="AT17" s="21">
        <v>0</v>
      </c>
      <c r="AU17" s="463">
        <v>0</v>
      </c>
      <c r="AV17" s="19">
        <v>0</v>
      </c>
      <c r="AW17" s="41">
        <v>0</v>
      </c>
      <c r="AX17" s="41">
        <v>0</v>
      </c>
      <c r="AY17" s="21">
        <v>0</v>
      </c>
      <c r="AZ17" s="463">
        <v>0</v>
      </c>
      <c r="BA17" s="19">
        <v>0</v>
      </c>
      <c r="BB17" s="41">
        <v>0</v>
      </c>
      <c r="BC17" s="41">
        <v>0</v>
      </c>
      <c r="BD17" s="522">
        <v>0</v>
      </c>
      <c r="BE17" s="41">
        <v>0</v>
      </c>
      <c r="BF17" s="41">
        <v>0</v>
      </c>
      <c r="BG17" s="41">
        <v>0</v>
      </c>
      <c r="BH17" s="41">
        <v>0</v>
      </c>
      <c r="BI17" s="23">
        <f>SUM(BE17:BH17)</f>
        <v>0</v>
      </c>
    </row>
    <row r="18" spans="1:63">
      <c r="F18" s="27"/>
      <c r="K18" s="27"/>
      <c r="P18" s="27"/>
      <c r="U18" s="27"/>
      <c r="Z18" s="27"/>
      <c r="AE18" s="151"/>
      <c r="AF18" s="151"/>
      <c r="AI18" s="237"/>
      <c r="AJ18" s="27"/>
      <c r="AK18" s="151"/>
      <c r="AN18" s="237"/>
      <c r="AO18" s="27"/>
      <c r="AP18" s="151"/>
      <c r="AS18" s="237"/>
      <c r="AT18" s="27"/>
      <c r="AU18" s="151"/>
      <c r="AY18" s="27"/>
      <c r="AZ18" s="151"/>
      <c r="BD18" s="27"/>
      <c r="BI18" s="27"/>
      <c r="BK18" s="414"/>
    </row>
    <row r="19" spans="1:63">
      <c r="A19" s="9" t="s">
        <v>210</v>
      </c>
      <c r="B19" s="24"/>
      <c r="C19" s="24"/>
      <c r="D19" s="71"/>
      <c r="E19" s="24"/>
      <c r="F19" s="178"/>
      <c r="G19" s="24">
        <f>G13+G17</f>
        <v>546</v>
      </c>
      <c r="H19" s="24">
        <f>H13+H17</f>
        <v>539</v>
      </c>
      <c r="I19" s="24">
        <v>524</v>
      </c>
      <c r="J19" s="24">
        <f>+K19-SUM(G19,H19,I19)</f>
        <v>568</v>
      </c>
      <c r="K19" s="25">
        <f>K13+K17</f>
        <v>2177</v>
      </c>
      <c r="L19" s="24">
        <f>L13+L17</f>
        <v>623</v>
      </c>
      <c r="M19" s="24">
        <f>M13+M17</f>
        <v>569</v>
      </c>
      <c r="N19" s="24">
        <f>N13+N17</f>
        <v>495</v>
      </c>
      <c r="O19" s="24">
        <f>+P19-SUM(L19,M19,N19)</f>
        <v>559</v>
      </c>
      <c r="P19" s="25">
        <f>P13+P17</f>
        <v>2246</v>
      </c>
      <c r="Q19" s="24">
        <f>Q13+Q17</f>
        <v>647</v>
      </c>
      <c r="R19" s="24">
        <f>R13+R17</f>
        <v>604</v>
      </c>
      <c r="S19" s="24">
        <f>S13+S17</f>
        <v>548</v>
      </c>
      <c r="T19" s="24">
        <f>+U19-SUM(Q19,R19,S19)</f>
        <v>737</v>
      </c>
      <c r="U19" s="25">
        <f>U13+U17</f>
        <v>2536</v>
      </c>
      <c r="V19" s="24">
        <f>V13+V17</f>
        <v>653</v>
      </c>
      <c r="W19" s="24">
        <f>W13+W17</f>
        <v>687</v>
      </c>
      <c r="X19" s="24">
        <f>X13+X17</f>
        <v>673</v>
      </c>
      <c r="Y19" s="24">
        <f>+Z19-SUM(V19,W19,X19)</f>
        <v>684</v>
      </c>
      <c r="Z19" s="25">
        <f>Z13+Z17</f>
        <v>2697</v>
      </c>
      <c r="AA19" s="24">
        <f>AA13+AA17</f>
        <v>708</v>
      </c>
      <c r="AB19" s="24">
        <f>AB13+AB17</f>
        <v>-672</v>
      </c>
      <c r="AC19" s="24">
        <f>AC13+AC17</f>
        <v>271</v>
      </c>
      <c r="AD19" s="24">
        <f>+AE19-SUM(AA19,AB19,AC19)</f>
        <v>143</v>
      </c>
      <c r="AE19" s="150">
        <f>AE13+AE17</f>
        <v>450</v>
      </c>
      <c r="AF19" s="150">
        <f>AF13+AF17</f>
        <v>441</v>
      </c>
      <c r="AG19" s="24">
        <f>AG13+AG17</f>
        <v>531</v>
      </c>
      <c r="AH19" s="24">
        <f>AH13+AH17</f>
        <v>644</v>
      </c>
      <c r="AI19" s="186">
        <f>+AJ19-SUM(AF19,AG19,AH19)</f>
        <v>401</v>
      </c>
      <c r="AJ19" s="25">
        <f>AJ13+AJ17</f>
        <v>2017</v>
      </c>
      <c r="AK19" s="150">
        <f>AK13+AK17</f>
        <v>632</v>
      </c>
      <c r="AL19" s="24">
        <f>AL13+AL17</f>
        <v>728</v>
      </c>
      <c r="AM19" s="24">
        <f>AM13+AM17</f>
        <v>733</v>
      </c>
      <c r="AN19" s="186">
        <f>+AO19-SUM(AK19,AL19,AM19)</f>
        <v>634</v>
      </c>
      <c r="AO19" s="25">
        <f>AO13+AO17</f>
        <v>2727</v>
      </c>
      <c r="AP19" s="150">
        <f>AP13+AP17</f>
        <v>847</v>
      </c>
      <c r="AQ19" s="24">
        <f>AQ13+AQ17</f>
        <v>856</v>
      </c>
      <c r="AR19" s="24">
        <f>AR13+AR17</f>
        <v>784</v>
      </c>
      <c r="AS19" s="186">
        <f>+AT19-SUM(AP19,AQ19,AR19)</f>
        <v>842</v>
      </c>
      <c r="AT19" s="25">
        <f>AT13+AT17</f>
        <v>3329</v>
      </c>
      <c r="AU19" s="150">
        <f>AU13+AU17</f>
        <v>916</v>
      </c>
      <c r="AV19" s="24">
        <f>AV13+AV17</f>
        <v>870</v>
      </c>
      <c r="AW19" s="24">
        <f>AW13+AW17</f>
        <v>834</v>
      </c>
      <c r="AX19" s="24">
        <f>AY19-SUM(AU19:AW19)</f>
        <v>998</v>
      </c>
      <c r="AY19" s="25">
        <f>AY13+AY17</f>
        <v>3618</v>
      </c>
      <c r="AZ19" s="150">
        <f>AZ13+AZ17</f>
        <v>943</v>
      </c>
      <c r="BA19" s="24">
        <f>BA13+BA17</f>
        <v>1049</v>
      </c>
      <c r="BB19" s="24">
        <f>BB13+BB17</f>
        <v>938</v>
      </c>
      <c r="BC19" s="24">
        <f>BD19-SUM(AZ19:BB19)</f>
        <v>10544</v>
      </c>
      <c r="BD19" s="25">
        <f>BD13+BD17</f>
        <v>13474</v>
      </c>
      <c r="BE19" s="24">
        <f>BE22*BE3</f>
        <v>923.99749999999995</v>
      </c>
      <c r="BF19" s="24">
        <f>BF22*BF3</f>
        <v>963.78250000000003</v>
      </c>
      <c r="BG19" s="24">
        <f>BG22*BG3</f>
        <v>980.02499999999998</v>
      </c>
      <c r="BH19" s="24">
        <f>BI19-SUM(BE19:BG19)</f>
        <v>950.64249999999993</v>
      </c>
      <c r="BI19" s="25">
        <f>BI3*BI22</f>
        <v>3818.4474999999998</v>
      </c>
    </row>
    <row r="20" spans="1:63">
      <c r="A20" s="1" t="s">
        <v>4</v>
      </c>
      <c r="F20" s="36"/>
      <c r="G20" s="34"/>
      <c r="H20" s="35"/>
      <c r="I20" s="35"/>
      <c r="J20" s="35"/>
      <c r="K20" s="36"/>
      <c r="L20" s="34">
        <f t="shared" ref="L20:AC20" si="67">L19/G19-1</f>
        <v>0.14102564102564097</v>
      </c>
      <c r="M20" s="35">
        <f t="shared" si="67"/>
        <v>5.5658627087198598E-2</v>
      </c>
      <c r="N20" s="35">
        <f t="shared" si="67"/>
        <v>-5.5343511450381633E-2</v>
      </c>
      <c r="O20" s="35">
        <f t="shared" si="67"/>
        <v>-1.5845070422535246E-2</v>
      </c>
      <c r="P20" s="36">
        <f t="shared" si="67"/>
        <v>3.1694993109784075E-2</v>
      </c>
      <c r="Q20" s="34">
        <f t="shared" si="67"/>
        <v>3.8523274478330594E-2</v>
      </c>
      <c r="R20" s="35">
        <f t="shared" si="67"/>
        <v>6.1511423550087763E-2</v>
      </c>
      <c r="S20" s="35">
        <f t="shared" si="67"/>
        <v>0.10707070707070709</v>
      </c>
      <c r="T20" s="35">
        <f t="shared" si="67"/>
        <v>0.31842576028622549</v>
      </c>
      <c r="U20" s="36">
        <f t="shared" si="67"/>
        <v>0.12911843276936774</v>
      </c>
      <c r="V20" s="34">
        <f t="shared" si="67"/>
        <v>9.2735703245749868E-3</v>
      </c>
      <c r="W20" s="35">
        <f t="shared" si="67"/>
        <v>0.13741721854304645</v>
      </c>
      <c r="X20" s="35">
        <f t="shared" si="67"/>
        <v>0.22810218978102181</v>
      </c>
      <c r="Y20" s="35">
        <f t="shared" si="67"/>
        <v>-7.1913161465400277E-2</v>
      </c>
      <c r="Z20" s="36">
        <f t="shared" si="67"/>
        <v>6.3485804416403724E-2</v>
      </c>
      <c r="AA20" s="34">
        <f t="shared" si="67"/>
        <v>8.4226646248085846E-2</v>
      </c>
      <c r="AB20" s="34">
        <f t="shared" si="67"/>
        <v>-1.9781659388646289</v>
      </c>
      <c r="AC20" s="34">
        <f t="shared" si="67"/>
        <v>-0.59732540861812777</v>
      </c>
      <c r="AD20" s="35">
        <f t="shared" ref="AD20:AR20" si="68">AD19/Y19-1</f>
        <v>-0.79093567251461994</v>
      </c>
      <c r="AE20" s="89">
        <f t="shared" si="68"/>
        <v>-0.83314794215795329</v>
      </c>
      <c r="AF20" s="89">
        <f t="shared" si="68"/>
        <v>-0.3771186440677966</v>
      </c>
      <c r="AG20" s="34">
        <f t="shared" si="68"/>
        <v>-1.7901785714285714</v>
      </c>
      <c r="AH20" s="34">
        <f t="shared" si="68"/>
        <v>1.3763837638376382</v>
      </c>
      <c r="AI20" s="228">
        <f t="shared" si="68"/>
        <v>1.8041958041958042</v>
      </c>
      <c r="AJ20" s="36">
        <f t="shared" si="68"/>
        <v>3.4822222222222221</v>
      </c>
      <c r="AK20" s="89">
        <f t="shared" si="68"/>
        <v>0.43310657596371893</v>
      </c>
      <c r="AL20" s="34">
        <f t="shared" si="68"/>
        <v>0.37099811676082872</v>
      </c>
      <c r="AM20" s="34">
        <f t="shared" si="68"/>
        <v>0.13819875776397517</v>
      </c>
      <c r="AN20" s="228">
        <f t="shared" ref="AN20" si="69">AN19/AI19-1</f>
        <v>0.58104738154613456</v>
      </c>
      <c r="AO20" s="36">
        <f t="shared" ref="AO20" si="70">AO19/AJ19-1</f>
        <v>0.35200793257312846</v>
      </c>
      <c r="AP20" s="89">
        <f t="shared" si="68"/>
        <v>0.34018987341772156</v>
      </c>
      <c r="AQ20" s="34">
        <f t="shared" si="68"/>
        <v>0.17582417582417587</v>
      </c>
      <c r="AR20" s="34">
        <f t="shared" si="68"/>
        <v>6.9577080491132426E-2</v>
      </c>
      <c r="AS20" s="228">
        <f t="shared" ref="AS20" si="71">AS19/AN19-1</f>
        <v>0.32807570977917977</v>
      </c>
      <c r="AT20" s="36">
        <f t="shared" ref="AT20:BB20" si="72">AT19/AO19-1</f>
        <v>0.22075540887422074</v>
      </c>
      <c r="AU20" s="89">
        <f t="shared" si="72"/>
        <v>8.1463990554899723E-2</v>
      </c>
      <c r="AV20" s="34">
        <f t="shared" si="72"/>
        <v>1.6355140186915973E-2</v>
      </c>
      <c r="AW20" s="34">
        <f t="shared" si="72"/>
        <v>6.3775510204081565E-2</v>
      </c>
      <c r="AX20" s="35">
        <f t="shared" ref="AX20" si="73">AX19/AS19-1</f>
        <v>0.18527315914489306</v>
      </c>
      <c r="AY20" s="36">
        <f t="shared" si="72"/>
        <v>8.6812856713727848E-2</v>
      </c>
      <c r="AZ20" s="89">
        <f t="shared" si="72"/>
        <v>2.9475982532751077E-2</v>
      </c>
      <c r="BA20" s="34">
        <f t="shared" si="72"/>
        <v>0.20574712643678161</v>
      </c>
      <c r="BB20" s="34">
        <f t="shared" si="72"/>
        <v>0.12470023980815337</v>
      </c>
      <c r="BC20" s="35">
        <f t="shared" ref="BC20" si="74">BC19/AX19-1</f>
        <v>9.5651302605210429</v>
      </c>
      <c r="BD20" s="36">
        <f t="shared" ref="BD20" si="75">BD19/AY19-1</f>
        <v>2.7241569928137093</v>
      </c>
      <c r="BE20" s="34">
        <f t="shared" ref="BE20:BG20" si="76">BE19/AZ19-1</f>
        <v>-2.0151113467656523E-2</v>
      </c>
      <c r="BF20" s="34">
        <f t="shared" si="76"/>
        <v>-8.1236892278360284E-2</v>
      </c>
      <c r="BG20" s="34">
        <f t="shared" si="76"/>
        <v>4.4802771855010581E-2</v>
      </c>
      <c r="BH20" s="35">
        <f>BH19/BC19-1</f>
        <v>-0.90984043057663122</v>
      </c>
      <c r="BI20" s="36">
        <f>BI19/BD19-1</f>
        <v>-0.71660624165058628</v>
      </c>
    </row>
    <row r="21" spans="1:63">
      <c r="F21" s="27"/>
      <c r="K21" s="27"/>
      <c r="P21" s="27"/>
      <c r="U21" s="27"/>
      <c r="Z21" s="27"/>
      <c r="AE21" s="151"/>
      <c r="AF21" s="151"/>
      <c r="AI21" s="237"/>
      <c r="AJ21" s="27"/>
      <c r="AK21" s="151"/>
      <c r="AN21" s="237"/>
      <c r="AO21" s="27"/>
      <c r="AP21" s="151"/>
      <c r="AS21" s="237"/>
      <c r="AT21" s="27"/>
      <c r="AU21" s="151"/>
      <c r="AY21" s="27"/>
      <c r="AZ21" s="151"/>
      <c r="BD21" s="27"/>
      <c r="BI21" s="27"/>
    </row>
    <row r="22" spans="1:63" s="5" customFormat="1">
      <c r="A22" s="9" t="s">
        <v>211</v>
      </c>
      <c r="B22" s="118"/>
      <c r="C22" s="118"/>
      <c r="D22" s="118"/>
      <c r="E22" s="118"/>
      <c r="F22" s="119"/>
      <c r="G22" s="118">
        <f t="shared" ref="G22:AA22" si="77">+G19/G3</f>
        <v>0.15960245542239113</v>
      </c>
      <c r="H22" s="118">
        <f t="shared" si="77"/>
        <v>0.15051661547053896</v>
      </c>
      <c r="I22" s="118">
        <f t="shared" si="77"/>
        <v>0.14945807187678267</v>
      </c>
      <c r="J22" s="118">
        <f t="shared" si="77"/>
        <v>0.1662276851038923</v>
      </c>
      <c r="K22" s="119">
        <f t="shared" si="77"/>
        <v>0.15633752244165169</v>
      </c>
      <c r="L22" s="118">
        <f t="shared" si="77"/>
        <v>0.17054475773336983</v>
      </c>
      <c r="M22" s="118">
        <f t="shared" si="77"/>
        <v>0.16019144144144143</v>
      </c>
      <c r="N22" s="118">
        <f t="shared" si="77"/>
        <v>0.13830678960603521</v>
      </c>
      <c r="O22" s="118">
        <f t="shared" si="77"/>
        <v>0.14722149065051357</v>
      </c>
      <c r="P22" s="119">
        <f t="shared" si="77"/>
        <v>0.1540360743433235</v>
      </c>
      <c r="Q22" s="118">
        <f t="shared" si="77"/>
        <v>0.16379746835443038</v>
      </c>
      <c r="R22" s="118">
        <f t="shared" si="77"/>
        <v>0.14742494508176715</v>
      </c>
      <c r="S22" s="118">
        <f t="shared" si="77"/>
        <v>0.13362594489148988</v>
      </c>
      <c r="T22" s="118">
        <f t="shared" si="77"/>
        <v>0.15016299918500409</v>
      </c>
      <c r="U22" s="119">
        <f t="shared" si="77"/>
        <v>0.14868667917448405</v>
      </c>
      <c r="V22" s="118">
        <f t="shared" si="77"/>
        <v>0.14137259147001516</v>
      </c>
      <c r="W22" s="118">
        <f t="shared" si="77"/>
        <v>0.15122165969623597</v>
      </c>
      <c r="X22" s="118">
        <f t="shared" si="77"/>
        <v>0.14448261056247316</v>
      </c>
      <c r="Y22" s="118">
        <f t="shared" si="77"/>
        <v>0.14716006884681584</v>
      </c>
      <c r="Z22" s="119">
        <f t="shared" si="77"/>
        <v>0.14603638726445745</v>
      </c>
      <c r="AA22" s="118">
        <f t="shared" si="77"/>
        <v>0.15298184961106309</v>
      </c>
      <c r="AB22" s="118">
        <f t="shared" ref="AB22:AM22" si="78">+AB19/AB3</f>
        <v>-0.19266055045871561</v>
      </c>
      <c r="AC22" s="118">
        <f t="shared" si="78"/>
        <v>7.3362208987547375E-2</v>
      </c>
      <c r="AD22" s="118">
        <f t="shared" si="78"/>
        <v>3.8306991695687118E-2</v>
      </c>
      <c r="AE22" s="232">
        <f t="shared" si="78"/>
        <v>2.8951939779965258E-2</v>
      </c>
      <c r="AF22" s="232">
        <f t="shared" si="78"/>
        <v>0.11763136836489731</v>
      </c>
      <c r="AG22" s="118">
        <f t="shared" si="78"/>
        <v>0.13056306860093436</v>
      </c>
      <c r="AH22" s="118">
        <f t="shared" si="78"/>
        <v>0.15257048092868988</v>
      </c>
      <c r="AI22" s="209">
        <f t="shared" si="78"/>
        <v>9.3451409927755774E-2</v>
      </c>
      <c r="AJ22" s="119">
        <f t="shared" si="78"/>
        <v>0.12353013228809408</v>
      </c>
      <c r="AK22" s="232">
        <f t="shared" si="78"/>
        <v>0.14649976819656932</v>
      </c>
      <c r="AL22" s="118">
        <f t="shared" si="78"/>
        <v>0.16938110749185667</v>
      </c>
      <c r="AM22" s="118">
        <f t="shared" si="78"/>
        <v>0.16538808664259927</v>
      </c>
      <c r="AN22" s="209">
        <f t="shared" ref="AN22:AR22" si="79">+AN19/AN3</f>
        <v>0.13882198379680316</v>
      </c>
      <c r="AO22" s="119">
        <f t="shared" si="79"/>
        <v>0.15484640281642156</v>
      </c>
      <c r="AP22" s="232">
        <f t="shared" si="79"/>
        <v>0.17944915254237287</v>
      </c>
      <c r="AQ22" s="118">
        <f t="shared" si="79"/>
        <v>0.18036241045090604</v>
      </c>
      <c r="AR22" s="118">
        <f t="shared" si="79"/>
        <v>0.1629260182876143</v>
      </c>
      <c r="AS22" s="209">
        <f t="shared" ref="AS22:AW22" si="80">+AS19/AS3</f>
        <v>0.17364405031965355</v>
      </c>
      <c r="AT22" s="119">
        <f t="shared" si="80"/>
        <v>0.1740471584670884</v>
      </c>
      <c r="AU22" s="232">
        <f t="shared" si="80"/>
        <v>0.18156590683845392</v>
      </c>
      <c r="AV22" s="118">
        <f t="shared" si="80"/>
        <v>0.17795050112497443</v>
      </c>
      <c r="AW22" s="118">
        <f t="shared" si="80"/>
        <v>0.17016935319322588</v>
      </c>
      <c r="AX22" s="456">
        <f>AX19/AX3</f>
        <v>0.19495995311584294</v>
      </c>
      <c r="AY22" s="119">
        <f t="shared" ref="AY22:BB22" si="81">+AY19/AY3</f>
        <v>0.18131702916708428</v>
      </c>
      <c r="AZ22" s="232">
        <f t="shared" si="81"/>
        <v>0.18625320955954969</v>
      </c>
      <c r="BA22" s="118">
        <f t="shared" si="81"/>
        <v>0.19863662185192199</v>
      </c>
      <c r="BB22" s="118">
        <f t="shared" si="81"/>
        <v>0.17467411545623837</v>
      </c>
      <c r="BC22" s="456">
        <f>BC19/BC3</f>
        <v>2.0241889038203111</v>
      </c>
      <c r="BD22" s="119">
        <f t="shared" ref="BD22" si="82">+BD19/BD3</f>
        <v>0.6439803087511351</v>
      </c>
      <c r="BE22" s="192">
        <f>$BI22</f>
        <v>0.1825</v>
      </c>
      <c r="BF22" s="192">
        <f t="shared" ref="BF22:BG22" si="83">$BI22</f>
        <v>0.1825</v>
      </c>
      <c r="BG22" s="192">
        <f t="shared" si="83"/>
        <v>0.1825</v>
      </c>
      <c r="BH22" s="456">
        <f>BH19/BH3</f>
        <v>0.1825</v>
      </c>
      <c r="BI22" s="203">
        <v>0.1825</v>
      </c>
      <c r="BK22" s="574"/>
    </row>
    <row r="23" spans="1:63">
      <c r="A23" s="1" t="s">
        <v>4</v>
      </c>
      <c r="F23" s="36"/>
      <c r="G23" s="34"/>
      <c r="H23" s="35"/>
      <c r="I23" s="35"/>
      <c r="J23" s="35"/>
      <c r="K23" s="36"/>
      <c r="L23" s="34">
        <f t="shared" ref="L23:AC23" si="84">L22/G22-1</f>
        <v>6.8559736640765756E-2</v>
      </c>
      <c r="M23" s="35">
        <f t="shared" si="84"/>
        <v>6.427746159889014E-2</v>
      </c>
      <c r="N23" s="35">
        <f t="shared" si="84"/>
        <v>-7.4611442063436284E-2</v>
      </c>
      <c r="O23" s="35">
        <f t="shared" si="84"/>
        <v>-0.11433832120985055</v>
      </c>
      <c r="P23" s="36">
        <f t="shared" si="84"/>
        <v>-1.4721021942682655E-2</v>
      </c>
      <c r="Q23" s="34">
        <f t="shared" si="84"/>
        <v>-3.9563159071052678E-2</v>
      </c>
      <c r="R23" s="35">
        <f t="shared" si="84"/>
        <v>-7.9695246167949096E-2</v>
      </c>
      <c r="S23" s="35">
        <f t="shared" si="84"/>
        <v>-3.3843925723955004E-2</v>
      </c>
      <c r="T23" s="35">
        <f t="shared" si="84"/>
        <v>1.9980157254848807E-2</v>
      </c>
      <c r="U23" s="36">
        <f t="shared" si="84"/>
        <v>-3.4728197220324164E-2</v>
      </c>
      <c r="V23" s="34">
        <f t="shared" si="84"/>
        <v>-0.136906126264977</v>
      </c>
      <c r="W23" s="35">
        <f t="shared" si="84"/>
        <v>2.5753542674633589E-2</v>
      </c>
      <c r="X23" s="35">
        <f t="shared" si="84"/>
        <v>8.1246689629019153E-2</v>
      </c>
      <c r="Y23" s="35">
        <f t="shared" si="84"/>
        <v>-1.9997804748748793E-2</v>
      </c>
      <c r="Z23" s="36">
        <f t="shared" si="84"/>
        <v>-1.7824676189831967E-2</v>
      </c>
      <c r="AA23" s="34">
        <f t="shared" si="84"/>
        <v>8.2118167463247183E-2</v>
      </c>
      <c r="AB23" s="34">
        <f t="shared" si="84"/>
        <v>-2.2740274828732825</v>
      </c>
      <c r="AC23" s="34">
        <f t="shared" si="84"/>
        <v>-0.49224194730461268</v>
      </c>
      <c r="AD23" s="35">
        <f t="shared" ref="AD23:AR23" si="85">AD22/Y22-1</f>
        <v>-0.73969167046556472</v>
      </c>
      <c r="AE23" s="89">
        <f t="shared" si="85"/>
        <v>-0.80174845240771286</v>
      </c>
      <c r="AF23" s="89">
        <f t="shared" si="85"/>
        <v>-0.23107630961476733</v>
      </c>
      <c r="AG23" s="34">
        <f t="shared" si="85"/>
        <v>-1.6776844989286592</v>
      </c>
      <c r="AH23" s="34">
        <f t="shared" si="85"/>
        <v>1.0796876625482672</v>
      </c>
      <c r="AI23" s="228">
        <f t="shared" si="85"/>
        <v>1.4395392535686176</v>
      </c>
      <c r="AJ23" s="36">
        <f t="shared" si="85"/>
        <v>3.2667307692307697</v>
      </c>
      <c r="AK23" s="89">
        <f t="shared" si="85"/>
        <v>0.24541412918126615</v>
      </c>
      <c r="AL23" s="34">
        <f t="shared" si="85"/>
        <v>0.29731255022482306</v>
      </c>
      <c r="AM23" s="34">
        <f t="shared" si="85"/>
        <v>8.4011046146601709E-2</v>
      </c>
      <c r="AN23" s="228">
        <f t="shared" ref="AN23" si="86">AN22/AI22-1</f>
        <v>0.48549908347152693</v>
      </c>
      <c r="AO23" s="36">
        <f t="shared" ref="AO23" si="87">AO22/AJ22-1</f>
        <v>0.25351118749951973</v>
      </c>
      <c r="AP23" s="89">
        <f t="shared" si="85"/>
        <v>0.22491082922119698</v>
      </c>
      <c r="AQ23" s="34">
        <f t="shared" si="85"/>
        <v>6.4831923239002887E-2</v>
      </c>
      <c r="AR23" s="34">
        <f t="shared" si="85"/>
        <v>-1.4886612481982753E-2</v>
      </c>
      <c r="AS23" s="228">
        <f t="shared" ref="AS23" si="88">AS22/AN22-1</f>
        <v>0.25083971263384486</v>
      </c>
      <c r="AT23" s="36">
        <f t="shared" ref="AT23:BB23" si="89">AT22/AO22-1</f>
        <v>0.12399871938536622</v>
      </c>
      <c r="AU23" s="89">
        <f t="shared" si="89"/>
        <v>1.1795844483474038E-2</v>
      </c>
      <c r="AV23" s="34">
        <f t="shared" si="89"/>
        <v>-1.3372572033728214E-2</v>
      </c>
      <c r="AW23" s="34">
        <f t="shared" si="89"/>
        <v>4.4457815772707798E-2</v>
      </c>
      <c r="AX23" s="35">
        <f t="shared" ref="AX23" si="90">AX22/AS22-1</f>
        <v>0.1227563095709292</v>
      </c>
      <c r="AY23" s="36">
        <f t="shared" si="89"/>
        <v>4.1769545472760905E-2</v>
      </c>
      <c r="AZ23" s="89">
        <f t="shared" si="89"/>
        <v>2.5815984964987049E-2</v>
      </c>
      <c r="BA23" s="34">
        <f t="shared" si="89"/>
        <v>0.11624648762534084</v>
      </c>
      <c r="BB23" s="34">
        <f t="shared" si="89"/>
        <v>2.647223003719934E-2</v>
      </c>
      <c r="BC23" s="35">
        <f t="shared" ref="BC23" si="91">BC22/AX22-1</f>
        <v>9.3825881750061857</v>
      </c>
      <c r="BD23" s="36">
        <f t="shared" ref="BD23" si="92">BD22/AY22-1</f>
        <v>2.5516813379823522</v>
      </c>
      <c r="BE23" s="34">
        <f t="shared" ref="BE23:BG23" si="93">BE22/AZ22-1</f>
        <v>-2.0151113467656523E-2</v>
      </c>
      <c r="BF23" s="34">
        <f t="shared" si="93"/>
        <v>-8.1236892278360395E-2</v>
      </c>
      <c r="BG23" s="34">
        <f t="shared" si="93"/>
        <v>4.4802771855010581E-2</v>
      </c>
      <c r="BH23" s="35">
        <f>BH22/BC22-1</f>
        <v>-0.90984043057663122</v>
      </c>
      <c r="BI23" s="36">
        <f>BI22/BD22-1</f>
        <v>-0.71660624165058628</v>
      </c>
    </row>
    <row r="24" spans="1:63">
      <c r="A24" s="1"/>
      <c r="F24" s="27"/>
      <c r="K24" s="27"/>
      <c r="P24" s="27"/>
      <c r="U24" s="27"/>
      <c r="Z24" s="27"/>
      <c r="AE24" s="151"/>
      <c r="AF24" s="151"/>
      <c r="AI24" s="237"/>
      <c r="AJ24" s="27"/>
      <c r="AK24" s="151"/>
      <c r="AN24" s="237"/>
      <c r="AO24" s="27"/>
      <c r="AP24" s="151"/>
      <c r="AS24" s="237"/>
      <c r="AT24" s="27"/>
      <c r="AU24" s="151"/>
      <c r="AY24" s="27"/>
      <c r="AZ24" s="151"/>
      <c r="BD24" s="27"/>
      <c r="BI24" s="27"/>
    </row>
    <row r="25" spans="1:63">
      <c r="A25" s="14" t="s">
        <v>64</v>
      </c>
      <c r="F25" s="27"/>
      <c r="K25" s="27"/>
      <c r="P25" s="27"/>
      <c r="U25" s="27"/>
      <c r="Z25" s="27"/>
      <c r="AE25" s="151"/>
      <c r="AF25" s="151"/>
      <c r="AI25" s="237"/>
      <c r="AJ25" s="27"/>
      <c r="AK25" s="151"/>
      <c r="AN25" s="237"/>
      <c r="AO25" s="27"/>
      <c r="AP25" s="151"/>
      <c r="AS25" s="237"/>
      <c r="AT25" s="27"/>
      <c r="AU25" s="151"/>
      <c r="AY25" s="27"/>
      <c r="AZ25" s="151"/>
      <c r="BD25" s="27"/>
      <c r="BI25" s="27"/>
    </row>
    <row r="26" spans="1:63">
      <c r="A26" s="1" t="s">
        <v>0</v>
      </c>
      <c r="B26" s="116"/>
      <c r="C26" s="117"/>
      <c r="D26" s="117"/>
      <c r="E26" s="117"/>
      <c r="F26" s="115"/>
      <c r="G26" s="116">
        <f>G3/$K$3</f>
        <v>0.24567324955116696</v>
      </c>
      <c r="H26" s="117">
        <f>H3/$K$3</f>
        <v>0.25716337522441651</v>
      </c>
      <c r="I26" s="117">
        <f>I3/$K$3</f>
        <v>0.25177737881508078</v>
      </c>
      <c r="J26" s="117">
        <f>J3/$K$3</f>
        <v>0.24538599640933573</v>
      </c>
      <c r="K26" s="115" t="b">
        <f>1=SUM(G26:J26)</f>
        <v>1</v>
      </c>
      <c r="L26" s="116">
        <f>L3/$P$3</f>
        <v>0.25053151361360676</v>
      </c>
      <c r="M26" s="117">
        <f>M3/$P$3</f>
        <v>0.2436046910362801</v>
      </c>
      <c r="N26" s="117">
        <f>N3/$P$3</f>
        <v>0.24545641588368425</v>
      </c>
      <c r="O26" s="117">
        <f>O3/$P$3</f>
        <v>0.26040737946642889</v>
      </c>
      <c r="P26" s="115" t="b">
        <f>1=SUM(L26:O26)</f>
        <v>1</v>
      </c>
      <c r="Q26" s="116">
        <f>Q3/$U$3</f>
        <v>0.23159005628517823</v>
      </c>
      <c r="R26" s="117">
        <f>R3/$U$3</f>
        <v>0.24020872420262665</v>
      </c>
      <c r="S26" s="117">
        <f>S3/$U$3</f>
        <v>0.24044324577861162</v>
      </c>
      <c r="T26" s="117">
        <f>T3/$U$3</f>
        <v>0.28775797373358347</v>
      </c>
      <c r="U26" s="115" t="b">
        <f>1=SUM(Q26:T26)</f>
        <v>1</v>
      </c>
      <c r="V26" s="116">
        <f>V3/$Z$3</f>
        <v>0.25010829542993285</v>
      </c>
      <c r="W26" s="117">
        <f>W3/$Z$3</f>
        <v>0.24599306909248431</v>
      </c>
      <c r="X26" s="117">
        <f>X3/$Z$3</f>
        <v>0.25222005631362354</v>
      </c>
      <c r="Y26" s="117">
        <f>Y3/$Z$3</f>
        <v>0.2516785791639593</v>
      </c>
      <c r="Z26" s="115" t="b">
        <f>1=SUM(V26:Y26)</f>
        <v>1</v>
      </c>
      <c r="AA26" s="116">
        <f>AA3/$AE$3</f>
        <v>0.29775461622595378</v>
      </c>
      <c r="AB26" s="116">
        <f>AB3/$AE$3</f>
        <v>0.22440970211670849</v>
      </c>
      <c r="AC26" s="116">
        <f>AC3/$AE$3</f>
        <v>0.23766325677153702</v>
      </c>
      <c r="AD26" s="117">
        <f>AD3/$AE$3</f>
        <v>0.24017242488580068</v>
      </c>
      <c r="AE26" s="464" t="b">
        <f>1=SUM(AA26:AD26)</f>
        <v>1</v>
      </c>
      <c r="AF26" s="247">
        <f>AF3/$AJ$3</f>
        <v>0.22960558549730525</v>
      </c>
      <c r="AG26" s="116">
        <f>AG3/$AJ$3</f>
        <v>0.2490813326800588</v>
      </c>
      <c r="AH26" s="116">
        <f>AH3/$AJ$3</f>
        <v>0.25851298383145516</v>
      </c>
      <c r="AI26" s="467">
        <f>AI3/$AJ$3</f>
        <v>0.26280009799118081</v>
      </c>
      <c r="AJ26" s="115" t="b">
        <f>1=SUM(AF26:AI26)</f>
        <v>1</v>
      </c>
      <c r="AK26" s="247">
        <f>AK3/$AO$3</f>
        <v>0.24496053602861848</v>
      </c>
      <c r="AL26" s="116">
        <f>AL3/$AO$3</f>
        <v>0.24405201294645393</v>
      </c>
      <c r="AM26" s="116">
        <f>AM3/$AO$3</f>
        <v>0.25166089375958206</v>
      </c>
      <c r="AN26" s="467">
        <f>AN3/$AO$3</f>
        <v>0.25932655726534554</v>
      </c>
      <c r="AO26" s="115" t="b">
        <f>1=SUM(AK26:AN26)</f>
        <v>1</v>
      </c>
      <c r="AP26" s="247">
        <f>AP3/$AT$3</f>
        <v>0.24677157944267267</v>
      </c>
      <c r="AQ26" s="116">
        <f>AQ3/$AT$3</f>
        <v>0.24813091441417892</v>
      </c>
      <c r="AR26" s="116">
        <f>AR3/$AT$3</f>
        <v>0.25158153395723321</v>
      </c>
      <c r="AS26" s="116">
        <f>AS3/$AT$3</f>
        <v>0.25351597218591521</v>
      </c>
      <c r="AT26" s="115" t="b">
        <f>1=SUM(AP26:AS26)</f>
        <v>1</v>
      </c>
      <c r="AU26" s="247">
        <f>AU3/$AY$3</f>
        <v>0.252831512478701</v>
      </c>
      <c r="AV26" s="116">
        <f t="shared" ref="AV26:AX26" si="94">AV3/$AY$3</f>
        <v>0.24501353112157964</v>
      </c>
      <c r="AW26" s="116">
        <f t="shared" si="94"/>
        <v>0.24561491430289667</v>
      </c>
      <c r="AX26" s="116">
        <f t="shared" si="94"/>
        <v>0.25654004209682268</v>
      </c>
      <c r="AY26" s="115" t="b">
        <f>1=SUM(AU26:AX26)</f>
        <v>1</v>
      </c>
      <c r="AZ26" s="247">
        <f>AZ3/$BD$3</f>
        <v>0.24198250728862974</v>
      </c>
      <c r="BA26" s="116">
        <f t="shared" ref="BA26:BC26" si="95">BA3/$BD$3</f>
        <v>0.252401663241409</v>
      </c>
      <c r="BB26" s="116">
        <f t="shared" si="95"/>
        <v>0.25665535535057116</v>
      </c>
      <c r="BC26" s="116">
        <f t="shared" si="95"/>
        <v>0.24896047411939015</v>
      </c>
      <c r="BD26" s="115" t="b">
        <f>1=SUM(AZ26:BC26)</f>
        <v>1</v>
      </c>
      <c r="BE26" s="247">
        <f>BE3/$BI$3</f>
        <v>0.24198250728862974</v>
      </c>
      <c r="BF26" s="116">
        <f>BF3/$BI$3</f>
        <v>0.252401663241409</v>
      </c>
      <c r="BG26" s="116">
        <f>BG3/$BI$3</f>
        <v>0.25665535535057116</v>
      </c>
      <c r="BH26" s="116">
        <f>BH3/$BI$3</f>
        <v>0.24896047411939015</v>
      </c>
      <c r="BI26" s="115" t="b">
        <f>1=SUM(BE26:BH26)</f>
        <v>1</v>
      </c>
    </row>
    <row r="27" spans="1:63">
      <c r="A27" s="1" t="s">
        <v>9</v>
      </c>
      <c r="B27" s="116"/>
      <c r="C27" s="117"/>
      <c r="D27" s="117"/>
      <c r="E27" s="117"/>
      <c r="F27" s="115"/>
      <c r="G27" s="116">
        <f>G19/$K$19</f>
        <v>0.25080385852090031</v>
      </c>
      <c r="H27" s="117">
        <f>H19/$K$19</f>
        <v>0.24758842443729903</v>
      </c>
      <c r="I27" s="117">
        <f>I19/$K$19</f>
        <v>0.2406982085438677</v>
      </c>
      <c r="J27" s="117">
        <f>J19/$K$19</f>
        <v>0.26090950849793293</v>
      </c>
      <c r="K27" s="115" t="b">
        <f>1=SUM(G27:J27)</f>
        <v>1</v>
      </c>
      <c r="L27" s="116">
        <f>L19/$P$19</f>
        <v>0.27738201246660732</v>
      </c>
      <c r="M27" s="117">
        <f>M19/$P$19</f>
        <v>0.25333926981300087</v>
      </c>
      <c r="N27" s="117">
        <f>N19/$P$19</f>
        <v>0.22039180765805877</v>
      </c>
      <c r="O27" s="117">
        <f>O19/$P$19</f>
        <v>0.24888691006233304</v>
      </c>
      <c r="P27" s="115" t="b">
        <f>1=SUM(L27:O27)</f>
        <v>1</v>
      </c>
      <c r="Q27" s="116">
        <f>Q19/$U$19</f>
        <v>0.25512618296529971</v>
      </c>
      <c r="R27" s="117">
        <f>R19/$U$19</f>
        <v>0.23817034700315456</v>
      </c>
      <c r="S27" s="117">
        <f>S19/$U$19</f>
        <v>0.21608832807570977</v>
      </c>
      <c r="T27" s="117">
        <f>T19/$U$19</f>
        <v>0.29061514195583599</v>
      </c>
      <c r="U27" s="115" t="b">
        <f>1=SUM(Q27:T27)</f>
        <v>1</v>
      </c>
      <c r="V27" s="116">
        <f>V19/$Z$19</f>
        <v>0.2421208750463478</v>
      </c>
      <c r="W27" s="117">
        <f>W19/$Z$19</f>
        <v>0.25472747497219134</v>
      </c>
      <c r="X27" s="117">
        <f>X19/$Z$19</f>
        <v>0.24953652206154986</v>
      </c>
      <c r="Y27" s="117">
        <f>Y19/$Z$19</f>
        <v>0.25361512791991103</v>
      </c>
      <c r="Z27" s="115" t="b">
        <f>1=SUM(V27:Y27)</f>
        <v>1</v>
      </c>
      <c r="AA27" s="116">
        <f>AA19/$AE$19</f>
        <v>1.5733333333333333</v>
      </c>
      <c r="AB27" s="116">
        <f>AB19/$AE$19</f>
        <v>-1.4933333333333334</v>
      </c>
      <c r="AC27" s="116">
        <f>AC19/$AE$19</f>
        <v>0.60222222222222221</v>
      </c>
      <c r="AD27" s="117">
        <f>AD19/$AE$19</f>
        <v>0.31777777777777777</v>
      </c>
      <c r="AE27" s="464" t="b">
        <f>1=SUM(AA27:AD27)</f>
        <v>1</v>
      </c>
      <c r="AF27" s="247">
        <f>AF19/$AJ$19</f>
        <v>0.21864154685176004</v>
      </c>
      <c r="AG27" s="116">
        <f>AG19/$AJ$19</f>
        <v>0.263262270699058</v>
      </c>
      <c r="AH27" s="116">
        <f>AH19/$AJ$19</f>
        <v>0.31928606841844326</v>
      </c>
      <c r="AI27" s="467">
        <f>AI19/$AJ$19</f>
        <v>0.19881011403073873</v>
      </c>
      <c r="AJ27" s="115" t="b">
        <f>1=SUM(AF27:AI27)</f>
        <v>1</v>
      </c>
      <c r="AK27" s="247">
        <f>AK19/$AO$19</f>
        <v>0.23175650898423175</v>
      </c>
      <c r="AL27" s="116">
        <f>AL19/$AO$19</f>
        <v>0.26696002933626695</v>
      </c>
      <c r="AM27" s="116">
        <f>AM19/$AO$19</f>
        <v>0.26879354602126881</v>
      </c>
      <c r="AN27" s="467">
        <f>AN19/$AO$19</f>
        <v>0.23248991565823249</v>
      </c>
      <c r="AO27" s="115" t="b">
        <f>1=SUM(AK27:AN27)</f>
        <v>1</v>
      </c>
      <c r="AP27" s="247">
        <f>AP19/$AT$19</f>
        <v>0.25443075998798437</v>
      </c>
      <c r="AQ27" s="116">
        <f>AQ19/$AT$19</f>
        <v>0.257134274556924</v>
      </c>
      <c r="AR27" s="116">
        <f>AR19/$AT$19</f>
        <v>0.23550615800540703</v>
      </c>
      <c r="AS27" s="116">
        <f>AS19/$AT$19</f>
        <v>0.2529288074496846</v>
      </c>
      <c r="AT27" s="115" t="b">
        <f>1=SUM(AP27:AS27)</f>
        <v>1</v>
      </c>
      <c r="AU27" s="247">
        <f>AU19/$AY$19</f>
        <v>0.25317855168601439</v>
      </c>
      <c r="AV27" s="116">
        <f t="shared" ref="AV27:AX27" si="96">AV19/$AY$19</f>
        <v>0.24046434494195687</v>
      </c>
      <c r="AW27" s="116">
        <f t="shared" si="96"/>
        <v>0.23051409618573798</v>
      </c>
      <c r="AX27" s="116">
        <f t="shared" si="96"/>
        <v>0.27584300718629079</v>
      </c>
      <c r="AY27" s="115" t="b">
        <f>1=SUM(AU27:AX27)</f>
        <v>1</v>
      </c>
      <c r="AZ27" s="247">
        <f>AZ19/$BD$19</f>
        <v>6.9986640938103015E-2</v>
      </c>
      <c r="BA27" s="116">
        <f t="shared" ref="BA27:BC27" si="97">BA19/$BD$19</f>
        <v>7.7853644055217455E-2</v>
      </c>
      <c r="BB27" s="116">
        <f t="shared" si="97"/>
        <v>6.9615555885408936E-2</v>
      </c>
      <c r="BC27" s="116">
        <f t="shared" si="97"/>
        <v>0.78254415912127062</v>
      </c>
      <c r="BD27" s="115" t="b">
        <f>1=SUM(AZ27:BC27)</f>
        <v>1</v>
      </c>
      <c r="BE27" s="247">
        <f>BE19/$BI$19</f>
        <v>0.24198250728862974</v>
      </c>
      <c r="BF27" s="116">
        <f>BF19/$BI$19</f>
        <v>0.252401663241409</v>
      </c>
      <c r="BG27" s="116">
        <f>BG19/$BI$19</f>
        <v>0.25665535535057116</v>
      </c>
      <c r="BH27" s="116">
        <f>BH19/$BI$19</f>
        <v>0.24896047411939015</v>
      </c>
      <c r="BI27" s="115" t="b">
        <f>1=SUM(BE27:BH27)</f>
        <v>1</v>
      </c>
    </row>
    <row r="28" spans="1:63">
      <c r="A28" s="6"/>
      <c r="B28" s="34"/>
      <c r="C28" s="35"/>
      <c r="D28" s="35"/>
      <c r="E28" s="35"/>
      <c r="F28" s="34"/>
      <c r="G28" s="34"/>
      <c r="H28" s="35"/>
      <c r="I28" s="35"/>
      <c r="J28" s="35"/>
      <c r="K28" s="34"/>
      <c r="L28" s="34"/>
      <c r="M28" s="35"/>
      <c r="N28" s="35"/>
      <c r="O28" s="35"/>
      <c r="P28" s="34"/>
      <c r="Q28" s="34"/>
      <c r="R28" s="35"/>
      <c r="S28" s="35"/>
      <c r="T28" s="35"/>
      <c r="U28" s="34"/>
      <c r="V28" s="34"/>
      <c r="W28" s="35"/>
      <c r="X28" s="35"/>
      <c r="Y28" s="35"/>
      <c r="Z28" s="34"/>
      <c r="AA28" s="34"/>
      <c r="AB28" s="111"/>
      <c r="AC28" s="111"/>
      <c r="AD28" s="111"/>
      <c r="AE28" s="110"/>
      <c r="AF28" s="162"/>
      <c r="AG28" s="110"/>
      <c r="AH28" s="110"/>
      <c r="AI28" s="468"/>
      <c r="AJ28" s="112"/>
      <c r="AK28" s="110"/>
      <c r="AL28" s="110"/>
      <c r="AM28" s="110"/>
      <c r="AN28" s="468"/>
      <c r="AO28" s="112"/>
      <c r="AP28" s="110"/>
      <c r="AQ28" s="110"/>
      <c r="AR28" s="110"/>
      <c r="AS28" s="468"/>
      <c r="AT28" s="112"/>
      <c r="AU28" s="110"/>
      <c r="AV28" s="110"/>
      <c r="AW28" s="110"/>
      <c r="AX28" s="110"/>
      <c r="AY28" s="112"/>
      <c r="AZ28" s="110"/>
      <c r="BA28" s="110"/>
      <c r="BB28" s="110"/>
      <c r="BC28" s="110"/>
      <c r="BD28" s="112"/>
      <c r="BE28" s="110"/>
      <c r="BF28" s="110"/>
      <c r="BG28" s="110"/>
      <c r="BH28" s="110"/>
      <c r="BI28" s="112"/>
    </row>
    <row r="29" spans="1:63">
      <c r="A29" s="2" t="s">
        <v>342</v>
      </c>
      <c r="AF29" s="151"/>
      <c r="AI29" s="237"/>
      <c r="AJ29" s="27"/>
      <c r="AN29" s="237"/>
      <c r="AO29" s="27"/>
      <c r="AS29" s="237"/>
      <c r="AT29" s="27"/>
      <c r="AY29" s="27"/>
      <c r="BD29" s="27"/>
      <c r="BI29" s="27"/>
    </row>
    <row r="30" spans="1:63">
      <c r="AF30" s="151"/>
      <c r="AI30" s="230">
        <v>-220</v>
      </c>
      <c r="AJ30" s="27">
        <f>SUM(AF30:AI30)</f>
        <v>-220</v>
      </c>
      <c r="AN30" s="230"/>
      <c r="AO30" s="27">
        <f>SUM(AK30:AN30)</f>
        <v>0</v>
      </c>
      <c r="AS30" s="230"/>
      <c r="AT30" s="27">
        <f>SUM(AP30:AS30)</f>
        <v>0</v>
      </c>
      <c r="AY30" s="27"/>
      <c r="BC30" s="35">
        <f>(BC19-9609)/BC3</f>
        <v>0.17949702438087925</v>
      </c>
      <c r="BD30" s="35">
        <f>(BD19-9609)/BD3</f>
        <v>0.18472494384170529</v>
      </c>
      <c r="BI30" s="27"/>
    </row>
    <row r="35" spans="39:39">
      <c r="AM35" s="26">
        <f>21403/19869</f>
        <v>1.0772056973174291</v>
      </c>
    </row>
  </sheetData>
  <pageMargins left="0.7" right="0.7" top="0.75" bottom="0.75" header="0.3" footer="0.3"/>
  <pageSetup orientation="portrait"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81177-8808-4ECC-BFFA-8B1ECF4690C9}">
  <sheetPr codeName="Sheet17"/>
  <dimension ref="A1:B44"/>
  <sheetViews>
    <sheetView workbookViewId="0"/>
  </sheetViews>
  <sheetFormatPr defaultRowHeight="14.5"/>
  <cols>
    <col min="1" max="1" width="29" customWidth="1"/>
  </cols>
  <sheetData>
    <row r="1" spans="1:2">
      <c r="A1" s="582" t="s">
        <v>1016</v>
      </c>
      <c r="B1" s="590" t="s">
        <v>1017</v>
      </c>
    </row>
    <row r="2" spans="1:2">
      <c r="A2" s="582" t="s">
        <v>1018</v>
      </c>
      <c r="B2" s="582" t="s">
        <v>1019</v>
      </c>
    </row>
    <row r="3" spans="1:2">
      <c r="A3" s="582" t="s">
        <v>1020</v>
      </c>
      <c r="B3" s="582" t="s">
        <v>1021</v>
      </c>
    </row>
    <row r="4" spans="1:2">
      <c r="A4" s="582" t="s">
        <v>1022</v>
      </c>
      <c r="B4" s="582" t="s">
        <v>1023</v>
      </c>
    </row>
    <row r="5" spans="1:2">
      <c r="A5" s="582" t="s">
        <v>1024</v>
      </c>
      <c r="B5" s="582" t="s">
        <v>1025</v>
      </c>
    </row>
    <row r="6" spans="1:2">
      <c r="A6" s="582" t="s">
        <v>1026</v>
      </c>
      <c r="B6" s="582"/>
    </row>
    <row r="7" spans="1:2">
      <c r="A7" s="582" t="s">
        <v>1027</v>
      </c>
      <c r="B7" s="582" t="s">
        <v>435</v>
      </c>
    </row>
    <row r="8" spans="1:2">
      <c r="A8" s="582" t="s">
        <v>1028</v>
      </c>
      <c r="B8" s="582" t="s">
        <v>1029</v>
      </c>
    </row>
    <row r="9" spans="1:2">
      <c r="A9" s="582" t="s">
        <v>1030</v>
      </c>
      <c r="B9" s="582" t="s">
        <v>1031</v>
      </c>
    </row>
    <row r="10" spans="1:2">
      <c r="A10" s="582" t="s">
        <v>1032</v>
      </c>
      <c r="B10" s="582"/>
    </row>
    <row r="11" spans="1:2">
      <c r="A11" s="582" t="s">
        <v>1033</v>
      </c>
      <c r="B11" s="582"/>
    </row>
    <row r="12" spans="1:2">
      <c r="A12" s="582" t="s">
        <v>1034</v>
      </c>
      <c r="B12" s="582"/>
    </row>
    <row r="13" spans="1:2">
      <c r="A13" s="582" t="s">
        <v>1035</v>
      </c>
      <c r="B13" s="582"/>
    </row>
    <row r="14" spans="1:2">
      <c r="A14" s="582" t="s">
        <v>1036</v>
      </c>
      <c r="B14" s="582"/>
    </row>
    <row r="15" spans="1:2">
      <c r="A15" s="582" t="s">
        <v>1037</v>
      </c>
      <c r="B15" s="582"/>
    </row>
    <row r="16" spans="1:2">
      <c r="A16" s="582" t="s">
        <v>1038</v>
      </c>
      <c r="B16" s="582"/>
    </row>
    <row r="17" spans="1:2">
      <c r="A17" s="582" t="s">
        <v>1039</v>
      </c>
      <c r="B17" s="582" t="s">
        <v>1040</v>
      </c>
    </row>
    <row r="18" spans="1:2">
      <c r="A18" s="582" t="s">
        <v>1041</v>
      </c>
      <c r="B18" s="582" t="s">
        <v>1042</v>
      </c>
    </row>
    <row r="19" spans="1:2">
      <c r="A19" s="582" t="s">
        <v>1043</v>
      </c>
      <c r="B19" s="582" t="s">
        <v>436</v>
      </c>
    </row>
    <row r="20" spans="1:2">
      <c r="A20" s="582" t="s">
        <v>1044</v>
      </c>
      <c r="B20" s="582" t="s">
        <v>1045</v>
      </c>
    </row>
    <row r="21" spans="1:2">
      <c r="A21" s="582" t="s">
        <v>1046</v>
      </c>
      <c r="B21" s="582" t="s">
        <v>436</v>
      </c>
    </row>
    <row r="22" spans="1:2">
      <c r="A22" s="582" t="s">
        <v>1047</v>
      </c>
      <c r="B22" s="582" t="s">
        <v>1048</v>
      </c>
    </row>
    <row r="23" spans="1:2">
      <c r="A23" s="582" t="s">
        <v>1049</v>
      </c>
      <c r="B23" s="590" t="s">
        <v>1050</v>
      </c>
    </row>
    <row r="24" spans="1:2">
      <c r="A24" s="582" t="s">
        <v>1051</v>
      </c>
      <c r="B24" s="582" t="s">
        <v>213</v>
      </c>
    </row>
    <row r="25" spans="1:2">
      <c r="A25" s="582" t="s">
        <v>1052</v>
      </c>
      <c r="B25" s="582" t="s">
        <v>1053</v>
      </c>
    </row>
    <row r="26" spans="1:2">
      <c r="A26" s="582" t="s">
        <v>1054</v>
      </c>
      <c r="B26" s="582" t="s">
        <v>1055</v>
      </c>
    </row>
    <row r="27" spans="1:2">
      <c r="A27" s="582" t="s">
        <v>1056</v>
      </c>
      <c r="B27" s="582" t="s">
        <v>1057</v>
      </c>
    </row>
    <row r="28" spans="1:2">
      <c r="A28" s="582" t="s">
        <v>1058</v>
      </c>
      <c r="B28" s="582" t="s">
        <v>1059</v>
      </c>
    </row>
    <row r="29" spans="1:2">
      <c r="A29" s="582" t="s">
        <v>1060</v>
      </c>
      <c r="B29" s="582"/>
    </row>
    <row r="30" spans="1:2">
      <c r="A30" s="582" t="s">
        <v>1061</v>
      </c>
      <c r="B30" s="582"/>
    </row>
    <row r="31" spans="1:2">
      <c r="A31" s="582" t="s">
        <v>1062</v>
      </c>
      <c r="B31" s="582"/>
    </row>
    <row r="32" spans="1:2">
      <c r="A32" s="582" t="s">
        <v>1063</v>
      </c>
      <c r="B32" s="582"/>
    </row>
    <row r="33" spans="1:2">
      <c r="A33" s="582" t="s">
        <v>1064</v>
      </c>
      <c r="B33" s="582"/>
    </row>
    <row r="34" spans="1:2">
      <c r="A34" s="582" t="s">
        <v>1065</v>
      </c>
      <c r="B34" s="582"/>
    </row>
    <row r="35" spans="1:2">
      <c r="A35" s="582" t="s">
        <v>1066</v>
      </c>
      <c r="B35" s="582" t="s">
        <v>1067</v>
      </c>
    </row>
    <row r="36" spans="1:2">
      <c r="A36" s="582" t="s">
        <v>1068</v>
      </c>
      <c r="B36" s="582" t="s">
        <v>1069</v>
      </c>
    </row>
    <row r="37" spans="1:2">
      <c r="A37" s="582" t="s">
        <v>1070</v>
      </c>
      <c r="B37" s="582" t="s">
        <v>1071</v>
      </c>
    </row>
    <row r="38" spans="1:2">
      <c r="A38" s="582" t="s">
        <v>1072</v>
      </c>
      <c r="B38" s="582" t="s">
        <v>1073</v>
      </c>
    </row>
    <row r="39" spans="1:2">
      <c r="A39" s="582" t="s">
        <v>1074</v>
      </c>
      <c r="B39" s="582" t="s">
        <v>1075</v>
      </c>
    </row>
    <row r="40" spans="1:2">
      <c r="A40" s="582" t="s">
        <v>1076</v>
      </c>
      <c r="B40" s="582" t="s">
        <v>1077</v>
      </c>
    </row>
    <row r="41" spans="1:2">
      <c r="A41" s="582" t="s">
        <v>1078</v>
      </c>
      <c r="B41" s="582" t="s">
        <v>1079</v>
      </c>
    </row>
    <row r="42" spans="1:2">
      <c r="A42" s="582" t="s">
        <v>1080</v>
      </c>
      <c r="B42" s="582"/>
    </row>
    <row r="43" spans="1:2">
      <c r="A43" s="582" t="s">
        <v>1081</v>
      </c>
      <c r="B43" s="582"/>
    </row>
    <row r="44" spans="1:2">
      <c r="A44" s="582" t="s">
        <v>1082</v>
      </c>
      <c r="B44" s="582" t="s">
        <v>1083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6D294-12F2-4163-A96E-E84734B351A9}">
  <sheetPr codeName="Sheet18"/>
  <dimension ref="A1:A13"/>
  <sheetViews>
    <sheetView workbookViewId="0"/>
  </sheetViews>
  <sheetFormatPr defaultRowHeight="14.5"/>
  <cols>
    <col min="1" max="1" width="28" customWidth="1"/>
  </cols>
  <sheetData>
    <row r="1" spans="1:1">
      <c r="A1" s="582" t="s">
        <v>1084</v>
      </c>
    </row>
    <row r="2" spans="1:1">
      <c r="A2" s="582" t="s">
        <v>1085</v>
      </c>
    </row>
    <row r="3" spans="1:1">
      <c r="A3" s="582" t="s">
        <v>1086</v>
      </c>
    </row>
    <row r="4" spans="1:1">
      <c r="A4" s="582" t="s">
        <v>1087</v>
      </c>
    </row>
    <row r="5" spans="1:1">
      <c r="A5" s="582" t="s">
        <v>1088</v>
      </c>
    </row>
    <row r="6" spans="1:1">
      <c r="A6" s="582" t="s">
        <v>1089</v>
      </c>
    </row>
    <row r="7" spans="1:1">
      <c r="A7" s="582" t="s">
        <v>1090</v>
      </c>
    </row>
    <row r="8" spans="1:1">
      <c r="A8" s="582" t="s">
        <v>1091</v>
      </c>
    </row>
    <row r="9" spans="1:1">
      <c r="A9" s="582" t="s">
        <v>1092</v>
      </c>
    </row>
    <row r="10" spans="1:1">
      <c r="A10" s="582" t="s">
        <v>1093</v>
      </c>
    </row>
    <row r="11" spans="1:1">
      <c r="A11" s="582" t="s">
        <v>1094</v>
      </c>
    </row>
    <row r="12" spans="1:1">
      <c r="A12" s="582" t="s">
        <v>1095</v>
      </c>
    </row>
    <row r="13" spans="1:1">
      <c r="A13" s="582" t="s">
        <v>1096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FdsFormulaCache xmlns="urn:fdsformulacache" version="2" timestamp="1769463420"><![CDATA[{"BA-US^P_BETA_PR(0,,,\"1M\")":0.8938853,"TRYUS10Y-FDS^FG_YIELD(0,,,,\"YTM\")/100":0.038115,"SP50^FG_DIV_YLD(0)/100":0.0162619666858754,"SP50^FMA_EPS(NTMA,0,,,,\"PORTAGG\",\"MEANR\")/FG_PRICE(0)":0.0557203981338103,"BA-US^P_PRICE(0)":200.87,"BA-US^FE_ESTIMATE(FCFPS,MEAN,QTR_ROLL,2023/1F,45041,,,'')":-3.2038302,"BA-US^FE_ESTIMATE(FCF,MEAN,QTR_ROLL,2023/1F,45041,,,'')":-1908.3936,"BA-US^FE_ESTIMATE(CAPEX,MEAN,QTR_ROLL,2023/1F,45041,,,'')":363.0,"BA-US^FE_ESTIMATE(CF_OP,MEAN,QTR_ROLL,2023/1F,45041,,,'')":-1665.4,"BA-US^FE_ESTIMATE(NET_DEBT,MEAN,QTR_ROLL,2023/1F,45041,,,'')":42041.5,"BA-US^FE_ESTIMATE(DEBT,MEAN,QTR_ROLL,2023/1F,45041,,,'')":55301.0,"BA-US^FE_ESTIMATE(CASH_ST,MEAN,QTR_ROLL,2023/1F,45041,,,'')":11616.25,"BA-US^FE_ESTIMATE(DPS,MEAN,QTR_ROLL,2023/1F,45041,,,'')":0.1875,"BA-US^FE_ESTIMATE(EPS_GAAP,MEAN,QTR_ROLL,2023/1F,45041,,,'')":-0.4794714,"BA-US^FE_ESTIMATE(NET_INC_REP,MEAN,QTR_ROLL,2023/1F,45041,,,'')":-72.1575,"BA-US^FE_ESTIMATE(PTX_INC_REP,MEAN,QTR_ROLL,2023/1F,45041,,,'')":null,"BA-US^FE_ESTIMATE(EBITDA_REP,MEAN,QTR_ROLL,2023/1F,45041,,,'')":644.1897,"BA-US^FE_ESTIMATE(EPS,MEAN,QTR_ROLL,2023/1F,45041,,,'')":-1.0734669,"BA-US^FE_ESTIMATE(NET_INC,MEAN,QTR_ROLL,2023/1F,45041,,,'')":-482.66666,"BA-US^FE_VALUATION(TAX_RATE,MEAN,QTR_ROLL,2023/1F,45041,,,'')/100":0.0008140445,"BA-US^FE_ESTIMATE(INC_TAX,MEAN,QTR_ROLL,2023/1F,45041,,,'')":-47.272728,"BA-US^FE_ESTIMATE(PTX_INC,MEAN,QTR_ROLL,2023/1F,45041,,,'')":-580.7143,"BA-US^FE_ESTIMATE(INT_EXP,MEAN,QTR_ROLL,2023/1F,45041,,,'')":623.3333,"BA-US^FE_ESTIMATE(EBIT,MEAN,QTR_ROLL,2023/1F,45041,,,'')":348.70288,"BA-US^FE_ESTIMATE(DEP_AMORT_EXP,MEAN,QTR_ROLL,2023/1F,45041,,,'')":505.83334,"BA-US^FE_ESTIMATE(EBITDA,MEAN,QTR_ROLL,2023/1F,45041,,,'')":611.64417,"BA-US^FE_ESTIMATE(EBITDAR,MEAN,QTR_ROLL,2023/1F,45041,,,'')":null,"BA-US^FE_ESTIMATE(OPER_EXP,MEAN,QTR_ROLL,2023/1F,45041,,,'')":null,"BA-US^FE_ESTIMATE(RD_EXP,MEAN,QTR_ROLL,2023/1F,45041,,,'')":695.1429,"BA-US^FE_ESTIMATE(G_A_EXP,MEAN,QTR_ROLL,2023/1F,45041,,,'')":813.3333,"BA-US^FE_ESTIMATE(SGA,MEAN,QTR_ROLL,2023/1F,45041,,,'')":1085.3334,"BA-US^FE_VALUATION(GROSS_MARGIN,MEAN,QTR_ROLL,2023/1F,45041,,,'')/100":0.109613076,"BA-US^FE_ESTIMATE(GROSS_INC,MEAN,QTR_ROLL,2023/1F,45041,,,'')":1920.0,"BA-US^FE_ESTIMATE(COS,MEAN,QTR_ROLL,2023/1F,45041,,,'')":15028.0,"BA-US^FE_ESTIMATE(SALES,MEAN,QTR_ROLL,2023/1F,45041,,,'')":17516.158,"BA-US^FE_ESTIMATE(FCFPS,MEAN,ANN_ROLL,2025,45041,,,'')":17.497562,"BA-US^FE_ESTIMATE(FCFPS,MEAN,ANN_ROLL,2024,45041,,,'')":11.898445,"BA-US^FE_ESTIMATE(FCFPS,MEAN,ANN_ROLL,2023,45041,,,'')":5.794983,"BA-US^FE_ESTIMATE(FCFPS,MEAN,ANN_ROLL,2022,45041,,,'')":4.023713,"BA-US^FE_ESTIMATE(FCFPS,MEAN,ANN_ROLL,2021,45041,,,'')":-6.8795238,"BA-US^FE_ESTIMATE(FCF,MEAN,ANN_ROLL,2025,45041,,,'')":9789.007,"BA-US^FE_ESTIMATE(FCF,MEAN,ANN_ROLL,2024,45041,,,'')":7109.3926,"BA-US^FE_ESTIMATE(FCF,MEAN,ANN_ROLL,2023,45041,,,'')":3858.2961,"BA-US^FE_ESTIMATE(FCF,MEAN,ANN_ROLL,2022,45041,,,'')":2290.0,"BA-US^FE_ESTIMATE(FCF,MEAN,ANN_ROLL,2021,45041,,,'')":-3560.0,"BA-US^FE_ESTIMATE(DPS,MEAN,ANN_ROLL,2025,45041,,,'')":1.9475269,"BA-US^FE_ESTIMATE(DPS,MEAN,ANN_ROLL,2024,45041,,,'')":0.9515576,"BA-US^FE_ESTIMATE(DPS,MEAN,ANN_ROLL,2023,45041,,,'')":0.2925,"BA-US^FE_ESTIMATE(DPS,MEAN,ANN_ROLL,2022,45041,,,'')":0.0,"BA-US^FE_ESTIMATE(DPS,MEAN,ANN_ROLL,2021,45041,,,'')":0.0,"BA-US^FE_ESTIMATE(EPS_GAAP,MEAN,ANN_ROLL,2025,45041,,,'')":11.291506,"BA-US^FE_ESTIMATE(EPS_GAAP,MEAN,ANN_ROLL,2024,45041,,,'')":7.882061,"BA-US^FE_ESTIMATE(EPS_GAAP,MEAN,ANN_ROLL,2023,45041,,,'')":2.4095473,"BA-US^FE_ESTIMATE(EPS_GAAP,MEAN,ANN_ROLL,2022,45041,,,'')":-8.3,"BA-US^FE_ESTIMATE(EPS_GAAP,MEAN,ANN_ROLL,2021,45041,,,'')":-7.15,"BA-US^FE_ESTIMATE(NET_INC_REP,MEAN,ANN_ROLL,2025,45041,,,'')":6560.1353,"BA-US^FE_ESTIMATE(NET_INC_REP,MEAN,ANN_ROLL,2024,45041,,,'')":5081.0234,"BA-US^FE_ESTIMATE(NET_INC_REP,MEAN,ANN_ROLL,2023,45041,,,'')":1855.7523,"BA-US^FE_ESTIMATE(NET_INC_REP,MEAN,ANN_ROLL,2022,45041,,,'')":-4935.0,"BA-US^FE_ESTIMATE(NET_INC_REP,MEAN,ANN_ROLL,2021,45041,,,'')":-4202.0,"BA-US^FE_ESTIMATE(PTX_INC_REP,MEAN,ANN_ROLL,2025,45041,,,'')":6154.827,"BA-US^FE_ESTIMATE(PTX_INC_REP,MEAN,ANN_ROLL,2024,45041,,,'')":4325.2197,"BA-US^FE_ESTIMATE(PTX_INC_REP,MEAN,ANN_ROLL,2023,45041,,,'')":1537.3878,"BA-US^FE_ESTIMATE(PTX_INC_REP,MEAN,ANN_ROLL,2022,45041,,,'')":-5022.0,"BA-US^FE_ESTIMATE(PTX_INC_REP,MEAN,ANN_ROLL,2021,45041,,,'')":-6158.0,"BA-US^FE_ESTIMATE(EBITDA_REP,MEAN,ANN_ROLL,2025,45041,,,'')":11131.607,"BA-US^FE_ESTIMATE(EBITDA_REP,MEAN,ANN_ROLL,2024,45041,,,'')":9091.242,"BA-US^FE_ESTIMATE(EBITDA_REP,MEAN,ANN_ROLL,2023,45041,,,'')":5278.2046,"BA-US^FE_ESTIMATE(EBITDA_REP,MEAN,ANN_ROLL,2022,45041,,,'')":-1599.0416,"BA-US^FE_ESTIMATE(EBITDA_REP,MEAN,ANN_ROLL,2021,45041,,,'')":-747.6,"BA-US^FE_ESTIMATE(EPS,MEAN,ANN_ROLL,2025,45041,,,'')":9.251426,"BA-US^FE_ESTIMATE(EPS,MEAN,ANN_ROLL,2024,45041,,,'')":5.817468,"BA-US^FE_ESTIMATE(EPS,MEAN,ANN_ROLL,2023,45041,,,'')":-0.6239787,"BA-US^FE_ESTIMATE(EPS,MEAN,ANN_ROLL,2022,45041,,,'')":-11.06,"BA-US^FE_ESTIMATE(EPS,MEAN,ANN_ROLL,2021,45041,,,'')":-9.44,"BA-US^FE_ESTIMATE(NET_INC,MEAN,ANN_ROLL,2025,45041,,,'')":6453.3984,"BA-US^FE_ESTIMATE(NET_INC,MEAN,ANN_ROLL,2024,45041,,,'')":4953.237,"BA-US^FE_ESTIMATE(NET_INC,MEAN,ANN_ROLL,2023,45041,,,'')":1855.7523,"BA-US^FE_ESTIMATE(NET_INC,MEAN,ANN_ROLL,2022,45041,,,'')":-4935.0,"BA-US^FE_ESTIMATE(NET_INC,MEAN,ANN_ROLL,2021,45041,,,'')":-4202.0,"BA-US^FE_ESTIMATE(EBIT,MEAN,ANN_ROLL,2025,45041,,,'')":9078.084,"BA-US^FE_ESTIMATE(EBIT,MEAN,ANN_ROLL,2024,45041,,,'')":7038.8203,"BA-US^FE_ESTIMATE(EBIT,MEAN,ANN_ROLL,2023,45041,,,'')":3834.7014,"BA-US^FE_ESTIMATE(EBIT,MEAN,ANN_ROLL,2022,45041,,,'')":-3547.0,"BA-US^FE_ESTIMATE(EBIT,MEAN,ANN_ROLL,2021,45041,,,'')":-2896.4656,"BA-US^FE_ESTIMATE(DEP_AMORT_EXP,MEAN,ANN_ROLL,2025,45041,,,'')":2117.2,"BA-US^FE_ESTIMATE(DEP_AMORT_EXP,MEAN,ANN_ROLL,2024,45041,,,'')":2064.2727,"BA-US^FE_ESTIMATE(DEP_AMORT_EXP,MEAN,ANN_ROLL,2023,45041,,,'')":2041.091,"BA-US^FE_ESTIMATE(DEP_AMORT_EXP,MEAN,ANN_ROLL,2022,45041,,,'')":1951.7778,"BA-US^FE_ESTIMATE(DEP_AMORT_EXP,MEAN,ANN_ROLL,2021,45041,,,'')":2154.889,"BA-US^FE_ESTIMATE(EBITDAR,MEAN,ANN_ROLL,2025,45041,,,'')":null,"BA-US^FE_ESTIMATE(EBITDAR,MEAN,ANN_ROLL,2024,45041,,,'')":null,"BA-US^FE_ESTIMATE(EBITDAR,MEAN,ANN_ROLL,2023,45041,,,'')":null,"BA-US^FE_ESTIMATE(EBITDAR,MEAN,ANN_ROLL,2022,45041,,,'')":null,"BA-US^FE_ESTIMATE(EBITDAR,MEAN,ANN_ROLL,2021,45041,,,'')":null,"BA-US^FE_ESTIMATE(OPER_EXP,MEAN,ANN_ROLL,2025,45041,,,'')":null,"BA-US^FE_ESTIMATE(OPER_EXP,MEAN,ANN_ROLL,2024,45041,,,'')":null,"BA-US^FE_ESTIMATE(OPER_EXP,MEAN,ANN_ROLL,2023,45041,,,'')":null,"BA-US^FE_ESTIMATE(OPER_EXP,MEAN,ANN_ROLL,2022,45041,,,'')":null,"BA-US^FE_ESTIMATE(OPER_EXP,MEAN,ANN_ROLL,2021,45041,,,'')":null,"BA-US^FE_ESTIMATE(RD_EXP,MEAN,ANN_ROLL,2025,45041,,,'')":2839.6,"BA-US^FE_ESTIMATE(RD_EXP,MEAN,ANN_ROLL,2024,45041,,,'')":3105.1667,"BA-US^FE_ESTIMATE(RD_EXP,MEAN,ANN_ROLL,2023,45041,,,'')":3007.8572,"BA-US^FE_ESTIMATE(RD_EXP,MEAN,ANN_ROLL,2022,45041,,,'')":2825.3333,"BA-US^FE_ESTIMATE(RD_EXP,MEAN,ANN_ROLL,2021,45041,,,'')":2249.0,"BA-US^FE_ESTIMATE(G_A_EXP,MEAN,ANN_ROLL,2025,45041,,,'')":3808.6667,"BA-US^FE_ESTIMATE(G_A_EXP,MEAN,ANN_ROLL,2024,45041,,,'')":3580.5,"BA-US^FE_ESTIMATE(G_A_EXP,MEAN,ANN_ROLL,2023,45041,,,'')":3553.0,"BA-US^FE_ESTIMATE(G_A_EXP,MEAN,ANN_ROLL,2022,45041,,,'')":4056.0,"BA-US^FE_ESTIMATE(G_A_EXP,MEAN,ANN_ROLL,2021,45041,,,'')":4157.0,"BA-US^FE_ESTIMATE(SGA,MEAN,ANN_ROLL,2025,45041,,,'')":5399.133,"BA-US^FE_ESTIMATE(SGA,MEAN,ANN_ROLL,2024,45041,,,'')":4907.8833,"BA-US^FE_ESTIMATE(SGA,MEAN,ANN_ROLL,2023,45041,,,'')":4560.051,"BA-US^FE_ESTIMATE(SGA,MEAN,ANN_ROLL,2022,45041,,,'')":4187.0,"BA-US^FE_ESTIMATE(SGA,MEAN,ANN_ROLL,2021,45041,,,'')":4157.0,"BA-US^FE_VALUATION(GROSS_MARGIN,MEAN,ANN_ROLL,2025,45041,,,'')/100":0.16018678,"BA-US^FE_VALUATION(GROSS_MARGIN,MEAN,ANN_ROLL,2024,45041,,,'')/100":0.15124698,"BA-US^FE_VALUATION(GROSS_MARGIN,MEAN,ANN_ROLL,2023,45041,,,'')/100":0.12646191,"BA-US^FE_VALUATION(GROSS_MARGIN,MEAN,ANN_ROLL,2022,45041,,,'')/100":0.05598427,"BA-US^FE_VALUATION(GROSS_MARGIN,MEAN,ANN_ROLL,2021,45041,,,'')/100":0.054560147,"BA-US^FE_ESTIMATE(GROSS_INC,MEAN,ANN_ROLL,2025,45041,,,'')":15673.75,"BA-US^FE_ESTIMATE(GROSS_INC,MEAN,ANN_ROLL,2024,45041,,,'')":13643.2,"BA-US^FE_ESTIMATE(GROSS_INC,MEAN,ANN_ROLL,2023,45041,,,'')":9851.333,"BA-US^FE_ESTIMATE(GROSS_INC,MEAN,ANN_ROLL,2022,45041,,,'')":3729.0,"BA-US^FE_ESTIMATE(GROSS_INC,MEAN,ANN_ROLL,2021,45041,,,'')":3398.3333,"BA-US^FE_ESTIMATE(COS,MEAN,ANN_ROLL,2025,45041,,,'')":80316.66,"BA-US^FE_ESTIMATE(COS,MEAN,ANN_ROLL,2024,45041,,,'')":74017.195,"BA-US^FE_ESTIMATE(COS,MEAN,ANN_ROLL,2023,45041,,,'')":64944.457,"BA-US^FE_ESTIMATE(COS,MEAN,ANN_ROLL,2022,45041,,,'')":61865.25,"BA-US^FE_ESTIMATE(COS,MEAN,ANN_ROLL,2021,45041,,,'')":58749.145,"BA-US^FE_ESTIMATE(SALES,MEAN,ANN_ROLL,2025,45041,,,'')":97846.71,"BA-US^FE_ESTIMATE(SALES,MEAN,ANN_ROLL,2024,45041,,,'')":90204.78,"BA-US^FE_ESTIMATE(SALES,MEAN,ANN_ROLL,2023,45041,,,'')":77899.61,"BA-US^FE_ESTIMATE(SALES,MEAN,ANN_ROLL,2022,45041,,,'')":66608.0,"BA-US^FE_ESTIMATE(SALES,MEAN,ANN_ROLL,2021,45041,,,'')":62286.0,"BA-US^FE_VALUATION(TAX_RATE,MEAN,ANN_ROLL,2025,45041,,,'')/100":0.0015168628,"BA-US^FE_VALUATION(TAX_RATE,MEAN,ANN_ROLL,2024,45041,,,'')/100":0.0015197302,"BA-US^FE_VALUATION(TAX_RATE,MEAN,ANN_ROLL,2023,45041,,,'')/100":0.00084815075,"BA-US^FE_VALUATION(TAX_RATE,MEAN,ANN_ROLL,2022,45041,,,'')/100":3.746185E-06,"BA-US^FE_VALUATION(TAX_RATE,MEAN,ANN_ROLL,2021,45041,,,'')/100":0.0014517867,"BA-US^FE_ESTIMATE(INC_TAX,MEAN,ANN_ROLL,2025,45041,,,'')":1202.9,"BA-US^FE_ESTIMATE(INC_TAX,MEAN,ANN_ROLL,2024,45041,,,'')":861.6667,"BA-US^FE_ESTIMATE(INC_TAX,MEAN,ANN_ROLL,2023,45041,,,'')":181.43143,"BA-US^FE_ESTIMATE(INC_TAX,MEAN,ANN_ROLL,2022,45041,,,'')":-1.9166666,"BA-US^FE_ESTIMATE(INC_TAX,MEAN,ANN_ROLL,2021,45041,,,'')":-743.0,"BA-US^FE_ESTIMATE(PTX_INC,MEAN,ANN_ROLL,2025,45041,,,'')":7930.183,"BA-US^FE_ESTIMATE(PTX_INC,MEAN,ANN_ROLL,2024,45041,,,'')":5669.866,"BA-US^FE_ESTIMATE(PTX_INC,MEAN,ANN_ROLL,2023,45041,,,'')":2139.141,"BA-US^FE_ESTIMATE(PTX_INC,MEAN,ANN_ROLL,2022,45041,,,'')":-5116.316,"BA-US^FE_ESTIMATE(PTX_INC,MEAN,ANN_ROLL,2021,45041,,,'')":-5117.8315,"BA-US^FE_ESTIMATE(INT_EXP,MEAN,ANN_ROLL,2025,45041,,,'')":1930.5795,"BA-US^FE_ESTIMATE(INT_EXP,MEAN,ANN_ROLL,2024,45041,,,'')":2120.6404,"BA-US^FE_ESTIMATE(INT_EXP,MEAN,ANN_ROLL,2023,45041,,,'')":2399.3372,"BA-US^FE_ESTIMATE(INT_EXP,MEAN,ANN_ROLL,2022,45041,,,'')":2533.0,"BA-US^FE_ESTIMATE(INT_EXP,MEAN,ANN_ROLL,2021,45041,,,'')":2682.0,"BA-US^FE_ESTIMATE(EBITDA,MEAN,ANN_ROLL,2021,45041,,,'')":-748.5376,"BA-US^FE_ESTIMATE(FCFPS,MEAN,ANN_ROLL,2025,45112,,,'')":17.38647,"BA-US^FE_ESTIMATE(FCFPS,MEAN,ANN_ROLL,2024,45112,,,'')":11.925165,"BA-US^FE_ESTIMATE(FCFPS,MEAN,ANN_ROLL,2023,45112,,,'')":5.6616254,"BA-US^FE_ESTIMATE(FCFPS,MEAN,ANN_ROLL,2022,45112,,,'')":4.023713,"BA-US^FE_ESTIMATE(FCFPS,MEAN,ANN_ROLL,2021,45112,,,'')":-6.8795238,"BA-US^FE_ESTIMATE(FCF,MEAN,ANN_ROLL,2025,45112,,,'')":10335.193,"BA-US^FE_ESTIMATE(FCF,MEAN,ANN_ROLL,2024,45112,,,'')":7310.8145,"BA-US^FE_ESTIMATE(FCF,MEAN,ANN_ROLL,2023,45112,,,'')":3452.2854,"BA-US^FE_ESTIMATE(FCF,MEAN,ANN_ROLL,2022,45112,,,'')":2290.0,"BA-US^FE_ESTIMATE(FCF,MEAN,ANN_ROLL,2021,45112,,,'')":-3560.0,"BA-US^FE_ESTIMATE(DPS,MEAN,ANN_ROLL,2025,45112,,,'')":2.0546215,"BA-US^FE_ESTIMATE(DPS,MEAN,ANN_ROLL,2024,45112,,,'')":0.9841159,"BA-US^FE_ESTIMATE(DPS,MEAN,ANN_ROLL,2023,45112,,,'')":0.351,"BA-US^FE_ESTIMATE(DPS,MEAN,ANN_ROLL,2022,45112,,,'')":0.0,"BA-US^FE_ESTIMATE(DPS,MEAN,ANN_ROLL,2021,45112,,,'')":0.0,"BA-US^FE_ESTIMATE(EPS_GAAP,MEAN,ANN_ROLL,2025,45112,,,'')":10.816647,"BA-US^FE_ESTIMATE(EPS_GAAP,MEAN,ANN_ROLL,2024,45112,,,'')":7.413157,"BA-US^FE_ESTIMATE(EPS_GAAP,MEAN,ANN_ROLL,2023,45112,,,'')":1.6022698,"BA-US^FE_ESTIMATE(EPS_GAAP,MEAN,ANN_ROLL,2022,45112,,,'')":-8.3,"BA-US^FE_ESTIMATE(EPS_GAAP,MEAN,ANN_ROLL,2021,45112,,,'')":-7.15,"BA-US^FE_ESTIMATE(NET_INC_REP,MEAN,ANN_ROLL,2025,45112,,,'')":6730.8203,"BA-US^FE_ESTIMATE(NET_INC_REP,MEAN,ANN_ROLL,2024,45112,,,'')":4774.251,"BA-US^FE_ESTIMATE(NET_INC_REP,MEAN,ANN_ROLL,2023,45112,,,'')":422.27155,"BA-US^FE_ESTIMATE(NET_INC_REP,MEAN,ANN_ROLL,2022,45112,,,'')":-4935.0,"BA-US^FE_ESTIMATE(NET_INC_REP,MEAN,ANN_ROLL,2021,45112,,,'')":-4202.0,"BA-US^FE_ESTIMATE(PTX_INC_REP,MEAN,ANN_ROLL,2025,45112,,,'')":7390.3604,"BA-US^FE_ESTIMATE(PTX_INC_REP,MEAN,ANN_ROLL,2024,45112,,,'')":5138.988,"BA-US^FE_ESTIMATE(PTX_INC_REP,MEAN,ANN_ROLL,2023,45112,,,'')":160.25563,"BA-US^FE_ESTIMATE(PTX_INC_REP,MEAN,ANN_ROLL,2022,45112,,,'')":-5022.0,"BA-US^FE_ESTIMATE(PTX_INC_REP,MEAN,ANN_ROLL,2021,45112,,,'')":-6158.0,"BA-US^FE_ESTIMATE(EBITDA_REP,MEAN,ANN_ROLL,2025,45112,,,'')":11344.844,"BA-US^FE_ESTIMATE(EBITDA_REP,MEAN,ANN_ROLL,2024,45112,,,'')":9109.314,"BA-US^FE_ESTIMATE(EBITDA_REP,MEAN,ANN_ROLL,2023,45112,,,'')":4489.006,"BA-US^FE_ESTIMATE(EBITDA_REP,MEAN,ANN_ROLL,2022,45112,,,'')":-1599.0416,"BA-US^FE_ESTIMATE(EBITDA_REP,MEAN,ANN_ROLL,2021,45112,,,'')":-747.6,"BA-US^FE_ESTIMATE(EPS,MEAN,ANN_ROLL,2025,45112,,,'')":8.932832,"BA-US^FE_ESTIMATE(EPS,MEAN,ANN_ROLL,2024,45112,,,'')":5.6739764,"BA-US^FE_ESTIMATE(EPS,MEAN,ANN_ROLL,2023,45112,,,'')":-1.4021386,"BA-US^FE_ESTIMATE(EPS,MEAN,ANN_ROLL,2022,45112,,,'')":-11.06,"BA-US^FE_ESTIMATE(EPS,MEAN,ANN_ROLL,2021,45112,,,'')":-9.44,"BA-US^FE_ESTIMATE(NET_INC,MEAN,ANN_ROLL,2025,45112,,,'')":6596.6367,"BA-US^FE_ESTIMATE(NET_INC,MEAN,ANN_ROLL,2024,45112,,,'')":4718.1235,"BA-US^FE_ESTIMATE(NET_INC,MEAN,ANN_ROLL,2023,45112,,,'')":365.5224,"BA-US^FE_ESTIMATE(NET_INC,MEAN,ANN_ROLL,2022,45112,,,'')":-4935.0,"BA-US^FE_ESTIMATE(NET_INC,MEAN,ANN_ROLL,2021,45112,,,'')":-4202.0,"BA-US^FE_ESTIMATE(EBIT,MEAN,ANN_ROLL,2025,45112,,,'')":9193.18,"BA-US^FE_ESTIMATE(EBIT,MEAN,ANN_ROLL,2024,45112,,,'')":6978.494,"BA-US^FE_ESTIMATE(EBIT,MEAN,ANN_ROLL,2023,45112,,,'')":2273.3909,"BA-US^FE_ESTIMATE(EBIT,MEAN,ANN_ROLL,2022,45112,,,'')":-3547.0,"BA-US^FE_ESTIMATE(EBIT,MEAN,ANN_ROLL,2021,45112,,,'')":-2896.4656,"BA-US^FE_ESTIMATE(DEP_AMORT_EXP,MEAN,ANN_ROLL,2025,45112,,,'')":2041.9,"BA-US^FE_ESTIMATE(DEP_AMORT_EXP,MEAN,ANN_ROLL,2024,45112,,,'')":1989.5454,"BA-US^FE_ESTIMATE(DEP_AMORT_EXP,MEAN,ANN_ROLL,2023,45112,,,'')":1943.8182,"BA-US^FE_ESTIMATE(DEP_AMORT_EXP,MEAN,ANN_ROLL,2022,45112,,,'')":1951.7778,"BA-US^FE_ESTIMATE(DEP_AMORT_EXP,MEAN,ANN_ROLL,2021,45112,,,'')":2154.889,"BA-US^FE_ESTIMATE(EBITDAR,MEAN,ANN_ROLL,2025,45112,,,'')":null,"BA-US^FE_ESTIMATE(EBITDAR,MEAN,ANN_ROLL,2024,45112,,,'')":null,"BA-US^FE_ESTIMATE(EBITDAR,MEAN,ANN_ROLL,2023,45112,,,'')":null,"BA-US^FE_ESTIMATE(EBITDAR,MEAN,ANN_ROLL,2022,45112,,,'')":null,"BA-US^FE_ESTIMATE(EBITDAR,MEAN,ANN_ROLL,2021,45112,,,'')":null,"BA-US^FE_ESTIMATE(OPER_EXP,MEAN,ANN_ROLL,2025,45112,,,'')":null,"BA-US^FE_ESTIMATE(OPER_EXP,MEAN,ANN_ROLL,2024,45112,,,'')":null,"BA-US^FE_ESTIMATE(OPER_EXP,MEAN,ANN_ROLL,2023,45112,,,'')":null,"BA-US^FE_ESTIMATE(OPER_EXP,MEAN,ANN_ROLL,2022,45112,,,'')":null,"BA-US^FE_ESTIMATE(OPER_EXP,MEAN,ANN_ROLL,2021,45112,,,'')":null,"BA-US^FE_ESTIMATE(RD_EXP,MEAN,ANN_ROLL,2025,45112,,,'')":2801.6,"BA-US^FE_ESTIMATE(RD_EXP,MEAN,ANN_ROLL,2024,45112,,,'')":3118.4285,"BA-US^FE_ESTIMATE(RD_EXP,MEAN,ANN_ROLL,2023,45112,,,'')":2997.2856,"BA-US^FE_ESTIMATE(RD_EXP,MEAN,ANN_ROLL,2022,45112,,,'')":2825.3333,"BA-US^FE_ESTIMATE(RD_EXP,MEAN,ANN_ROLL,2021,45112,,,'')":2249.0,"BA-US^FE_ESTIMATE(G_A_EXP,MEAN,ANN_ROLL,2025,45112,,,'')":3765.0,"BA-US^FE_ESTIMATE(G_A_EXP,MEAN,ANN_ROLL,2024,45112,,,'')":3632.75,"BA-US^FE_ESTIMATE(G_A_EXP,MEAN,ANN_ROLL,2023,45112,,,'')":3937.25,"BA-US^FE_ESTIMATE(G_A_EXP,MEAN,ANN_ROLL,2022,45112,,,'')":4056.0,"BA-US^FE_ESTIMATE(G_A_EXP,MEAN,ANN_ROLL,2021,45112,,,'')":4157.0,"BA-US^FE_ESTIMATE(SGA,MEAN,ANN_ROLL,2025,45112,,,'')":6063.3657,"BA-US^FE_ESTIMATE(SGA,MEAN,ANN_ROLL,2024,45112,,,'')":5641.488,"BA-US^FE_ESTIMATE(SGA,MEAN,ANN_ROLL,2023,45112,,,'')":5090.569,"BA-US^FE_ESTIMATE(SGA,MEAN,ANN_ROLL,2022,45112,,,'')":4187.0,"BA-US^FE_ESTIMATE(SGA,MEAN,ANN_ROLL,2021,45112,,,'')":4157.0,"BA-US^FE_VALUATION(GROSS_MARGIN,MEAN,ANN_ROLL,2025,45112,,,'')/100":0.15628946,"BA-US^FE_VALUATION(GROSS_MARGIN,MEAN,ANN_ROLL,2024,45112,,,'')/100":0.15716079,"BA-US^FE_VALUATION(GROSS_MARGIN,MEAN,ANN_ROLL,2023,45112,,,'')/100":0.12673247,"BA-US^FE_VALUATION(GROSS_MARGIN,MEAN,ANN_ROLL,2022,45112,,,'')/100":0.05598427,"BA-US^FE_VALUATION(GROSS_MARGIN,MEAN,ANN_ROLL,2021,45112,,,'')/100":0.054560147,"BA-US^FE_ESTIMATE(GROSS_INC,MEAN,ANN_ROLL,2025,45112,,,'')":15464.0,"BA-US^FE_ESTIMATE(GROSS_INC,MEAN,ANN_ROLL,2024,45112,,,'')":14273.667,"BA-US^FE_ESTIMATE(GROSS_INC,MEAN,ANN_ROLL,2023,45112,,,'')":9824.5,"BA-US^FE_ESTIMATE(GROSS_INC,MEAN,ANN_ROLL,2022,45112,,,'')":3729.0,"BA-US^FE_ESTIMATE(GROSS_INC,MEAN,ANN_ROLL,2021,45112,,,'')":3398.3333,"BA-US^FE_ESTIMATE(COS,MEAN,ANN_ROLL,2025,45112,,,'')":81408.62,"BA-US^FE_ESTIMATE(COS,MEAN,ANN_ROLL,2024,45112,,,'')":74338.76,"BA-US^FE_ESTIMATE(COS,MEAN,ANN_ROLL,2023,45112,,,'')":66047.77,"BA-US^FE_ESTIMATE(COS,MEAN,ANN_ROLL,2022,45112,,,'')":61865.25,"BA-US^FE_ESTIMATE(COS,MEAN,ANN_ROLL,2021,45112,,,'')":58749.145,"BA-US^FE_ESTIMATE(SALES,MEAN,ANN_ROLL,2025,45112,,,'')":98944.62,"BA-US^FE_ESTIMATE(SALES,MEAN,ANN_ROLL,2024,45112,,,'')":90822.06,"BA-US^FE_ESTIMATE(SALES,MEAN,ANN_ROLL,2023,45112,,,'')":77521.57,"BA-US^FE_ESTIMATE(SALES,MEAN,ANN_ROLL,2022,45112,,,'')":66608.0,"BA-US^FE_ESTIMATE(SALES,MEAN,ANN_ROLL,2021,45112,,,'')":62286.0,"BA-US^FE_VALUATION(TAX_RATE,MEAN,ANN_ROLL,2025,45112,,,'')/100":0.0015037869,"BA-US^FE_VALUATION(TAX_RATE,MEAN,ANN_ROLL,2024,45112,,,'')/100":0.0014856033,"BA-US^FE_VALUATION(TAX_RATE,MEAN,ANN_ROLL,2023,45112,,,'')/100":0.0005900218,"BA-US^FE_VALUATION(TAX_RATE,MEAN,ANN_ROLL,2022,45112,,,'')/100":3.746185E-06,"BA-US^FE_VALUATION(TAX_RATE,MEAN,ANN_ROLL,2021,45112,,,'')/100":0.0014517867,"BA-US^FE_ESTIMATE(INC_TAX,MEAN,ANN_ROLL,2025,45112,,,'')":1202.8889,"BA-US^FE_ESTIMATE(INC_TAX,MEAN,ANN_ROLL,2024,45112,,,'')":828.1667,"BA-US^FE_ESTIMATE(INC_TAX,MEAN,ANN_ROLL,2023,45112,,,'')":41.0,"BA-US^FE_ESTIMATE(INC_TAX,MEAN,ANN_ROLL,2022,45112,,,'')":-1.9166666,"BA-US^FE_ESTIMATE(INC_TAX,MEAN,ANN_ROLL,2021,45112,,,'')":-743.0,"BA-US^FE_ESTIMATE(PTX_INC,MEAN,ANN_ROLL,2025,45112,,,'')":7999.065,"BA-US^FE_ESTIMATE(PTX_INC,MEAN,ANN_ROLL,2024,45112,,,'')":5574.615,"BA-US^FE_ESTIMATE(PTX_INC,MEAN,ANN_ROLL,2023,45112,,,'')":694.88965,"BA-US^FE_ESTIMATE(PTX_INC,MEAN,ANN_ROLL,2022,45112,,,'')":-5116.316,"BA-US^FE_ESTIMATE(PTX_INC,MEAN,ANN_ROLL,2021,45112,,,'')":-5117.8315,"BA-US^FE_ESTIMATE(INT_EXP,MEAN,ANN_ROLL,2025,45112,,,'')":1926.5333,"BA-US^FE_ESTIMATE(INT_EXP,MEAN,ANN_ROLL,2024,45112,,,'')":2173.8645,"BA-US^FE_ESTIMATE(INT_EXP,MEAN,ANN_ROLL,2023,45112,,,'')":2468.0364,"BA-US^FE_ESTIMATE(INT_EXP,MEAN,ANN_ROLL,2022,45112,,,'')":2533.0,"BA-US^FE_ESTIMATE(INT_EXP,MEAN,ANN_ROLL,2021,45112,,,'')":2682.0,"BA-US^FE_ESTIMATE(EBITDA,MEAN,ANN_ROLL,2021,45112,,,'')":-748.5376,"BA-US^FE_ESTIMATE(FCFPS,MEAN,QTR_ROLL,2023/2F,45112,,,'')":-0.1660875,"BA-US^FE_ESTIMATE(FCF,MEAN,QTR_ROLL,2023/2F,45112,,,'')":-105.18919,"BA-US^FE_ESTIMATE(CAPEX,MEAN,QTR_ROLL,2023/2F,45112,,,'')":348.0,"BA-US^FE_ESTIMATE(CF_OP,MEAN,QTR_ROLL,2023/2F,45112,,,'')":148.0,"BA-US^FE_ESTIMATE(NET_DEBT,MEAN,QTR_ROLL,2023/2F,45112,,,'')":40737.5,"BA-US^FE_ESTIMATE(DEBT,MEAN,QTR_ROLL,2023/2F,45112,,,'')":51991.0,"BA-US^FE_ESTIMATE(CASH_ST,MEAN,QTR_ROLL,2023/2F,45112,,,'')":8334.25,"BA-US^FE_ESTIMATE(DPS,MEAN,QTR_ROLL,2023/2F,45112,,,'')":0.1875,"BA-US^FE_ESTIMATE(EPS_GAAP,MEAN,QTR_ROLL,2023/2F,45112,,,'')":-0.35362366,"BA-US^FE_ESTIMATE(NET_INC_REP,MEAN,QTR_ROLL,2023/2F,45112,,,'')":-156.32207,"BA-US^FE_ESTIMATE(PTX_INC_REP,MEAN,QTR_ROLL,2023/2F,45112,,,'')":null,"BA-US^FE_ESTIMATE(EBITDA_REP,MEAN,QTR_ROLL,2023/2F,45112,,,'')":716.6213,"BA-US^FE_ESTIMATE(EPS,MEAN,QTR_ROLL,2023/2F,45112,,,'')":-0.8641438,"BA-US^FE_ESTIMATE(NET_INC,MEAN,QTR_ROLL,2023/2F,45112,,,'')":-178.4619,"BA-US^FE_VALUATION(TAX_RATE,MEAN,QTR_ROLL,2023/2F,45112,,,'')/100":0.0013786015,"BA-US^FE_ESTIMATE(INC_TAX,MEAN,QTR_ROLL,2023/2F,45112,,,'')":-34.545456,"BA-US^FE_ESTIMATE(PTX_INC,MEAN,QTR_ROLL,2023/2F,45112,,,'')":-250.58333,"BA-US^FE_ESTIMATE(INT_EXP,MEAN,QTR_ROLL,2023/2F,45112,,,'')":629.6667,"BA-US^FE_ESTIMATE(EBIT,MEAN,QTR_ROLL,2023/2F,45112,,,'')":214.16077,"BA-US^FE_ESTIMATE(DEP_AMORT_EXP,MEAN,QTR_ROLL,2023/2F,45112,,,'')":489.33334,"BA-US^FE_ESTIMATE(EBITDA,MEAN,QTR_ROLL,2023/2F,45112,,,'')":716.6213,"BA-US^FE_ESTIMATE(EBITDAR,MEAN,QTR_ROLL,2023/2F,45112,,,'')":null,"BA-US^FE_ESTIMATE(OPER_EXP,MEAN,QTR_ROLL,2023/2F,45112,,,'')":null,"BA-US^FE_ESTIMATE(RD_EXP,MEAN,QTR_ROLL,2023/2F,45112,,,'')":718.0,"BA-US^FE_ESTIMATE(G_A_EXP,MEAN,QTR_ROLL,2023/2F,45112,,,'')":899.0,"BA-US^FE_ESTIMATE(SGA,MEAN,QTR_ROLL,2023/2F,45112,,,'')":1184.3334,"BA-US^FE_VALUATION(GROSS_MARGIN,MEAN,QTR_ROLL,2023/2F,45112,,,'')/100":0.123829514,"BA-US^FE_ESTIMATE(GROSS_INC,MEAN,QTR_ROLL,2023/2F,45112,,,'')":2151.5,"BA-US^FE_ESTIMATE(COS,MEAN,QTR_ROLL,2023/2F,45112,,,'')":14680.667,"BA-US^FE_ESTIMATE(SALES,MEAN,QTR_ROLL,2023/2F,45112,,,'')":17374.693,"BA-US^FE_ESTIMATE(FCFPS,MEAN,QTR_ROLL,2023/2F,45125,,,'')":0.33307374,"BA-US^FE_ESTIMATE(FCF,MEAN,QTR_ROLL,2023/2F,45125,,,'')":108.52659,"BA-US^FE_ESTIMATE(CAPEX,MEAN,QTR_ROLL,2023/2F,45125,,,'')":348.0,"BA-US^FE_ESTIMATE(CF_OP,MEAN,QTR_ROLL,2023/2F,45125,,,'')":417.8,"BA-US^FE_ESTIMATE(NET_DEBT,MEAN,QTR_ROLL,2023/2F,45125,,,'')":40590.5,"BA-US^FE_ESTIMATE(DEBT,MEAN,QTR_ROLL,2023/2F,45125,,,'')":51991.0,"BA-US^FE_ESTIMATE(CASH_ST,MEAN,QTR_ROLL,2023/2F,45125,,,'')":8704.5,"BA-US^FE_ESTIMATE(DPS,MEAN,QTR_ROLL,2023/2F,45125,,,'')":0.1875,"BA-US^FE_ESTIMATE(EPS_GAAP,MEAN,QTR_ROLL,2023/2F,45125,,,'')":-0.36129725,"BA-US^FE_ESTIMATE(NET_INC_REP,MEAN,QTR_ROLL,2023/2F,45125,,,'')":-191.15428,"BA-US^FE_ESTIMATE(PTX_INC_REP,MEAN,QTR_ROLL,2023/2F,45125,,,'')":null,"BA-US^FE_ESTIMATE(EBITDA_REP,MEAN,QTR_ROLL,2023/2F,45125,,,'')":672.7713,"BA-US^FE_ESTIMATE(EPS,MEAN,QTR_ROLL,2023/2F,45125,,,'')":-0.90224075,"BA-US^FE_ESTIMATE(NET_INC,MEAN,QTR_ROLL,2023/2F,45125,,,'')":-212.14026,"BA-US^FE_VALUATION(TAX_RATE,MEAN,QTR_ROLL,2023/2F,45125,,,'')/100":0.0019313131,"BA-US^FE_ESTIMATE(INC_TAX,MEAN,QTR_ROLL,2023/2F,45125,,,'')":-43.454544,"BA-US^FE_ESTIMATE(PTX_INC,MEAN,QTR_ROLL,2023/2F,45125,,,'')":-225.0,"BA-US^FE_ESTIMATE(INT_EXP,MEAN,QTR_ROLL,2023/2F,45125,,,'')":629.6667,"BA-US^FE_ESTIMATE(EBIT,MEAN,QTR_ROLL,2023/2F,45125,,,'')":210.4125,"BA-US^FE_ESTIMATE(DEP_AMORT_EXP,MEAN,QTR_ROLL,2023/2F,45125,,,'')":499.66666,"BA-US^FE_ESTIMATE(EBITDA,MEAN,QTR_ROLL,2023/2F,45125,,,'')":672.7713,"BA-US^FE_ESTIMATE(EBITDAR,MEAN,QTR_ROLL,2023/2F,45125,,,'')":null,"BA-US^FE_ESTIMATE(OPER_EXP,MEAN,QTR_ROLL,2023/2F,45125,,,'')":null,"BA-US^FE_ESTIMATE(RD_EXP,MEAN,QTR_ROLL,2023/2F,45125,,,'')":725.1429,"BA-US^FE_ESTIMATE(G_A_EXP,MEAN,QTR_ROLL,2023/2F,45125,,,'')":943.6667,"BA-US^FE_ESTIMATE(SGA,MEAN,QTR_ROLL,2023/2F,45125,,,'')":1212.3334,"BA-US^FE_VALUATION(GROSS_MARGIN,MEAN,QTR_ROLL,2023/2F,45125,,,'')/100":0.11641149,"BA-US^FE_ESTIMATE(GROSS_INC,MEAN,QTR_ROLL,2023/2F,45125,,,'')":2152.25,"BA-US^FE_ESTIMATE(COS,MEAN,QTR_ROLL,2023/2F,45125,,,'')":15497.0,"BA-US^FE_ESTIMATE(SALES,MEAN,QTR_ROLL,2023/2F,45125,,,'')":18488.295,"BA-US^FE_ESTIMATE(FCFPS,MEAN,QTR_ROLL,2023/2F,45133,,,'')":0.33307374,"BA-US^FE_ESTIMATE(NET_DEBT,MEAN,QTR_ROLL,2023/2F,45133,,,'')":40648.0,"BA-US^FE_ESTIMATE(CASH_ST,MEAN,QTR_ROLL,2023/2F,45133,,,'')":8704.5,"BA-US^FE_ESTIMATE(EPS_GAAP,MEAN,QTR_ROLL,2023/2F,45133,,,'')":-0.3689443,"BA-US^FE_ESTIMATE(PTX_INC_REP,MEAN,QTR_ROLL,2023/2F,45133,,,'')":null,"BA-US^FE_ESTIMATE(EPS,MEAN,QTR_ROLL,2023/2F,45133,,,'')":-0.8853913,"BA-US^FE_VALUATION(TAX_RATE,MEAN,QTR_ROLL,2023/2F,45133,,,'')/100":0.0018558253,"BA-US^FE_ESTIMATE(PTX_INC,MEAN,QTR_ROLL,2023/2F,45133,,,'')":-241.5,"BA-US^FE_ESTIMATE(EBIT,MEAN,QTR_ROLL,2023/2F,45133,,,'')":196.68236,"BA-US^FE_ESTIMATE(DEP_AMORT_EXP,MEAN,QTR_ROLL,2023/2F,45133,,,'')":499.66666,"BA-US^FE_ESTIMATE(EBITDAR,MEAN,QTR_ROLL,2023/2F,45133,,,'')":null,"BA-US^FE_ESTIMATE(RD_EXP,MEAN,QTR_ROLL,2023/2F,45133,,,'')":725.1429,"BA-US^FE_ESTIMATE(SGA,MEAN,QTR_ROLL,2023/2F,45133,,,'')":1212.3334,"BA-US^FE_ESTIMATE(SALES,MEAN,QTR_ROLL,2023/2F,45133,,,'')":18592.277,"BA-US^FE_ESTIMATE(FCF,MEAN,QTR_ROLL,2023/2F,45133,,,'')":88.66185,"BA-US^FE_ESTIMATE(CF_OP,MEAN,QTR_ROLL,2023/2F,45133,,,'')":417.8,"BA-US^FE_ESTIMATE(DEBT,MEAN,QTR_ROLL,2023/2F,45133,,,'')":51991.0,"BA-US^FE_ESTIMATE(DPS,MEAN,QTR_ROLL,2023/2F,45133,,,'')":0.15,"BA-US^FE_ESTIMATE(EBITDA_REP,MEAN,QTR_ROLL,2023/2F,45133,,,'')":661.6463,"BA-US^FE_ESTIMATE(NET_INC,MEAN,QTR_ROLL,2023/2F,45133,,,'')":-212.14026,"BA-US^FE_ESTIMATE(INC_TAX,MEAN,QTR_ROLL,2023/2F,45133,,,'')":-44.81818,"BA-US^FE_ESTIMATE(OPER_EXP,MEAN,QTR_ROLL,2023/2F,45133,,,'')":null,"BA-US^FE_ESTIMATE(G_A_EXP,MEAN,QTR_ROLL,2023/2F,45133,,,'')":943.6667,"BA-US^FE_ESTIMATE(COS,MEAN,QTR_ROLL,2023/2F,45133,,,'')":15497.0,"BA-US^FE_ESTIMATE(CAPEX,MEAN,QTR_ROLL,2023/2F,45133,,,'')":348.0,"BA-US^FE_ESTIMATE(GROSS_INC,MEAN,QTR_ROLL,2023/2F,45133,,,'')":2152.25,"BA-US^FE_ESTIMATE(NET_INC_REP,MEAN,QTR_ROLL,2023/2F,45133,,,'')":-191.15428,"BA-US^FE_ESTIMATE(INT_EXP,MEAN,QTR_ROLL,2023/2F,45133,,,'')":629.6667,"BA-US^FE_ESTIMATE(EBITDA,MEAN,QTR_ROLL,2023/2F,45133,,,'')":661.6463,"BA-US^FE_VALUATION(GROSS_MARGIN,MEAN,QTR_ROLL,2023/2F,45133,,,'')/100":0.11576043,"BA-US^FE_ESTIMATE(FCFPS,MEAN,QTR_ROLL,2023/3F,45202,,,'')":-0.1512538,"BA-US^FE_ESTIMATE(FCF,MEAN,QTR_ROLL,2023/3F,45202,,,'')":-131.54944,"BA-US^FE_ESTIMATE(CAPEX,MEAN,QTR_ROLL,2023/3F,45202,,,'')":336.16666,"BA-US^FE_ESTIMATE(CF_OP,MEAN,QTR_ROLL,2023/3F,45202,,,'')":220.42857,"BA-US^FE_ESTIMATE(NET_DEBT,MEAN,QTR_ROLL,2023/3F,45202,,,'')":38430.0,"BA-US^FE_ESTIMATE(DEBT,MEAN,QTR_ROLL,2023/3F,45202,,,'')":52328.5,"BA-US^FE_ESTIMATE(CASH_ST,MEAN,QTR_ROLL,2023/3F,45202,,,'')":7094.6665,"BA-US^FE_ESTIMATE(DPS,MEAN,QTR_ROLL,2023/3F,45202,,,'')":0.15,"BA-US^FE_ESTIMATE(EPS_GAAP,MEAN,QTR_ROLL,2023/3F,45202,,,'')":-2.607143,"BA-US^FE_ESTIMATE(NET_INC_REP,MEAN,QTR_ROLL,2023/3F,45202,,,'')":-1539.75,"BA-US^FE_ESTIMATE(PTX_INC_REP,MEAN,QTR_ROLL,2023/3F,45202,,,'')":-819.4104,"BA-US^FE_ESTIMATE(EBITDA_REP,MEAN,QTR_ROLL,2023/3F,45202,,,'')":434.6085,"BA-US^FE_ESTIMATE(EPS,MEAN,QTR_ROLL,2023/3F,45202,,,'')":-2.7198703,"BA-US^FE_ESTIMATE(NET_INC,MEAN,QTR_ROLL,2023/3F,45202,,,'')":-1427.6666,"BA-US^FE_VALUATION(TAX_RATE,MEAN,QTR_ROLL,2023/3F,45202,,,'')/100":-0.008216084,"BA-US^FE_ESTIMATE(INC_TAX,MEAN,QTR_ROLL,2023/3F,45202,,,'')":479.54544,"BA-US^FE_ESTIMATE(PTX_INC,MEAN,QTR_ROLL,2023/3F,45202,,,'')":-583.6667,"BA-US^FE_ESTIMATE(INT_EXP,MEAN,QTR_ROLL,2023/3F,45202,,,'')":599.0,"BA-US^FE_ESTIMATE(EBIT,MEAN,QTR_ROLL,2023/3F,45202,,,'')":-103.13273,"BA-US^FE_ESTIMATE(DEP_AMORT_EXP,MEAN,QTR_ROLL,2023/3F,45202,,,'')":486.5,"BA-US^FE_ESTIMATE(EBITDA,MEAN,QTR_ROLL,2023/3F,45202,,,'')":434.6085,"BA-US^FE_ESTIMATE(EBITDAR,MEAN,QTR_ROLL,2023/3F,45202,,,'')":null,"BA-US^FE_ESTIMATE(OPER_EXP,MEAN,QTR_ROLL,2023/3F,45202,,,'')":null,"BA-US^FE_ESTIMATE(RD_EXP,MEAN,QTR_ROLL,2023/3F,45202,,,'')":754.5,"BA-US^FE_ESTIMATE(G_A_EXP,MEAN,QTR_ROLL,2023/3F,45202,,,'')":956.0,"BA-US^FE_ESTIMATE(SGA,MEAN,QTR_ROLL,2023/3F,45202,,,'')":1278.5,"BA-US^FE_VALUATION(GROSS_MARGIN,MEAN,QTR_ROLL,2023/3F,45202,,,'')/100":0.31777912,"BA-US^FE_ESTIMATE(GROSS_INC,MEAN,QTR_ROLL,2023/3F,45202,,,'')":5931.0,"BA-US^FE_ESTIMATE(COS,MEAN,QTR_ROLL,2023/3F,45202,,,'')":14124.5,"BA-US^FE_ESTIMATE(SALES,MEAN,QTR_ROLL,2023/3F,45202,,,'')":18663.906,"BA-US^FE_ESTIMATE(FCFPS,MEAN,ANN_ROLL,2025,45202,,,'')":16.546272,"BA-US^FE_ESTIMATE(FCFPS,MEAN,ANN_ROLL,2024,45202,,,'')":11.15002,"BA-US^FE_ESTIMATE(FCFPS,MEAN,ANN_ROLL,2023,45202,,,'')":5.979431,"BA-US^FE_ESTIMATE(FCFPS,MEAN,ANN_ROLL,2022,45202,,,'')":4.023713,"BA-US^FE_ESTIMATE(FCFPS,MEAN,ANN_ROLL,2021,45202,,,'')":-6.8795238,"BA-US^FE_ESTIMATE(FCF,MEAN,ANN_ROLL,2025,45202,,,'')":10083.539,"BA-US^FE_ESTIMATE(FCF,MEAN,ANN_ROLL,2024,45202,,,'')":6809.912,"BA-US^FE_ESTIMATE(FCF,MEAN,ANN_ROLL,2023,45202,,,'')":3631.5137,"BA-US^FE_ESTIMATE(FCF,MEAN,ANN_ROLL,2022,45202,,,'')":2290.0,"BA-US^FE_ESTIMATE(FCF,MEAN,ANN_ROLL,2021,45202,,,'')":-3560.0,"BA-US^FE_ESTIMATE(DPS,MEAN,ANN_ROLL,2025,45202,,,'')":2.0416317,"BA-US^FE_ESTIMATE(DPS,MEAN,ANN_ROLL,2024,45202,,,'')":0.982681,"BA-US^FE_ESTIMATE(DPS,MEAN,ANN_ROLL,2023,45202,,,'')":0.351,"BA-US^FE_ESTIMATE(DPS,MEAN,ANN_ROLL,2022,45202,,,'')":0.0,"BA-US^FE_ESTIMATE(DPS,MEAN,ANN_ROLL,2021,45202,,,'')":0.0,"BA-US^FE_ESTIMATE(EPS_GAAP,MEAN,ANN_ROLL,2025,45202,,,'')":11.218358,"BA-US^FE_ESTIMATE(EPS_GAAP,MEAN,ANN_ROLL,2024,45202,,,'')":6.765866,"BA-US^FE_ESTIMATE(EPS_GAAP,MEAN,ANN_ROLL,2023,45202,,,'')":-1.6488197,"BA-US^FE_ESTIMATE(EPS_GAAP,MEAN,ANN_ROLL,2022,45202,,,'')":-8.3,"BA-US^FE_ESTIMATE(EPS_GAAP,MEAN,ANN_ROLL,2021,45202,,,'')":-7.15,"BA-US^FE_ESTIMATE(NET_INC_REP,MEAN,ANN_ROLL,2025,45202,,,'')":6758.4893,"BA-US^FE_ESTIMATE(NET_INC_REP,MEAN,ANN_ROLL,2024,45202,,,'')":4361.944,"BA-US^FE_ESTIMATE(NET_INC_REP,MEAN,ANN_ROLL,2023,45202,,,'')":-1102.5968,"BA-US^FE_ESTIMATE(NET_INC_REP,MEAN,ANN_ROLL,2022,45202,,,'')":-4935.0,"BA-US^FE_ESTIMATE(NET_INC_REP,MEAN,ANN_ROLL,2021,45202,,,'')":-4202.0,"BA-US^FE_ESTIMATE(PTX_INC_REP,MEAN,ANN_ROLL,2025,45202,,,'')":7528.109,"BA-US^FE_ESTIMATE(PTX_INC_REP,MEAN,ANN_ROLL,2024,45202,,,'')":4503.206,"BA-US^FE_ESTIMATE(PTX_INC_REP,MEAN,ANN_ROLL,2023,45202,,,'')":-1141.7708,"BA-US^FE_ESTIMATE(PTX_INC_REP,MEAN,ANN_ROLL,2022,45202,,,'')":-5022.0,"BA-US^FE_ESTIMATE(PTX_INC_REP,MEAN,ANN_ROLL,2021,45202,,,'')":-6158.0,"BA-US^FE_ESTIMATE(EBITDA_REP,MEAN,ANN_ROLL,2025,45202,,,'')":11316.456,"BA-US^FE_ESTIMATE(EBITDA_REP,MEAN,ANN_ROLL,2024,45202,,,'')":8401.569,"BA-US^FE_ESTIMATE(EBITDA_REP,MEAN,ANN_ROLL,2023,45202,,,'')":2669.9534,"BA-US^FE_ESTIMATE(EBITDA_REP,MEAN,ANN_ROLL,2022,45202,,,'')":-1599.0416,"BA-US^FE_ESTIMATE(EBITDA_REP,MEAN,ANN_ROLL,2021,45202,,,'')":-747.6,"BA-US^FE_ESTIMATE(EPS,MEAN,ANN_ROLL,2025,45202,,,'')":9.091947,"BA-US^FE_ESTIMATE(EPS,MEAN,ANN_ROLL,2024,45202,,,'')":4.99616,"BA-US^FE_ESTIMATE(EPS,MEAN,ANN_ROLL,2023,45202,,,'')":-3.6362033,"BA-US^FE_ESTIMATE(EPS,MEAN,ANN_ROLL,2022,45202,,,'')":-11.06,"BA-US^FE_ESTIMATE(EPS,MEAN,ANN_ROLL,2021,45202,,,'')":-9.44,"BA-US^FE_ESTIMATE(NET_INC,MEAN,ANN_ROLL,2025,45202,,,'')":6607.293,"BA-US^FE_ESTIMATE(NET_INC,MEAN,ANN_ROLL,2024,45202,,,'')":4321.7393,"BA-US^FE_ESTIMATE(NET_INC,MEAN,ANN_ROLL,2023,45202,,,'')":-1220.9443,"BA-US^FE_ESTIMATE(NET_INC,MEAN,ANN_ROLL,2022,45202,,,'')":-4935.0,"BA-US^FE_ESTIMATE(NET_INC,MEAN,ANN_ROLL,2021,45202,,,'')":-4202.0,"BA-US^FE_ESTIMATE(EBIT,MEAN,ANN_ROLL,2025,45202,,,'')":9317.704,"BA-US^FE_ESTIMATE(EBIT,MEAN,ANN_ROLL,2024,45202,,,'')":6434.0693,"BA-US^FE_ESTIMATE(EBIT,MEAN,ANN_ROLL,2023,45202,,,'')":449.69174,"BA-US^FE_ESTIMATE(EBIT,MEAN,ANN_ROLL,2022,45202,,,'')":-3547.0,"BA-US^FE_ESTIMATE(EBIT,MEAN,ANN_ROLL,2021,45202,,,'')":-2896.4656,"BA-US^FE_ESTIMATE(DEP_AMORT_EXP,MEAN,ANN_ROLL,2025,45202,,,'')":2050.8,"BA-US^FE_ESTIMATE(DEP_AMORT_EXP,MEAN,ANN_ROLL,2024,45202,,,'')":1989.4546,"BA-US^FE_ESTIMATE(DEP_AMORT_EXP,MEAN,ANN_ROLL,2023,45202,,,'')":1927.0,"BA-US^FE_ESTIMATE(DEP_AMORT_EXP,MEAN,ANN_ROLL,2022,45202,,,'')":1951.7778,"BA-US^FE_ESTIMATE(DEP_AMORT_EXP,MEAN,ANN_ROLL,2021,45202,,,'')":2154.889,"BA-US^FE_ESTIMATE(EBITDAR,MEAN,ANN_ROLL,2025,45202,,,'')":null,"BA-US^FE_ESTIMATE(EBITDAR,MEAN,ANN_ROLL,2024,45202,,,'')":null,"BA-US^FE_ESTIMATE(EBITDAR,MEAN,ANN_ROLL,2023,45202,,,'')":null,"BA-US^FE_ESTIMATE(EBITDAR,MEAN,ANN_ROLL,2022,45202,,,'')":null,"BA-US^FE_ESTIMATE(EBITDAR,MEAN,ANN_ROLL,2021,45202,,,'')":null,"BA-US^FE_ESTIMATE(OPER_EXP,MEAN,ANN_ROLL,2025,45202,,,'')":null,"BA-US^FE_ESTIMATE(OPER_EXP,MEAN,ANN_ROLL,2024,45202,,,'')":null,"BA-US^FE_ESTIMATE(OPER_EXP,MEAN,ANN_ROLL,2023,45202,,,'')":null,"BA-US^FE_ESTIMATE(OPER_EXP,MEAN,ANN_ROLL,2022,45202,,,'')":null,"BA-US^FE_ESTIMATE(OPER_EXP,MEAN,ANN_ROLL,2021,45202,,,'')":null,"BA-US^FE_ESTIMATE(RD_EXP,MEAN,ANN_ROLL,2025,45202,,,'')":2710.6,"BA-US^FE_ESTIMATE(RD_EXP,MEAN,ANN_ROLL,2024,45202,,,'')":2965.3333,"BA-US^FE_ESTIMATE(RD_EXP,MEAN,ANN_ROLL,2023,45202,,,'')":2962.1667,"BA-US^FE_ESTIMATE(RD_EXP,MEAN,ANN_ROLL,2022,45202,,,'')":2825.3333,"BA-US^FE_ESTIMATE(RD_EXP,MEAN,ANN_ROLL,2021,45202,,,'')":2249.0,"BA-US^FE_ESTIMATE(G_A_EXP,MEAN,ANN_ROLL,2025,45202,,,'')":3483.5,"BA-US^FE_ESTIMATE(G_A_EXP,MEAN,ANN_ROLL,2024,45202,,,'')":3647.3333,"BA-US^FE_ESTIMATE(G_A_EXP,MEAN,ANN_ROLL,2023,45202,,,'')":4224.0,"BA-US^FE_ESTIMATE(G_A_EXP,MEAN,ANN_ROLL,2022,45202,,,'')":4056.0,"BA-US^FE_ESTIMATE(G_A_EXP,MEAN,ANN_ROLL,2021,45202,,,'')":4157.0,"BA-US^FE_ESTIMATE(SGA,MEAN,ANN_ROLL,2025,45202,,,'')":6087.8438,"BA-US^FE_ESTIMATE(SGA,MEAN,ANN_ROLL,2024,45202,,,'')":5712.229,"BA-US^FE_ESTIMATE(SGA,MEAN,ANN_ROLL,2023,45202,,,'')":5208.633,"BA-US^FE_ESTIMATE(SGA,MEAN,ANN_ROLL,2022,45202,,,'')":4187.0,"BA-US^FE_ESTIMATE(SGA,MEAN,ANN_ROLL,2021,45202,,,'')":4157.0,"BA-US^FE_VALUATION(GROSS_MARGIN,MEAN,ANN_ROLL,2025,45202,,,'')/100":0.14508288,"BA-US^FE_VALUATION(GROSS_MARGIN,MEAN,ANN_ROLL,2024,45202,,,'')/100":0.33346915,"BA-US^FE_VALUATION(GROSS_MARGIN,MEAN,ANN_ROLL,2023,45202,,,'')/100":0.28233004,"BA-US^FE_VALUATION(GROSS_MARGIN,MEAN,ANN_ROLL,2022,45202,,,'')/100":0.05598427,"BA-US^FE_VALUATION(GROSS_MARGIN,MEAN,ANN_ROLL,2021,45202,,,'')/100":0.054560147,"BA-US^FE_ESTIMATE(GROSS_INC,MEAN,ANN_ROLL,2025,45202,,,'')":14548.0,"BA-US^FE_ESTIMATE(GROSS_INC,MEAN,ANN_ROLL,2024,45202,,,'')":30283.2,"BA-US^FE_ESTIMATE(GROSS_INC,MEAN,ANN_ROLL,2023,45202,,,'')":22042.0,"BA-US^FE_ESTIMATE(GROSS_INC,MEAN,ANN_ROLL,2022,45202,,,'')":3729.0,"BA-US^FE_ESTIMATE(GROSS_INC,MEAN,ANN_ROLL,2021,45202,,,'')":3398.3333,"BA-US^FE_ESTIMATE(COS,MEAN,ANN_ROLL,2025,45202,,,'')":81632.85,"BA-US^FE_ESTIMATE(COS,MEAN,ANN_ROLL,2024,45202,,,'')":66382.54,"BA-US^FE_ESTIMATE(COS,MEAN,ANN_ROLL,2023,45202,,,'')":61224.88,"BA-US^FE_ESTIMATE(COS,MEAN,ANN_ROLL,2022,45202,,,'')":61865.25,"BA-US^FE_ESTIMATE(COS,MEAN,ANN_ROLL,2021,45202,,,'')":58749.145,"BA-US^FE_ESTIMATE(SALES,MEAN,ANN_ROLL,2025,45202,,,'')":100273.72,"BA-US^FE_ESTIMATE(SALES,MEAN,ANN_ROLL,2024,45202,,,'')":90812.59,"BA-US^FE_ESTIMATE(SALES,MEAN,ANN_ROLL,2023,45202,,,'')":78071.75,"BA-US^FE_ESTIMATE(SALES,MEAN,ANN_ROLL,2022,45202,,,'')":66608.0,"BA-US^FE_ESTIMATE(SALES,MEAN,ANN_ROLL,2021,45202,,,'')":62286.0,"BA-US^FE_VALUATION(TAX_RATE,MEAN,ANN_ROLL,2025,45202,,,'')/100":0.001767017,"BA-US^FE_VALUATION(TAX_RATE,MEAN,ANN_ROLL,2024,45202,,,'')/100":0.0016356402,"BA-US^FE_VALUATION(TAX_RATE,MEAN,ANN_ROLL,2023,45202,,,'')/100":-0.0024246043,"BA-US^FE_VALUATION(TAX_RATE,MEAN,ANN_ROLL,2022,45202,,,'')/100":3.746185E-06,"BA-US^FE_VALUATION(TAX_RATE,MEAN,ANN_ROLL,2021,45202,,,'')/100":0.0014517867,"BA-US^FE_ESTIMATE(INC_TAX,MEAN,ANN_ROLL,2025,45202,,,'')":1436.2222,"BA-US^FE_ESTIMATE(INC_TAX,MEAN,ANN_ROLL,2024,45202,,,'')":847.36365,"BA-US^FE_ESTIMATE(INC_TAX,MEAN,ANN_ROLL,2023,45202,,,'')":99.0,"BA-US^FE_ESTIMATE(INC_TAX,MEAN,ANN_ROLL,2022,45202,,,'')":-1.9166666,"BA-US^FE_ESTIMATE(INC_TAX,MEAN,ANN_ROLL,2021,45202,,,'')":-743.0,"BA-US^FE_ESTIMATE(PTX_INC,MEAN,ANN_ROLL,2025,45202,,,'')":8127.9478,"BA-US^FE_ESTIMATE(PTX_INC,MEAN,ANN_ROLL,2024,45202,,,'')":5180.624,"BA-US^FE_ESTIMATE(PTX_INC,MEAN,ANN_ROLL,2023,45202,,,'')":-408.3141,"BA-US^FE_ESTIMATE(PTX_INC,MEAN,ANN_ROLL,2022,45202,,,'')":-5116.316,"BA-US^FE_ESTIMATE(PTX_INC,MEAN,ANN_ROLL,2021,45202,,,'')":-5117.8315,"BA-US^FE_ESTIMATE(INT_EXP,MEAN,ANN_ROLL,2025,45202,,,'')":1989.3014,"BA-US^FE_ESTIMATE(INT_EXP,MEAN,ANN_ROLL,2024,45202,,,'')":2231.7407,"BA-US^FE_ESTIMATE(INT_EXP,MEAN,ANN_ROLL,2023,45202,,,'')":2459.3608,"BA-US^FE_ESTIMATE(INT_EXP,MEAN,ANN_ROLL,2022,45202,,,'')":2533.0,"BA-US^FE_ESTIMATE(INT_EXP,MEAN,ANN_ROLL,2021,45202,,,'')":2682.0,"BA-US^FE_ESTIMATE(EBITDA,MEAN,ANN_ROLL,2021,45202,,,'')":-748.5376,"BA-US^FE_ESTIMATE(FCFPS,MEAN,QTR_ROLL,2023/3F,45219,,,'')":-0.352527,"BA-US^FE_ESTIMATE(FCF,MEAN,QTR_ROLL,2023/3F,45219,,,'')":-266.65662,"BA-US^FE_ESTIMATE(CAPEX,MEAN,QTR_ROLL,2023/3F,45219,,,'')":346.77872,"BA-US^FE_ESTIMATE(CF_OP,MEAN,QTR_ROLL,2023/3F,45219,,,'')":68.75,"BA-US^FE_ESTIMATE(NET_DEBT,MEAN,QTR_ROLL,2023/3F,45219,,,'')":38810.5,"BA-US^FE_ESTIMATE(DEBT,MEAN,QTR_ROLL,2023/3F,45219,,,'')":52328.5,"BA-US^FE_ESTIMATE(CASH_ST,MEAN,QTR_ROLL,2023/3F,45219,,,'')":6963.0,"BA-US^FE_ESTIMATE(DPS,MEAN,QTR_ROLL,2023/3F,45219,,,'')":0.125,"BA-US^FE_ESTIMATE(EPS_GAAP,MEAN,QTR_ROLL,2023/3F,45219,,,'')":-2.6626854,"BA-US^FE_ESTIMATE(NET_INC_REP,MEAN,QTR_ROLL,2023/3F,45219,,,'')":-1517.5803,"BA-US^FE_ESTIMATE(PTX_INC_REP,MEAN,QTR_ROLL,2023/3F,45219,,,'')":-794.6583,"BA-US^FE_ESTIMATE(EBITDA_REP,MEAN,QTR_ROLL,2023/3F,45219,,,'')":169.14146,"BA-US^FE_ESTIMATE(EPS,MEAN,QTR_ROLL,2023/3F,45219,,,'')":-3.179705,"BA-US^FE_ESTIMATE(NET_INC,MEAN,QTR_ROLL,2023/3F,45219,,,'')":-1501.6818,"BA-US^FE_VALUATION(TAX_RATE,MEAN,QTR_ROLL,2023/3F,45219,,,'')/100":-0.0072433283,"BA-US^FE_ESTIMATE(INC_TAX,MEAN,QTR_ROLL,2023/3F,45219,,,'')":567.9167,"BA-US^FE_ESTIMATE(PTX_INC,MEAN,QTR_ROLL,2023/3F,45219,,,'')":-784.0549,"BA-US^FE_ESTIMATE(INT_EXP,MEAN,QTR_ROLL,2023/3F,45219,,,'')":599.6,"BA-US^FE_ESTIMATE(EBIT,MEAN,QTR_ROLL,2023/3F,45219,,,'')":-400.35132,"BA-US^FE_ESTIMATE(DEP_AMORT_EXP,MEAN,QTR_ROLL,2023/3F,45219,,,'')":487.66666,"BA-US^FE_ESTIMATE(EBITDA,MEAN,QTR_ROLL,2023/3F,45219,,,'')":169.14146,"BA-US^FE_ESTIMATE(EBITDAR,MEAN,QTR_ROLL,2023/3F,45219,,,'')":null,"BA-US^FE_ESTIMATE(OPER_EXP,MEAN,QTR_ROLL,2023/3F,45219,,,'')":null,"BA-US^FE_ESTIMATE(RD_EXP,MEAN,QTR_ROLL,2023/3F,45219,,,'')":760.7143,"BA-US^FE_ESTIMATE(G_A_EXP,MEAN,QTR_ROLL,2023/3F,45219,,,'')":928.0,"BA-US^FE_ESTIMATE(SGA,MEAN,QTR_ROLL,2023/3F,45219,,,'')":1241.3334,"BA-US^FE_VALUATION(GROSS_MARGIN,MEAN,QTR_ROLL,2023/3F,45219,,,'')/100":0.08398602,"BA-US^FE_ESTIMATE(GROSS_INC,MEAN,QTR_ROLL,2023/3F,45219,,,'')":1516.75,"BA-US^FE_ESTIMATE(COS,MEAN,QTR_ROLL,2023/3F,45219,,,'')":16246.833,"BA-US^FE_ESTIMATE(SALES,MEAN,QTR_ROLL,2023/3F,45219,,,'')":18059.553,"BA-US^FE_ESTIMATE(FCFPS,MEAN,QTR_ROLL,2023/3F,45223,,,'')":-0.352527,"BA-US^FE_ESTIMATE(FCF,MEAN,QTR_ROLL,2023/3F,45223,,,'')":-266.65662,"BA-US^FE_ESTIMATE(CAPEX,MEAN,QTR_ROLL,2023/3F,45223,,,'')":346.77872,"BA-US^FE_ESTIMATE(CF_OP,MEAN,QTR_ROLL,2023/3F,45223,,,'')":68.75,"BA-US^FE_ESTIMATE(NET_DEBT,MEAN,QTR_ROLL,2023/3F,45223,,,'')":38810.5,"BA-US^FE_ESTIMATE(DEBT,MEAN,QTR_ROLL,2023/3F,45223,,,'')":52328.5,"BA-US^FE_ESTIMATE(CASH_ST,MEAN,QTR_ROLL,2023/3F,45223,,,'')":6963.0,"BA-US^FE_ESTIMATE(DPS,MEAN,QTR_ROLL,2023/3F,45223,,,'')":0.125,"BA-US^FE_ESTIMATE(EPS_GAAP,MEAN,QTR_ROLL,2023/3F,45223,,,'')":-2.6642237,"BA-US^FE_ESTIMATE(NET_INC_REP,MEAN,QTR_ROLL,2023/3F,45223,,,'')":-1518.5034,"BA-US^FE_ESTIMATE(PTX_INC_REP,MEAN,QTR_ROLL,2023/3F,45223,,,'')":-794.6583,"BA-US^FE_ESTIMATE(EBITDA_REP,MEAN,QTR_ROLL,2023/3F,45223,,,'')":168.14146,"BA-US^FE_ESTIMATE(EPS,MEAN,QTR_ROLL,2023/3F,45223,,,'')":-3.1810381,"BA-US^FE_ESTIMATE(NET_INC,MEAN,QTR_ROLL,2023/3F,45223,,,'')":-1502.5388,"BA-US^FE_VALUATION(TAX_RATE,MEAN,QTR_ROLL,2023/3F,45223,,,'')/100":-0.007237761,"BA-US^FE_ESTIMATE(INC_TAX,MEAN,QTR_ROLL,2023/3F,45223,,,'')":568.0833,"BA-US^FE_ESTIMATE(PTX_INC,MEAN,QTR_ROLL,2023/3F,45223,,,'')":-784.8882,"BA-US^FE_ESTIMATE(INT_EXP,MEAN,QTR_ROLL,2023/3F,45223,,,'')":599.6,"BA-US^FE_ESTIMATE(EBIT,MEAN,QTR_ROLL,2023/3F,45223,,,'')":-400.6671,"BA-US^FE_ESTIMATE(DEP_AMORT_EXP,MEAN,QTR_ROLL,2023/3F,45223,,,'')":487.66666,"BA-US^FE_ESTIMATE(EBITDA,MEAN,QTR_ROLL,2023/3F,45223,,,'')":168.14146,"BA-US^FE_ESTIMATE(EBITDAR,MEAN,QTR_ROLL,2023/3F,45223,,,'')":null,"BA-US^FE_ESTIMATE(OPER_EXP,MEAN,QTR_ROLL,2023/3F,45223,,,'')":null,"BA-US^FE_ESTIMATE(RD_EXP,MEAN,QTR_ROLL,2023/3F,45223,,,'')":760.7143,"BA-US^FE_ESTIMATE(G_A_EXP,MEAN,QTR_ROLL,2023/3F,45223,,,'')":928.0,"BA-US^FE_ESTIMATE(SGA,MEAN,QTR_ROLL,2023/3F,45223,,,'')":1241.3334,"BA-US^FE_VALUATION(GROSS_MARGIN,MEAN,QTR_ROLL,2023/3F,45223,,,'')/100":0.08420205,"BA-US^FE_ESTIMATE(GROSS_INC,MEAN,QTR_ROLL,2023/3F,45223,,,'')":1516.75,"BA-US^FE_ESTIMATE(COS,MEAN,QTR_ROLL,2023/3F,45223,,,'')":16246.833,"BA-US^FE_ESTIMATE(SALES,MEAN,QTR_ROLL,2023/3F,45223,,,'')":18013.219,"BA-US^FE_ESTIMATE(FCFPS,MEAN,ANN_ROLL,2025,45223,,,'')":16.571272,"BA-US^FE_ESTIMATE(FCFPS,MEAN,ANN_ROLL,2024,45223,,,'')":10.804635,"BA-US^FE_ESTIMATE(FCFPS,MEAN,ANN_ROLL,2023,45223,,,'')":5.507901,"BA-US^FE_ESTIMATE(FCFPS,MEAN,ANN_ROLL,2022,45223,,,'')":4.023713,"BA-US^FE_ESTIMATE(FCFPS,MEAN,ANN_ROLL,2021,45223,,,'')":-6.8795238,"BA-US^FE_ESTIMATE(FCF,MEAN,ANN_ROLL,2025,45223,,,'')":10096.167,"BA-US^FE_ESTIMATE(FCF,MEAN,ANN_ROLL,2024,45223,,,'')":6576.6655,"BA-US^FE_ESTIMATE(FCF,MEAN,ANN_ROLL,2023,45223,,,'')":3350.455,"BA-US^FE_ESTIMATE(FCF,MEAN,ANN_ROLL,2022,45223,,,'')":2290.0,"BA-US^FE_ESTIMATE(FCF,MEAN,ANN_ROLL,2021,45223,,,'')":-3560.0,"BA-US^FE_ESTIMATE(DPS,MEAN,ANN_ROLL,2025,45223,,,'')":1.670426,"BA-US^FE_ESTIMATE(DPS,MEAN,ANN_ROLL,2024,45223,,,'')":0.8189008,"BA-US^FE_ESTIMATE(DPS,MEAN,ANN_ROLL,2023,45223,,,'')":0.2925,"BA-US^FE_ESTIMATE(DPS,MEAN,ANN_ROLL,2022,45223,,,'')":0.0,"BA-US^FE_ESTIMATE(DPS,MEAN,ANN_ROLL,2021,45223,,,'')":0.0,"BA-US^FE_ESTIMATE(EPS_GAAP,MEAN,ANN_ROLL,2025,45223,,,'')":11.057172,"BA-US^FE_ESTIMATE(EPS_GAAP,MEAN,ANN_ROLL,2024,45223,,,'')":6.5387397,"BA-US^FE_ESTIMATE(EPS_GAAP,MEAN,ANN_ROLL,2023,45223,,,'')":-2.209236,"BA-US^FE_ESTIMATE(EPS_GAAP,MEAN,ANN_ROLL,2022,45223,,,'')":-8.3,"BA-US^FE_ESTIMATE(EPS_GAAP,MEAN,ANN_ROLL,2021,45223,,,'')":-7.15,"BA-US^FE_ESTIMATE(NET_INC_REP,MEAN,ANN_ROLL,2025,45223,,,'')":6799.2485,"BA-US^FE_ESTIMATE(NET_INC_REP,MEAN,ANN_ROLL,2024,45223,,,'')":4315.077,"BA-US^FE_ESTIMATE(NET_INC_REP,MEAN,ANN_ROLL,2023,45223,,,'')":-1403.3965,"BA-US^FE_ESTIMATE(NET_INC_REP,MEAN,ANN_ROLL,2022,45223,,,'')":-4935.0,"BA-US^FE_ESTIMATE(NET_INC_REP,MEAN,ANN_ROLL,2021,45223,,,'')":-4202.0,"BA-US^FE_ESTIMATE(PTX_INC_REP,MEAN,ANN_ROLL,2025,45223,,,'')":7512.5786,"BA-US^FE_ESTIMATE(PTX_INC_REP,MEAN,ANN_ROLL,2024,45223,,,'')":4497.2754,"BA-US^FE_ESTIMATE(PTX_INC_REP,MEAN,ANN_ROLL,2023,45223,,,'')":-1205.3743,"BA-US^FE_ESTIMATE(PTX_INC_REP,MEAN,ANN_ROLL,2022,45223,,,'')":-5022.0,"BA-US^FE_ESTIMATE(PTX_INC_REP,MEAN,ANN_ROLL,2021,45223,,,'')":-6158.0,"BA-US^FE_ESTIMATE(EBITDA_REP,MEAN,ANN_ROLL,2025,45223,,,'')":11471.075,"BA-US^FE_ESTIMATE(EBITDA_REP,MEAN,ANN_ROLL,2024,45223,,,'')":8293.312,"BA-US^FE_ESTIMATE(EBITDA_REP,MEAN,ANN_ROLL,2023,45223,,,'')":2343.4146,"BA-US^FE_ESTIMATE(EBITDA_REP,MEAN,ANN_ROLL,2022,45223,,,'')":-1599.0416,"BA-US^FE_ESTIMATE(EBITDA_REP,MEAN,ANN_ROLL,2021,45223,,,'')":-747.6,"BA-US^FE_ESTIMATE(EPS,MEAN,ANN_ROLL,2025,45223,,,'')":9.202892,"BA-US^FE_ESTIMATE(EPS,MEAN,ANN_ROLL,2024,45223,,,'')":4.867997,"BA-US^FE_ESTIMATE(EPS,MEAN,ANN_ROLL,2023,45223,,,'')":-4.4534955,"BA-US^FE_ESTIMATE(EPS,MEAN,ANN_ROLL,2022,45223,,,'')":-11.06,"BA-US^FE_ESTIMATE(EPS,MEAN,ANN_ROLL,2021,45223,,,'')":-9.44,"BA-US^FE_ESTIMATE(NET_INC,MEAN,ANN_ROLL,2025,45223,,,'')":6652.7197,"BA-US^FE_ESTIMATE(NET_INC,MEAN,ANN_ROLL,2024,45223,,,'')":4300.5107,"BA-US^FE_ESTIMATE(NET_INC,MEAN,ANN_ROLL,2023,45223,,,'')":-1540.1555,"BA-US^FE_ESTIMATE(NET_INC,MEAN,ANN_ROLL,2022,45223,,,'')":-4935.0,"BA-US^FE_ESTIMATE(NET_INC,MEAN,ANN_ROLL,2021,45223,,,'')":-4202.0,"BA-US^FE_ESTIMATE(EBIT,MEAN,ANN_ROLL,2025,45223,,,'')":9300.347,"BA-US^FE_ESTIMATE(EBIT,MEAN,ANN_ROLL,2024,45223,,,'')":6287.5273,"BA-US^FE_ESTIMATE(EBIT,MEAN,ANN_ROLL,2023,45223,,,'')":129.82036,"BA-US^FE_ESTIMATE(EBIT,MEAN,ANN_ROLL,2022,45223,,,'')":-3547.0,"BA-US^FE_ESTIMATE(EBIT,MEAN,ANN_ROLL,2021,45223,,,'')":-2896.4656,"BA-US^FE_ESTIMATE(DEP_AMORT_EXP,MEAN,ANN_ROLL,2025,45223,,,'')":2050.4,"BA-US^FE_ESTIMATE(DEP_AMORT_EXP,MEAN,ANN_ROLL,2024,45223,,,'')":1989.091,"BA-US^FE_ESTIMATE(DEP_AMORT_EXP,MEAN,ANN_ROLL,2023,45223,,,'')":1926.4546,"BA-US^FE_ESTIMATE(DEP_AMORT_EXP,MEAN,ANN_ROLL,2022,45223,,,'')":1951.7778,"BA-US^FE_ESTIMATE(DEP_AMORT_EXP,MEAN,ANN_ROLL,2021,45223,,,'')":2154.889,"BA-US^FE_ESTIMATE(EBITDAR,MEAN,ANN_ROLL,2025,45223,,,'')":null,"BA-US^FE_ESTIMATE(EBITDAR,MEAN,ANN_ROLL,2024,45223,,,'')":null,"BA-US^FE_ESTIMATE(EBITDAR,MEAN,ANN_ROLL,2023,45223,,,'')":null,"BA-US^FE_ESTIMATE(EBITDAR,MEAN,ANN_ROLL,2022,45223,,,'')":null,"BA-US^FE_ESTIMATE(EBITDAR,MEAN,ANN_ROLL,2021,45223,,,'')":null,"BA-US^FE_ESTIMATE(OPER_EXP,MEAN,ANN_ROLL,2025,45223,,,'')":null,"BA-US^FE_ESTIMATE(OPER_EXP,MEAN,ANN_ROLL,2024,45223,,,'')":null,"BA-US^FE_ESTIMATE(OPER_EXP,MEAN,ANN_ROLL,2023,45223,,,'')":null,"BA-US^FE_ESTIMATE(OPER_EXP,MEAN,ANN_ROLL,2022,45223,,,'')":null,"BA-US^FE_ESTIMATE(OPER_EXP,MEAN,ANN_ROLL,2021,45223,,,'')":null,"BA-US^FE_ESTIMATE(RD_EXP,MEAN,ANN_ROLL,2025,45223,,,'')":2720.0,"BA-US^FE_ESTIMATE(RD_EXP,MEAN,ANN_ROLL,2024,45223,,,'')":3044.0,"BA-US^FE_ESTIMATE(RD_EXP,MEAN,ANN_ROLL,2023,45223,,,'')":2980.7144,"BA-US^FE_ESTIMATE(RD_EXP,MEAN,ANN_ROLL,2022,45223,,,'')":2825.3333,"BA-US^FE_ESTIMATE(RD_EXP,MEAN,ANN_ROLL,2021,45223,,,'')":2249.0,"BA-US^FE_ESTIMATE(G_A_EXP,MEAN,ANN_ROLL,2025,45223,,,'')":3513.5,"BA-US^FE_ESTIMATE(G_A_EXP,MEAN,ANN_ROLL,2024,45223,,,'')":3562.6667,"BA-US^FE_ESTIMATE(G_A_EXP,MEAN,ANN_ROLL,2023,45223,,,'')":4156.6665,"BA-US^FE_ESTIMATE(G_A_EXP,MEAN,ANN_ROLL,2022,45223,,,'')":4056.0,"BA-US^FE_ESTIMATE(G_A_EXP,MEAN,ANN_ROLL,2021,45223,,,'')":4157.0,"BA-US^FE_ESTIMATE(SGA,MEAN,ANN_ROLL,2025,45223,,,'')":6087.8438,"BA-US^FE_ESTIMATE(SGA,MEAN,ANN_ROLL,2024,45223,,,'')":5738.422,"BA-US^FE_ESTIMATE(SGA,MEAN,ANN_ROLL,2023,45223,,,'')":5211.4863,"BA-US^FE_ESTIMATE(SGA,MEAN,ANN_ROLL,2022,45223,,,'')":4187.0,"BA-US^FE_ESTIMATE(SGA,MEAN,ANN_ROLL,2021,45223,,,'')":4157.0,"BA-US^FE_VALUATION(GROSS_MARGIN,MEAN,ANN_ROLL,2025,45223,,,'')/100":0.14346297,"BA-US^FE_VALUATION(GROSS_MARGIN,MEAN,ANN_ROLL,2024,45223,,,'')/100":0.14866902,"BA-US^FE_VALUATION(GROSS_MARGIN,MEAN,ANN_ROLL,2023,45223,,,'')/100":0.101830095,"BA-US^FE_VALUATION(GROSS_MARGIN,MEAN,ANN_ROLL,2022,45223,,,'')/100":0.05598427,"BA-US^FE_VALUATION(GROSS_MARGIN,MEAN,ANN_ROLL,2021,45223,,,'')/100":0.054560147,"BA-US^FE_ESTIMATE(GROSS_INC,MEAN,ANN_ROLL,2025,45223,,,'')":14469.667,"BA-US^FE_ESTIMATE(GROSS_INC,MEAN,ANN_ROLL,2024,45223,,,'')":13503.2,"BA-US^FE_ESTIMATE(GROSS_INC,MEAN,ANN_ROLL,2023,45223,,,'')":7878.4,"BA-US^FE_ESTIMATE(GROSS_INC,MEAN,ANN_ROLL,2022,45223,,,'')":3729.0,"BA-US^FE_ESTIMATE(GROSS_INC,MEAN,ANN_ROLL,2021,45223,,,'')":3398.3333,"BA-US^FE_ESTIMATE(COS,MEAN,ANN_ROLL,2025,45223,,,'')":81972.016,"BA-US^FE_ESTIMATE(COS,MEAN,ANN_ROLL,2024,45223,,,'')":74271.664,"BA-US^FE_ESTIMATE(COS,MEAN,ANN_ROLL,2023,45223,,,'')":68359.13,"BA-US^FE_ESTIMATE(COS,MEAN,ANN_ROLL,2022,45223,,,'')":61865.25,"BA-US^FE_ESTIMATE(COS,MEAN,ANN_ROLL,2021,45223,,,'')":58749.145,"BA-US^FE_ESTIMATE(SALES,MEAN,ANN_ROLL,2025,45223,,,'')":100859.945,"BA-US^FE_ESTIMATE(SALES,MEAN,ANN_ROLL,2024,45223,,,'')":90827.266,"BA-US^FE_ESTIMATE(SALES,MEAN,ANN_ROLL,2023,45223,,,'')":77368.09,"BA-US^FE_ESTIMATE(SALES,MEAN,ANN_ROLL,2022,45223,,,'')":66608.0,"BA-US^FE_ESTIMATE(SALES,MEAN,ANN_ROLL,2021,45223,,,'')":62286.0,"BA-US^FE_VALUATION(TAX_RATE,MEAN,ANN_ROLL,2025,45223,,,'')/100":0.001739174,"BA-US^FE_VALUATION(TAX_RATE,MEAN,ANN_ROLL,2024,45223,,,'')/100":0.0016090604,"BA-US^FE_VALUATION(TAX_RATE,MEAN,ANN_ROLL,2023,45223,,,'')/100":-0.001554245,"BA-US^FE_VALUATION(TAX_RATE,MEAN,ANN_ROLL,2022,45223,,,'')/100":3.8287817E-06,"BA-US^FE_VALUATION(TAX_RATE,MEAN,ANN_ROLL,2021,45223,,,'')/100":0.0014517867,"BA-US^FE_ESTIMATE(INC_TAX,MEAN,ANN_ROLL,2025,45223,,,'')":1425.7778,"BA-US^FE_ESTIMATE(INC_TAX,MEAN,ANN_ROLL,2024,45223,,,'')":812.1667,"BA-US^FE_ESTIMATE(INC_TAX,MEAN,ANN_ROLL,2023,45223,,,'')":167.5,"BA-US^FE_ESTIMATE(INC_TAX,MEAN,ANN_ROLL,2022,45223,,,'')":-1.9166666,"BA-US^FE_ESTIMATE(INC_TAX,MEAN,ANN_ROLL,2021,45223,,,'')":-743.0,"BA-US^FE_ESTIMATE(PTX_INC,MEAN,ANN_ROLL,2025,45223,,,'')":8198.018,"BA-US^FE_ESTIMATE(PTX_INC,MEAN,ANN_ROLL,2024,45223,,,'')":5047.459,"BA-US^FE_ESTIMATE(PTX_INC,MEAN,ANN_ROLL,2023,45223,,,'')":-1077.6936,"BA-US^FE_ESTIMATE(PTX_INC,MEAN,ANN_ROLL,2022,45223,,,'')":-5005.9443,"BA-US^FE_ESTIMATE(PTX_INC,MEAN,ANN_ROLL,2021,45223,,,'')":-5117.8315,"BA-US^FE_ESTIMATE(INT_EXP,MEAN,ANN_ROLL,2025,45223,,,'')":1988.4126,"BA-US^FE_ESTIMATE(INT_EXP,MEAN,ANN_ROLL,2024,45223,,,'')":2240.128,"BA-US^FE_ESTIMATE(INT_EXP,MEAN,ANN_ROLL,2023,45223,,,'')":2460.6917,"BA-US^FE_ESTIMATE(INT_EXP,MEAN,ANN_ROLL,2022,45223,,,'')":2533.0,"BA-US^FE_ESTIMATE(INT_EXP,MEAN,ANN_ROLL,2021,45223,,,'')":2682.0,"BA-US^FE_ESTIMATE(EBITDA,MEAN,ANN_ROLL,2021,45223,,,'')":-748.5376,"BA-US^FE_ESTIMATE(FCFPS,MEAN,QTR_ROLL,2023/4F,45223,,,'')":2.898296,"BA-US^FE_ESTIMATE(FCF,MEAN,QTR_ROLL,2023/4F,45223,,,'')":1824.0188,"BA-US^FE_ESTIMATE(CAPEX,MEAN,QTR_ROLL,2023/4F,45223,,,'')":401.38962,"BA-US^FE_ESTIMATE(CF_OP,MEAN,QTR_ROLL,2023/4F,45223,,,'')":2223.5,"BA-US^FE_ESTIMATE(NET_DEBT,MEAN,QTR_ROLL,2023/4F,45223,,,'')":36895.5,"BA-US^FE_ESTIMATE(DEBT,MEAN,QTR_ROLL,2023/4F,45223,,,'')":52709.5,"BA-US^FE_ESTIMATE(CASH_ST,MEAN,QTR_ROLL,2023/4F,45223,,,'')":8125.1665,"BA-US^FE_ESTIMATE(DPS,MEAN,QTR_ROLL,2023/4F,45223,,,'')":0.125,"BA-US^FE_ESTIMATE(EPS_GAAP,MEAN,QTR_ROLL,2023/4F,45223,,,'')":0.78994834,"BA-US^FE_ESTIMATE(NET_INC_REP,MEAN,QTR_ROLL,2023/4F,45223,,,'')":629.60187,"BA-US^FE_ESTIMATE(PTX_INC_REP,MEAN,QTR_ROLL,2023/4F,45223,,,'')":-137.40163,"BA-US^FE_ESTIMATE(EBITDA_REP,MEAN,QTR_ROLL,2023/4F,45223,,,'')":1145.342,"BA-US^FE_ESTIMATE(EPS,MEAN,QTR_ROLL,2023/4F,45223,,,'')":0.3140873,"BA-US^FE_ESTIMATE(NET_INC,MEAN,QTR_ROLL,2023/4F,45223,,,'')":629.60187,"BA-US^FE_VALUATION(TAX_RATE,MEAN,QTR_ROLL,2023/4F,45223,,,'')/100":-0.0032700729,"BA-US^FE_ESTIMATE(INC_TAX,MEAN,QTR_ROLL,2023/4F,45223,,,'')":-115.916664,"BA-US^FE_ESTIMATE(PTX_INC,MEAN,QTR_ROLL,2023/4F,45223,,,'')":354.4773,"BA-US^FE_ESTIMATE(INT_EXP,MEAN,QTR_ROLL,2023/4F,45223,,,'')":592.7,"BA-US^FE_ESTIMATE(EBIT,MEAN,QTR_ROLL,2023/4F,45223,,,'')":650.4373,"BA-US^FE_ESTIMATE(DEP_AMORT_EXP,MEAN,QTR_ROLL,2023/4F,45223,,,'')":525.44446,"BA-US^FE_ESTIMATE(EBITDA,MEAN,QTR_ROLL,2023/4F,45223,,,'')":1145.342,"BA-US^FE_ESTIMATE(EBITDAR,MEAN,QTR_ROLL,2023/4F,45223,,,'')":null,"BA-US^FE_ESTIMATE(OPER_EXP,MEAN,QTR_ROLL,2023/4F,45223,,,'')":null,"BA-US^FE_ESTIMATE(RD_EXP,MEAN,QTR_ROLL,2023/4F,45223,,,'')":781.4286,"BA-US^FE_ESTIMATE(G_A_EXP,MEAN,QTR_ROLL,2023/4F,45223,,,'')":918.6667,"BA-US^FE_ESTIMATE(SGA,MEAN,QTR_ROLL,2023/4F,45223,,,'')":1450.0,"BA-US^FE_VALUATION(GROSS_MARGIN,MEAN,QTR_ROLL,2023/4F,45223,,,'')/100":0.12990956,"BA-US^FE_ESTIMATE(GROSS_INC,MEAN,QTR_ROLL,2023/4F,45223,,,'')":2808.0,"BA-US^FE_ESTIMATE(COS,MEAN,QTR_ROLL,2023/4F,45223,,,'')":18534.834,"BA-US^FE_ESTIMATE(SALES,MEAN,QTR_ROLL,2023/4F,45223,,,'')":21615.037,"BA-US^FE_ESTIMATE(FCFPS,MEAN,QTR_ROLL,2023/4F,44932,,,'')":null,"BA-US^FE_ESTIMATE(FCF,MEAN,QTR_ROLL,2023/4F,44932,,,'')":1730.5,"BA-US^FE_ESTIMATE(CAPEX,MEAN,QTR_ROLL,2023/4F,44932,,,'')":350.0,"BA-US^FE_ESTIMATE(CF_OP,MEAN,QTR_ROLL,2023/4F,44932,,,'')":1892.0,"BA-US^FE_ESTIMATE(NET_DEBT,MEAN,QTR_ROLL,2023/4F,44932,,,'')":null,"BA-US^FE_ESTIMATE(DEBT,MEAN,QTR_ROLL,2023/4F,44932,,,'')":null,"BA-US^FE_ESTIMATE(CASH_ST,MEAN,QTR_ROLL,2023/4F,44932,,,'')":11595.0,"BA-US^FE_ESTIMATE(DPS,MEAN,QTR_ROLL,2023/4F,44932,,,'')":0.75,"BA-US^FE_ESTIMATE(EPS_GAAP,MEAN,QTR_ROLL,2023/4F,44932,,,'')":2.054,"BA-US^FE_ESTIMATE(NET_INC_REP,MEAN,QTR_ROLL,2023/4F,44932,,,'')":1204.4,"BA-US^FE_ESTIMATE(PTX_INC_REP,MEAN,QTR_ROLL,2023/4F,44932,,,'')":null,"BA-US^FE_ESTIMATE(EBITDA_REP,MEAN,QTR_ROLL,2023/4F,44932,,,'')":2775.6667,"BA-US^FE_ESTIMATE(EPS,MEAN,QTR_ROLL,2023/4F,44932,,,'')":1.7533333,"BA-US^FE_ESTIMATE(NET_INC,MEAN,QTR_ROLL,2023/4F,44932,,,'')":1225.0,"BA-US^FE_VALUATION(TAX_RATE,MEAN,QTR_ROLL,2023/4F,44932,,,'')/100":0.0015832697,"BA-US^FE_ESTIMATE(INC_TAX,MEAN,QTR_ROLL,2023/4F,44932,,,'')":236.85715,"BA-US^FE_ESTIMATE(PTX_INC,MEAN,QTR_ROLL,2023/4F,44932,,,'')":1496.0,"BA-US^FE_ESTIMATE(INT_EXP,MEAN,QTR_ROLL,2023/4F,44932,,,'')":580.2857,"BA-US^FE_ESTIMATE(EBIT,MEAN,QTR_ROLL,2023/4F,44932,,,'')":2012.5,"BA-US^FE_ESTIMATE(DEP_AMORT_EXP,MEAN,QTR_ROLL,2023/4F,44932,,,'')":519.3333,"BA-US^FE_ESTIMATE(EBITDA,MEAN,QTR_ROLL,2023/4F,44932,,,'')":2492.711,"BA-US^FE_ESTIMATE(EBITDAR,MEAN,QTR_ROLL,2023/4F,44932,,,'')":null,"BA-US^FE_ESTIMATE(OPER_EXP,MEAN,QTR_ROLL,2023/4F,44932,,,'')":null,"BA-US^FE_ESTIMATE(RD_EXP,MEAN,QTR_ROLL,2023/4F,44932,,,'')":709.3333,"BA-US^FE_ESTIMATE(G_A_EXP,MEAN,QTR_ROLL,2023/4F,44932,,,'')":831.5,"BA-US^FE_ESTIMATE(SGA,MEAN,QTR_ROLL,2023/4F,44932,,,'')":1326.25,"BA-US^FE_VALUATION(GROSS_MARGIN,MEAN,QTR_ROLL,2023/4F,44932,,,'')/100":0.17984031,"BA-US^FE_ESTIMATE(GROSS_INC,MEAN,QTR_ROLL,2023/4F,44932,,,'')":4102.6665,"BA-US^FE_ESTIMATE(COS,MEAN,QTR_ROLL,2023/4F,44932,,,'')":18941.834,"BA-US^FE_ESTIMATE(SALES,MEAN,QTR_ROLL,2023/4F,44932,,,'')":22812.828,"BA-US^FE_ESTIMATE(FCFPS,MEAN,ANN_ROLL,2026,44932,,,'')":16.66,"BA-US^FE_ESTIMATE(FCFPS,MEAN,ANN_ROLL,2025,44932,,,'')":15.464,"BA-US^FE_ESTIMATE(FCFPS,MEAN,ANN_ROLL,2024,44932,,,'')":13.757713,"BA-US^FE_ESTIMATE(FCFPS,MEAN,ANN_ROLL,2023,44932,,,'')":10.355845,"BA-US^FE_ESTIMATE(FCF,MEAN,ANN_ROLL,2026,44932,,,'')":10239.6,"BA-US^FE_ESTIMATE(FCF,MEAN,ANN_ROLL,2025,44932,,,'')":9683.311,"BA-US^FE_ESTIMATE(FCF,MEAN,ANN_ROLL,2024,44932,,,'')":8193.772,"BA-US^FE_ESTIMATE(FCF,MEAN,ANN_ROLL,2023,44932,,,'')":5648.5947,"BA-US^FE_ESTIMATE(DPS,MEAN,ANN_ROLL,2026,44932,,,'')":1.0,"BA-US^FE_ESTIMATE(DPS,MEAN,ANN_ROLL,2025,44932,,,'')":4.0188956,"BA-US^FE_ESTIMATE(DPS,MEAN,ANN_ROLL,2024,44932,,,'')":2.6982713,"BA-US^FE_ESTIMATE(DPS,MEAN,ANN_ROLL,2023,44932,,,'')":1.4545455,"BA-US^FE_ESTIMATE(EPS_GAAP,MEAN,ANN_ROLL,2026,44932,,,'')":12.08,"BA-US^FE_ESTIMATE(EPS_GAAP,MEAN,ANN_ROLL,2025,44932,,,'')":10.8242855,"BA-US^FE_ESTIMATE(EPS_GAAP,MEAN,ANN_ROLL,2024,44932,,,'')":8.527739,"BA-US^FE_ESTIMATE(EPS_GAAP,MEAN,ANN_ROLL,2023,44932,,,'')":5.4813256,"BA-US^FE_ESTIMATE(NET_INC_REP,MEAN,ANN_ROLL,2026,44932,,,'')":7635.2,"BA-US^FE_ESTIMATE(NET_INC_REP,MEAN,ANN_ROLL,2025,44932,,,'')":6944.496,"BA-US^FE_ESTIMATE(NET_INC_REP,MEAN,ANN_ROLL,2024,44932,,,'')":5550.633,"BA-US^FE_ESTIMATE(NET_INC_REP,MEAN,ANN_ROLL,2023,44932,,,'')":3144.291,"BA-US^FE_ESTIMATE(PTX_INC_REP,MEAN,ANN_ROLL,2026,44932,,,'')":null,"BA-US^FE_ESTIMATE(PTX_INC_REP,MEAN,ANN_ROLL,2025,44932,,,'')":null,"BA-US^FE_ESTIMATE(PTX_INC_REP,MEAN,ANN_ROLL,2024,44932,,,'')":5229.887,"BA-US^FE_ESTIMATE(PTX_INC_REP,MEAN,ANN_ROLL,2023,44932,,,'')":2306.154,"BA-US^FE_ESTIMATE(EBITDA_REP,MEAN,ANN_ROLL,2026,44932,,,'')":12048.5,"BA-US^FE_ESTIMATE(EBITDA_REP,MEAN,ANN_ROLL,2025,44932,,,'')":12002.868,"BA-US^FE_ESTIMATE(EBITDA_REP,MEAN,ANN_ROLL,2024,44932,,,'')":10395.635,"BA-US^FE_ESTIMATE(EBITDA_REP,MEAN,ANN_ROLL,2023,44932,,,'')":7198.821,"BA-US^FE_ESTIMATE(EPS,MEAN,ANN_ROLL,2026,44932,,,'')":9.803333,"BA-US^FE_ESTIMATE(EPS,MEAN,ANN_ROLL,2025,44932,,,'')":8.940194,"BA-US^FE_ESTIMATE(EPS,MEAN,ANN_ROLL,2024,44932,,,'')":6.5899596,"BA-US^FE_ESTIMATE(EPS,MEAN,ANN_ROLL,2023,44932,,,'')":3.595698,"BA-US^FE_ESTIMATE(NET_INC,MEAN,ANN_ROLL,2026,44932,,,'')":7635.2,"BA-US^FE_ESTIMATE(NET_INC,MEAN,ANN_ROLL,2025,44932,,,'')":6800.559,"BA-US^FE_ESTIMATE(NET_INC,MEAN,ANN_ROLL,2024,44932,,,'')":5472.507,"BA-US^FE_ESTIMATE(NET_INC,MEAN,ANN_ROLL,2023,44932,,,'')":3129.1943,"BA-US^FE_VALUATION(TAX_RATE,MEAN,ANN_ROLL,2026,44932,,,'')/100":0.0015038472,"BA-US^FE_VALUATION(TAX_RATE,MEAN,ANN_ROLL,2025,44932,,,'')/100":0.0015944467,"BA-US^FE_VALUATION(TAX_RATE,MEAN,ANN_ROLL,2024,44932,,,'')/100":0.0016489908,"BA-US^FE_VALUATION(TAX_RATE,MEAN,ANN_ROLL,2023,44932,,,'')/100":0.0016849776,"BA-US^FE_ESTIMATE(INC_TAX,MEAN,ANN_ROLL,2026,44932,,,'')":1480.5,"BA-US^FE_ESTIMATE(INC_TAX,MEAN,ANN_ROLL,2025,44932,,,'')":1378.0,"BA-US^FE_ESTIMATE(INC_TAX,MEAN,ANN_ROLL,2024,44932,,,'')":1056.125,"BA-US^FE_ESTIMATE(INC_TAX,MEAN,ANN_ROLL,2023,44932,,,'')":625.1667,"BA-US^FE_ESTIMATE(PTX_INC,MEAN,ANN_ROLL,2026,44932,,,'')":9844.75,"BA-US^FE_ESTIMATE(PTX_INC,MEAN,ANN_ROLL,2025,44932,,,'')":8642.496,"BA-US^FE_ESTIMATE(PTX_INC,MEAN,ANN_ROLL,2024,44932,,,'')":6404.675,"BA-US^FE_ESTIMATE(PTX_INC,MEAN,ANN_ROLL,2023,44932,,,'')":3710.2375,"BA-US^FE_ESTIMATE(EBIT,MEAN,ANN_ROLL,2026,44932,,,'')":9509.667,"BA-US^FE_ESTIMATE(EBIT,MEAN,ANN_ROLL,2025,44932,,,'')":9052.053,"BA-US^FE_ESTIMATE(EBIT,MEAN,ANN_ROLL,2024,44932,,,'')":7733.023,"BA-US^FE_ESTIMATE(EBIT,MEAN,ANN_ROLL,2023,44932,,,'')":5378.136,"BA-US^FE_ESTIMATE(DEP_AMORT_EXP,MEAN,ANN_ROLL,2026,44932,,,'')":2128.3333,"BA-US^FE_ESTIMATE(DEP_AMORT_EXP,MEAN,ANN_ROLL,2025,44932,,,'')":2080.5,"BA-US^FE_ESTIMATE(DEP_AMORT_EXP,MEAN,ANN_ROLL,2024,44932,,,'')":2079.0,"BA-US^FE_ESTIMATE(DEP_AMORT_EXP,MEAN,ANN_ROLL,2023,44932,,,'')":2051.8,"BA-US^FE_ESTIMATE(EBITDAR,MEAN,ANN_ROLL,2026,44932,,,'')":null,"BA-US^FE_ESTIMATE(EBITDAR,MEAN,ANN_ROLL,2025,44932,,,'')":null,"BA-US^FE_ESTIMATE(EBITDAR,MEAN,ANN_ROLL,2024,44932,,,'')":null,"BA-US^FE_ESTIMATE(EBITDAR,MEAN,ANN_ROLL,2023,44932,,,'')":null,"BA-US^FE_ESTIMATE(OPER_EXP,MEAN,ANN_ROLL,2026,44932,,,'')":null,"BA-US^FE_ESTIMATE(OPER_EXP,MEAN,ANN_ROLL,2025,44932,,,'')":null,"BA-US^FE_ESTIMATE(OPER_EXP,MEAN,ANN_ROLL,2024,44932,,,'')":null,"BA-US^FE_ESTIMATE(OPER_EXP,MEAN,ANN_ROLL,2023,44932,,,'')":null,"BA-US^FE_ESTIMATE(RD_EXP,MEAN,ANN_ROLL,2026,44932,,,'')":3300.0,"BA-US^FE_ESTIMATE(RD_EXP,MEAN,ANN_ROLL,2025,44932,,,'')":3161.0,"BA-US^FE_ESTIMATE(RD_EXP,MEAN,ANN_ROLL,2024,44932,,,'')":2997.2,"BA-US^FE_ESTIMATE(RD_EXP,MEAN,ANN_ROLL,2023,44932,,,'')":2834.375,"BA-US^FE_ESTIMATE(G_A_EXP,MEAN,ANN_ROLL,2026,44932,,,'')":null,"BA-US^FE_ESTIMATE(G_A_EXP,MEAN,ANN_ROLL,2025,44932,,,'')":null,"BA-US^FE_ESTIMATE(G_A_EXP,MEAN,ANN_ROLL,2024,44932,,,'')":3397.0,"BA-US^FE_ESTIMATE(G_A_EXP,MEAN,ANN_ROLL,2023,44932,,,'')":3188.0,"BA-US^FE_ESTIMATE(SGA,MEAN,ANN_ROLL,2026,44932,,,'')":4673.0,"BA-US^FE_ESTIMATE(SGA,MEAN,ANN_ROLL,2025,44932,,,'')":5591.5,"BA-US^FE_ESTIMATE(SGA,MEAN,ANN_ROLL,2024,44932,,,'')":5063.299,"BA-US^FE_ESTIMATE(SGA,MEAN,ANN_ROLL,2023,44932,,,'')":4904.9453,"BA-US^FE_VALUATION(GROSS_MARGIN,MEAN,ANN_ROLL,2026,44932,,,'')/100":null,"BA-US^FE_VALUATION(GROSS_MARGIN,MEAN,ANN_ROLL,2025,44932,,,'')/100":0.21641995,"BA-US^FE_VALUATION(GROSS_MARGIN,MEAN,ANN_ROLL,2024,44932,,,'')/100":0.15749976,"BA-US^FE_VALUATION(GROSS_MARGIN,MEAN,ANN_ROLL,2023,44932,,,'')/100":0.15788846,"BA-US^FE_ESTIMATE(GROSS_INC,MEAN,ANN_ROLL,2026,44932,,,'')":null,"BA-US^FE_ESTIMATE(GROSS_INC,MEAN,ANN_ROLL,2025,44932,,,'')":21471.0,"BA-US^FE_ESTIMATE(GROSS_INC,MEAN,ANN_ROLL,2024,44932,,,'')":14700.333,"BA-US^FE_ESTIMATE(GROSS_INC,MEAN,ANN_ROLL,2023,44932,,,'')":12836.6,"BA-US^FE_ESTIMATE(COS,MEAN,ANN_ROLL,2026,44932,,,'')":103746.0,"BA-US^FE_ESTIMATE(COS,MEAN,ANN_ROLL,2025,44932,,,'')":91945.5,"BA-US^FE_ESTIMATE(COS,MEAN,ANN_ROLL,2024,44932,,,'')":79151.3,"BA-US^FE_ESTIMATE(COS,MEAN,ANN_ROLL,2023,44932,,,'')":69866.05,"BA-US^FE_ESTIMATE(SALES,MEAN,ANN_ROLL,2026,44932,,,'')":106589.836,"BA-US^FE_ESTIMATE(SALES,MEAN,ANN_ROLL,2025,44932,,,'')":99209.89,"BA-US^FE_ESTIMATE(SALES,MEAN,ANN_ROLL,2024,44932,,,'')":93335.586,"BA-US^FE_ESTIMATE(SALES,MEAN,ANN_ROLL,2023,44932,,,'')":81301.695,"BA-US^FE_ESTIMATE(INT_EXP,MEAN,ANN_ROLL,2026,44932,,,'')":1433.75,"BA-US^FE_ESTIMATE(INT_EXP,MEAN,ANN_ROLL,2025,44932,,,'')":1705.6666,"BA-US^FE_ESTIMATE(INT_EXP,MEAN,ANN_ROLL,2024,44932,,,'')":2012.8728,"BA-US^FE_ESTIMATE(INT_EXP,MEAN,ANN_ROLL,2023,44932,,,'')":2361.6807,"BA-US^FE_ESTIMATE(FCFPS,MEAN,QTR_ROLL,2023/4F,45297,,,'')":2.9205904,"BA-US^FE_ESTIMATE(FCF,MEAN,QTR_ROLL,2023/4F,45297,,,'')":1727.4802,"BA-US^FE_ESTIMATE(CAPEX,MEAN,QTR_ROLL,2023/4F,45297,,,'')":387.3049,"BA-US^FE_ESTIMATE(CF_OP,MEAN,QTR_ROLL,2023/4F,45297,,,'')":2115.5,"BA-US^FE_ESTIMATE(NET_DEBT,MEAN,QTR_ROLL,2023/4F,45297,,,'')":39206.0,"BA-US^FE_ESTIMATE(DEBT,MEAN,QTR_ROLL,2023/4F,45297,,,'')":52230.5,"BA-US^FE_ESTIMATE(CASH_ST,MEAN,QTR_ROLL,2023/4F,45297,,,'')":8129.6,"BA-US^FE_ESTIMATE(DPS,MEAN,QTR_ROLL,2023/4F,45297,,,'')":0.0,"BA-US^FE_ESTIMATE(EPS_GAAP,MEAN,QTR_ROLL,2023/4F,45297,,,'')":-0.40976664,"BA-US^FE_ESTIMATE(NET_INC_REP,MEAN,QTR_ROLL,2023/4F,45297,,,'')":-199.92401,"BA-US^FE_ESTIMATE(PTX_INC_REP,MEAN,QTR_ROLL,2023/4F,45297,,,'')":-104.98598,"BA-US^FE_ESTIMATE(EBITDA_REP,MEAN,QTR_ROLL,2023/4F,45297,,,'')":733.2806,"BA-US^FE_ESTIMATE(EPS,MEAN,QTR_ROLL,2023/4F,45297,,,'')":-0.93084884,"BA-US^FE_ESTIMATE(NET_INC,MEAN,QTR_ROLL,2023/4F,45297,,,'')":-221.37703,"BA-US^FE_VALUATION(TAX_RATE,MEAN,QTR_ROLL,2023/4F,45297,,,'')/100":-0.00013039609,"BA-US^FE_ESTIMATE(INC_TAX,MEAN,QTR_ROLL,2023/4F,45297,,,'')":2.6153846,"BA-US^FE_ESTIMATE(PTX_INC,MEAN,QTR_ROLL,2023/4F,45297,,,'')":-200.57233,"BA-US^FE_ESTIMATE(INT_EXP,MEAN,QTR_ROLL,2023/4F,45297,,,'')":597.8,"BA-US^FE_ESTIMATE(EBIT,MEAN,QTR_ROLL,2023/4F,45297,,,'')":76.68037,"BA-US^FE_ESTIMATE(DEP_AMORT_EXP,MEAN,QTR_ROLL,2023/4F,45297,,,'')":534.0,"BA-US^FE_ESTIMATE(EBITDA,MEAN,QTR_ROLL,2023/4F,45297,,,'')":733.2806,"BA-US^FE_ESTIMATE(EBITDAR,MEAN,QTR_ROLL,2023/4F,45297,,,'')":null,"BA-US^FE_ESTIMATE(OPER_EXP,MEAN,QTR_ROLL,2023/4F,45297,,,'')":null,"BA-US^FE_ESTIMATE(RD_EXP,MEAN,QTR_ROLL,2023/4F,45297,,,'')":820.25,"BA-US^FE_ESTIMATE(G_A_EXP,MEAN,QTR_ROLL,2023/4F,45297,,,'')":1128.6,"BA-US^FE_ESTIMATE(SGA,MEAN,QTR_ROLL,2023/4F,45297,,,'')":1387.6666,"BA-US^FE_VALUATION(GROSS_MARGIN,MEAN,QTR_ROLL,2023/4F,45297,,,'')/100":0.116210744,"BA-US^FE_ESTIMATE(GROSS_INC,MEAN,QTR_ROLL,2023/4F,45297,,,'')":2438.0,"BA-US^FE_ESTIMATE(COS,MEAN,QTR_ROLL,2023/4F,45297,,,'')":18600.715,"BA-US^FE_ESTIMATE(SALES,MEAN,QTR_ROLL,2023/4F,45297,,,'')":20979.127,"BA-US^FE_ESTIMATE(FCFPS,MEAN,ANN_ROLL,2026,45297,,,'')":19.096666,"BA-US^FE_ESTIMATE(FCFPS,MEAN,ANN_ROLL,2025,45297,,,'')":15.610291,"BA-US^FE_ESTIMATE(FCFPS,MEAN,ANN_ROLL,2024,45297,,,'')":9.80038,"BA-US^FE_ESTIMATE(FCFPS,MEAN,ANN_ROLL,2023,45297,,,'')":5.375855,"BA-US^FE_ESTIMATE(FCF,MEAN,ANN_ROLL,2026,45297,,,'')":11693.639,"BA-US^FE_ESTIMATE(FCF,MEAN,ANN_ROLL,2025,45297,,,'')":9438.767,"BA-US^FE_ESTIMATE(FCF,MEAN,ANN_ROLL,2024,45297,,,'')":5992.6274,"BA-US^FE_ESTIMATE(FCF,MEAN,ANN_ROLL,2023,45297,,,'')":3241.4746,"BA-US^FE_ESTIMATE(DPS,MEAN,ANN_ROLL,2026,45297,,,'')":2.2018661,"BA-US^FE_ESTIMATE(DPS,MEAN,ANN_ROLL,2025,45297,,,'')":1.3209283,"BA-US^FE_ESTIMATE(DPS,MEAN,ANN_ROLL,2024,45297,,,'')":0.3646096,"BA-US^FE_ESTIMATE(DPS,MEAN,ANN_ROLL,2023,45297,,,'')":0.0,"BA-US^FE_ESTIMATE(EPS_GAAP,MEAN,ANN_ROLL,2026,45297,,,'')":13.373341,"BA-US^FE_ESTIMATE(EPS_GAAP,MEAN,ANN_ROLL,2025,45297,,,'')":10.435578,"BA-US^FE_ESTIMATE(EPS_GAAP,MEAN,ANN_ROLL,2024,45297,,,'')":5.728155,"BA-US^FE_ESTIMATE(EPS_GAAP,MEAN,ANN_ROLL,2023,45297,,,'')":-4.046205,"BA-US^FE_ESTIMATE(NET_INC_REP,MEAN,ANN_ROLL,2026,45297,,,'')":8525.257,"BA-US^FE_ESTIMATE(NET_INC_REP,MEAN,ANN_ROLL,2025,45297,,,'')":6374.749,"BA-US^FE_ESTIMATE(NET_INC_REP,MEAN,ANN_ROLL,2024,45297,,,'')":3574.523,"BA-US^FE_ESTIMATE(NET_INC_REP,MEAN,ANN_ROLL,2023,45297,,,'')":-2443.1045,"BA-US^FE_ESTIMATE(PTX_INC_REP,MEAN,ANN_ROLL,2026,45297,,,'')":11633.205,"BA-US^FE_ESTIMATE(PTX_INC_REP,MEAN,ANN_ROLL,2025,45297,,,'')":6893.9155,"BA-US^FE_ESTIMATE(PTX_INC_REP,MEAN,ANN_ROLL,2024,45297,,,'')":3582.4324,"BA-US^FE_ESTIMATE(PTX_INC_REP,MEAN,ANN_ROLL,2023,45297,,,'')":-2126.0938,"BA-US^FE_ESTIMATE(EBITDA_REP,MEAN,ANN_ROLL,2026,45297,,,'')":13734.092,"BA-US^FE_ESTIMATE(EBITDA_REP,MEAN,ANN_ROLL,2025,45297,,,'')":10844.786,"BA-US^FE_ESTIMATE(EBITDA_REP,MEAN,ANN_ROLL,2024,45297,,,'')":7354.1055,"BA-US^FE_ESTIMATE(EBITDA_REP,MEAN,ANN_ROLL,2023,45297,,,'')":1285.7467,"BA-US^FE_ESTIMATE(EPS,MEAN,ANN_ROLL,2026,45297,,,'')":11.464665,"BA-US^FE_ESTIMATE(EPS,MEAN,ANN_ROLL,2025,45297,,,'')":8.757491,"BA-US^FE_ESTIMATE(EPS,MEAN,ANN_ROLL,2024,45297,,,'')":4.388354,"BA-US^FE_ESTIMATE(EPS,MEAN,ANN_ROLL,2023,45297,,,'')":-6.089672,"BA-US^FE_ESTIMATE(NET_INC,MEAN,ANN_ROLL,2026,45297,,,'')":8360.475,"BA-US^FE_ESTIMATE(NET_INC,MEAN,ANN_ROLL,2025,45297,,,'')":6283.8394,"BA-US^FE_ESTIMATE(NET_INC,MEAN,ANN_ROLL,2024,45297,,,'')":3575.6184,"BA-US^FE_ESTIMATE(NET_INC,MEAN,ANN_ROLL,2023,45297,,,'')":-2490.4204,"BA-US^FE_VALUATION(TAX_RATE,MEAN,ANN_ROLL,2026,45297,,,'')/100":0.001804419,"BA-US^FE_VALUATION(TAX_RATE,MEAN,ANN_ROLL,2025,45297,,,'')/100":0.0015284227,"BA-US^FE_VALUATION(TAX_RATE,MEAN,ANN_ROLL,2024,45297,,,'')/100":0.0013769752,"BA-US^FE_VALUATION(TAX_RATE,MEAN,ANN_ROLL,2023,45297,,,'')/100":-0.00069912104,"BA-US^FE_ESTIMATE(INC_TAX,MEAN,ANN_ROLL,2026,45297,,,'')":1853.8,"BA-US^FE_ESTIMATE(INC_TAX,MEAN,ANN_ROLL,2025,45297,,,'')":1160.9166,"BA-US^FE_ESTIMATE(INC_TAX,MEAN,ANN_ROLL,2024,45297,,,'')":563.5,"BA-US^FE_ESTIMATE(INC_TAX,MEAN,ANN_ROLL,2023,45297,,,'')":160.64285,"BA-US^FE_ESTIMATE(PTX_INC,MEAN,ANN_ROLL,2026,45297,,,'')":10273.667,"BA-US^FE_ESTIMATE(PTX_INC,MEAN,ANN_ROLL,2025,45297,,,'')":7595.5205,"BA-US^FE_ESTIMATE(PTX_INC,MEAN,ANN_ROLL,2024,45297,,,'')":4092.3035,"BA-US^FE_ESTIMATE(PTX_INC,MEAN,ANN_ROLL,2023,45297,,,'')":-2297.783,"BA-US^FE_ESTIMATE(EBIT,MEAN,ANN_ROLL,2026,45297,,,'')":10747.389,"BA-US^FE_ESTIMATE(EBIT,MEAN,ANN_ROLL,2025,45297,,,'')":8764.904,"BA-US^FE_ESTIMATE(EBIT,MEAN,ANN_ROLL,2024,45297,,,'')":5439.526,"BA-US^FE_ESTIMATE(EBIT,MEAN,ANN_ROLL,2023,45297,,,'')":-760.6211,"BA-US^FE_ESTIMATE(DEP_AMORT_EXP,MEAN,ANN_ROLL,2026,45297,,,'')":2146.8,"BA-US^FE_ESTIMATE(DEP_AMORT_EXP,MEAN,ANN_ROLL,2025,45297,,,'')":2034.613,"BA-US^FE_ESTIMATE(DEP_AMORT_EXP,MEAN,ANN_ROLL,2024,45297,,,'')":1932.4508,"BA-US^FE_ESTIMATE(DEP_AMORT_EXP,MEAN,ANN_ROLL,2023,45297,,,'')":1878.6923,"BA-US^FE_ESTIMATE(EBITDAR,MEAN,ANN_ROLL,2026,45297,,,'')":null,"BA-US^FE_ESTIMATE(EBITDAR,MEAN,ANN_ROLL,2025,45297,,,'')":null,"BA-US^FE_ESTIMATE(EBITDAR,MEAN,ANN_ROLL,2024,45297,,,'')":null,"BA-US^FE_ESTIMATE(EBITDAR,MEAN,ANN_ROLL,2023,45297,,,'')":null,"BA-US^FE_ESTIMATE(OPER_EXP,MEAN,ANN_ROLL,2026,45297,,,'')":null,"BA-US^FE_ESTIMATE(OPER_EXP,MEAN,ANN_ROLL,2025,45297,,,'')":null,"BA-US^FE_ESTIMATE(OPER_EXP,MEAN,ANN_ROLL,2024,45297,,,'')":null,"BA-US^FE_ESTIMATE(OPER_EXP,MEAN,ANN_ROLL,2023,45297,,,'')":null,"BA-US^FE_ESTIMATE(RD_EXP,MEAN,ANN_ROLL,2026,45297,,,'')":3080.0,"BA-US^FE_ESTIMATE(RD_EXP,MEAN,ANN_ROLL,2025,45297,,,'')":3284.5715,"BA-US^FE_ESTIMATE(RD_EXP,MEAN,ANN_ROLL,2024,45297,,,'')":3232.5,"BA-US^FE_ESTIMATE(RD_EXP,MEAN,ANN_ROLL,2023,45297,,,'')":3181.375,"BA-US^FE_ESTIMATE(G_A_EXP,MEAN,ANN_ROLL,2026,45297,,,'')":7045.0,"BA-US^FE_ESTIMATE(G_A_EXP,MEAN,ANN_ROLL,2025,45297,,,'')":5068.5,"BA-US^FE_ESTIMATE(G_A_EXP,MEAN,ANN_ROLL,2024,45297,,,'')":4715.3335,"BA-US^FE_ESTIMATE(G_A_EXP,MEAN,ANN_ROLL,2023,45297,,,'')":4548.6665,"BA-US^FE_ESTIMATE(SGA,MEAN,ANN_ROLL,2026,45297,,,'')":6585.5,"BA-US^FE_ESTIMATE(SGA,MEAN,ANN_ROLL,2025,45297,,,'')":6213.212,"BA-US^FE_ESTIMATE(SGA,MEAN,ANN_ROLL,2024,45297,,,'')":5738.5244,"BA-US^FE_ESTIMATE(SGA,MEAN,ANN_ROLL,2023,45297,,,'')":4988.9644,"BA-US^FE_VALUATION(GROSS_MARGIN,MEAN,ANN_ROLL,2026,45297,,,'')/100":0.2122543,"BA-US^FE_VALUATION(GROSS_MARGIN,MEAN,ANN_ROLL,2025,45297,,,'')/100":0.16388075,"BA-US^FE_VALUATION(GROSS_MARGIN,MEAN,ANN_ROLL,2024,45297,,,'')/100":0.14784122,"BA-US^FE_VALUATION(GROSS_MARGIN,MEAN,ANN_ROLL,2023,45297,,,'')/100":0.09506539,"BA-US^FE_ESTIMATE(GROSS_INC,MEAN,ANN_ROLL,2026,45297,,,'')":23432.0,"BA-US^FE_ESTIMATE(GROSS_INC,MEAN,ANN_ROLL,2025,45297,,,'')":16550.518,"BA-US^FE_ESTIMATE(GROSS_INC,MEAN,ANN_ROLL,2024,45297,,,'')":13372.66,"BA-US^FE_ESTIMATE(GROSS_INC,MEAN,ANN_ROLL,2023,45297,,,'')":7291.434,"BA-US^FE_ESTIMATE(COS,MEAN,ANN_ROLL,2026,45297,,,'')":91125.5,"BA-US^FE_ESTIMATE(COS,MEAN,ANN_ROLL,2025,45297,,,'')":82848.79,"BA-US^FE_ESTIMATE(COS,MEAN,ANN_ROLL,2024,45297,,,'')":75667.73,"BA-US^FE_ESTIMATE(COS,MEAN,ANN_ROLL,2023,45297,,,'')":68723.43,"BA-US^FE_ESTIMATE(SALES,MEAN,ANN_ROLL,2026,45297,,,'')":110395.875,"BA-US^FE_ESTIMATE(SALES,MEAN,ANN_ROLL,2025,45297,,,'')":100991.23,"BA-US^FE_ESTIMATE(SALES,MEAN,ANN_ROLL,2024,45297,,,'')":90452.85,"BA-US^FE_ESTIMATE(SALES,MEAN,ANN_ROLL,2023,45297,,,'')":76699.14,"BA-US^FE_ESTIMATE(INT_EXP,MEAN,ANN_ROLL,2026,45297,,,'')":1687.5,"BA-US^FE_ESTIMATE(INT_EXP,MEAN,ANN_ROLL,2025,45297,,,'')":2060.233,"BA-US^FE_ESTIMATE(INT_EXP,MEAN,ANN_ROLL,2024,45297,,,'')":2261.594,"BA-US^FE_ESTIMATE(INT_EXP,MEAN,ANN_ROLL,2023,45297,,,'')":2435.774,"BA-US^FE_ESTIMATE(FCFPS,MEAN,QTR_ROLL,2023/4F,45320,,,'')":3.3003383,"BA-US^FE_ESTIMATE(FCF,MEAN,QTR_ROLL,2023/4F,45320,,,'')":1907.458,"BA-US^FE_ESTIMATE(CAPEX,MEAN,QTR_ROLL,2023/4F,45320,,,'')":402.62686,"BA-US^FE_ESTIMATE(CF_OP,MEAN,QTR_ROLL,2023/4F,45320,,,'')":2288.1428,"BA-US^FE_ESTIMATE(NET_DEBT,MEAN,QTR_ROLL,2023/4F,45320,,,'')":39069.332,"BA-US^FE_ESTIMATE(DEBT,MEAN,QTR_ROLL,2023/4F,45320,,,'')":52230.5,"BA-US^FE_ESTIMATE(CASH_ST,MEAN,QTR_ROLL,2023/4F,45320,,,'')":8227.4,"BA-US^FE_ESTIMATE(DPS,MEAN,QTR_ROLL,2023/4F,45320,,,'')":0.0,"BA-US^FE_ESTIMATE(EPS_GAAP,MEAN,QTR_ROLL,2023/4F,45320,,,'')":-0.24477448,"BA-US^FE_ESTIMATE(NET_INC_REP,MEAN,QTR_ROLL,2023/4F,45320,,,'')":-164.089,"BA-US^FE_ESTIMATE(PTX_INC_REP,MEAN,QTR_ROLL,2023/4F,45320,,,'')":-149.91237,"BA-US^FE_ESTIMATE(EBITDA_REP,MEAN,QTR_ROLL,2023/4F,45320,,,'')":710.6946,"BA-US^FE_ESTIMATE(EPS,MEAN,QTR_ROLL,2023/4F,45320,,,'')":-0.77710515,"BA-US^FE_ESTIMATE(NET_INC,MEAN,QTR_ROLL,2023/4F,45320,,,'')":-188.27837,"BA-US^FE_VALUATION(TAX_RATE,MEAN,QTR_ROLL,2023/4F,45320,,,'')/100":0.00019491896,"BA-US^FE_ESTIMATE(INC_TAX,MEAN,QTR_ROLL,2023/4F,45320,,,'')":-3.2307692,"BA-US^FE_ESTIMATE(PTX_INC,MEAN,QTR_ROLL,2023/4F,45320,,,'')":-165.74936,"BA-US^FE_ESTIMATE(INT_EXP,MEAN,QTR_ROLL,2023/4F,45320,,,'')":597.9,"BA-US^FE_ESTIMATE(EBIT,MEAN,QTR_ROLL,2023/4F,45320,,,'')":130.89523,"BA-US^FE_ESTIMATE(DEP_AMORT_EXP,MEAN,QTR_ROLL,2023/4F,45320,,,'')":534.1429,"BA-US^FE_ESTIMATE(EBITDA,MEAN,QTR_ROLL,2023/4F,45320,,,'')":710.6946,"BA-US^FE_ESTIMATE(EBITDAR,MEAN,QTR_ROLL,2023/4F,45320,,,'')":null,"BA-US^FE_ESTIMATE(OPER_EXP,MEAN,QTR_ROLL,2023/4F,45320,,,'')":null,"BA-US^FE_ESTIMATE(RD_EXP,MEAN,QTR_ROLL,2023/4F,45320,,,'')":823.625,"BA-US^FE_ESTIMATE(G_A_EXP,MEAN,QTR_ROLL,2023/4F,45320,,,'')":1144.8,"BA-US^FE_ESTIMATE(SGA,MEAN,QTR_ROLL,2023/4F,45320,,,'')":1396.0,"BA-US^FE_VALUATION(GROSS_MARGIN,MEAN,QTR_ROLL,2023/4F,45320,,,'')/100":0.114414304,"BA-US^FE_ESTIMATE(GROSS_INC,MEAN,QTR_ROLL,2023/4F,45320,,,'')":2423.75,"BA-US^FE_ESTIMATE(COS,MEAN,QTR_ROLL,2023/4F,45320,,,'')":18820.285,"BA-US^FE_ESTIMATE(SALES,MEAN,QTR_ROLL,2023/4F,45320,,,'')":21183.977,"BA-US^FE_ESTIMATE(FCFPS,MEAN,ANN_ROLL,2026,45320,,,'')":18.911112,"BA-US^FE_ESTIMATE(FCFPS,MEAN,ANN_ROLL,2025,45320,,,'')":15.580074,"BA-US^FE_ESTIMATE(FCFPS,MEAN,ANN_ROLL,2024,45320,,,'')":9.2658,"BA-US^FE_ESTIMATE(FCFPS,MEAN,ANN_ROLL,2023,45320,,,'')":5.5565534,"BA-US^FE_ESTIMATE(FCFPS,MEAN,ANN_ROLL,2022,45320,,,'')":4.023713,"BA-US^FE_ESTIMATE(FCFPS,MEAN,ANN_ROLL,2021,45320,,,'')":-6.8795238,"BA-US^FE_ESTIMATE(FCF,MEAN,ANN_ROLL,2026,45320,,,'')":11321.402,"BA-US^FE_ESTIMATE(FCF,MEAN,ANN_ROLL,2025,45320,,,'')":9407.518,"BA-US^FE_ESTIMATE(FCF,MEAN,ANN_ROLL,2024,45320,,,'')":5716.878,"BA-US^FE_ESTIMATE(FCF,MEAN,ANN_ROLL,2023,45320,,,'')":3357.625,"BA-US^FE_ESTIMATE(FCF,MEAN,ANN_ROLL,2022,45320,,,'')":2290.0,"BA-US^FE_ESTIMATE(FCF,MEAN,ANN_ROLL,2021,45320,,,'')":-3560.0,"BA-US^FE_ESTIMATE(DPS,MEAN,ANN_ROLL,2026,45320,,,'')":2.001866,"BA-US^FE_ESTIMATE(DPS,MEAN,ANN_ROLL,2025,45320,,,'')":1.1542617,"BA-US^FE_ESTIMATE(DPS,MEAN,ANN_ROLL,2024,45320,,,'')":0.39499372,"BA-US^FE_ESTIMATE(DPS,MEAN,ANN_ROLL,2023,45320,,,'')":0.0,"BA-US^FE_ESTIMATE(DPS,MEAN,ANN_ROLL,2022,45320,,,'')":0.0,"BA-US^FE_ESTIMATE(DPS,MEAN,ANN_ROLL,2021,45320,,,'')":0.0,"BA-US^FE_ESTIMATE(EPS_GAAP,MEAN,ANN_ROLL,2026,45320,,,'')":13.506486,"BA-US^FE_ESTIMATE(EPS_GAAP,MEAN,ANN_ROLL,2025,45320,,,'')":10.444811,"BA-US^FE_ESTIMATE(EPS_GAAP,MEAN,ANN_ROLL,2024,45320,,,'')":5.386151,"BA-US^FE_ESTIMATE(EPS_GAAP,MEAN,ANN_ROLL,2023,45320,,,'')":-3.914469,"BA-US^FE_ESTIMATE(EPS_GAAP,MEAN,ANN_ROLL,2022,45320,,,'')":-8.3,"BA-US^FE_ESTIMATE(EPS_GAAP,MEAN,ANN_ROLL,2021,45320,,,'')":-7.15,"BA-US^FE_ESTIMATE(NET_INC_REP,MEAN,ANN_ROLL,2026,45320,,,'')":8444.463,"BA-US^FE_ESTIMATE(NET_INC_REP,MEAN,ANN_ROLL,2025,45320,,,'')":6342.206,"BA-US^FE_ESTIMATE(NET_INC_REP,MEAN,ANN_ROLL,2024,45320,,,'')":3451.577,"BA-US^FE_ESTIMATE(NET_INC_REP,MEAN,ANN_ROLL,2023,45320,,,'')":-2423.5452,"BA-US^FE_ESTIMATE(NET_INC_REP,MEAN,ANN_ROLL,2022,45320,,,'')":-4935.0,"BA-US^FE_ESTIMATE(NET_INC_REP,MEAN,ANN_ROLL,2021,45320,,,'')":-4202.0,"BA-US^FE_ESTIMATE(PTX_INC_REP,MEAN,ANN_ROLL,2026,45320,,,'')":11168.255,"BA-US^FE_ESTIMATE(PTX_INC_REP,MEAN,ANN_ROLL,2025,45320,,,'')":6738.9424,"BA-US^FE_ESTIMATE(PTX_INC_REP,MEAN,ANN_ROLL,2024,45320,,,'')":3265.2407,"BA-US^FE_ESTIMATE(PTX_INC_REP,MEAN,ANN_ROLL,2023,45320,,,'')":-2141.9292,"BA-US^FE_ESTIMATE(PTX_INC_REP,MEAN,ANN_ROLL,2022,45320,,,'')":-5022.0,"BA-US^FE_ESTIMATE(PTX_INC_REP,MEAN,ANN_ROLL,2021,45320,,,'')":-6158.0,"BA-US^FE_ESTIMATE(EBITDA_REP,MEAN,ANN_ROLL,2026,45320,,,'')":13292.708,"BA-US^FE_ESTIMATE(EBITDA_REP,MEAN,ANN_ROLL,2025,45320,,,'')":10646.021,"BA-US^FE_ESTIMATE(EBITDA_REP,MEAN,ANN_ROLL,2024,45320,,,'')":7051.8906,"BA-US^FE_ESTIMATE(EBITDA_REP,MEAN,ANN_ROLL,2023,45320,,,'')":1101.8649,"BA-US^FE_ESTIMATE(EBITDA_REP,MEAN,ANN_ROLL,2022,45320,,,'')":-1599.0416,"BA-US^FE_ESTIMATE(EBITDA_REP,MEAN,ANN_ROLL,2021,45320,,,'')":-747.6,"BA-US^FE_ESTIMATE(EPS,MEAN,ANN_ROLL,2026,45320,,,'')":11.398667,"BA-US^FE_ESTIMATE(EPS,MEAN,ANN_ROLL,2025,45320,,,'')":8.652256,"BA-US^FE_ESTIMATE(EPS,MEAN,ANN_ROLL,2024,45320,,,'')":4.0411177,"BA-US^FE_ESTIMATE(EPS,MEAN,ANN_ROLL,2023,45320,,,'')":-5.966512,"BA-US^FE_ESTIMATE(EPS,MEAN,ANN_ROLL,2022,45320,,,'')":-11.06,"BA-US^FE_ESTIMATE(EPS,MEAN,ANN_ROLL,2021,45320,,,'')":-9.44,"BA-US^FE_ESTIMATE(NET_INC,MEAN,ANN_ROLL,2026,45320,,,'')":8153.1553,"BA-US^FE_ESTIMATE(NET_INC,MEAN,ANN_ROLL,2025,45320,,,'')":6214.9634,"BA-US^FE_ESTIMATE(NET_INC,MEAN,ANN_ROLL,2024,45320,,,'')":3399.0857,"BA-US^FE_ESTIMATE(NET_INC,MEAN,ANN_ROLL,2023,45320,,,'')":-2423.5452,"BA-US^FE_ESTIMATE(NET_INC,MEAN,ANN_ROLL,2022,45320,,,'')":-4935.0,"BA-US^FE_ESTIMATE(NET_INC,MEAN,ANN_ROLL,2021,45320,,,'')":-4202.0,"BA-US^FE_VALUATION(TAX_RATE,MEAN,ANN_ROLL,2026,45320,,,'')/100":0.0017807429,"BA-US^FE_VALUATION(TAX_RATE,MEAN,ANN_ROLL,2025,45320,,,'')/100":0.0015230838,"BA-US^FE_VALUATION(TAX_RATE,MEAN,ANN_ROLL,2024,45320,,,'')/100":0.0014126138,"BA-US^FE_VALUATION(TAX_RATE,MEAN,ANN_ROLL,2023,45320,,,'')/100":-0.00068168633,"BA-US^FE_VALUATION(TAX_RATE,MEAN,ANN_ROLL,2022,45320,,,'')/100":3.8287817E-06,"BA-US^FE_VALUATION(TAX_RATE,MEAN,ANN_ROLL,2021,45320,,,'')/100":0.0014517867,"BA-US^FE_ESTIMATE(INC_TAX,MEAN,ANN_ROLL,2026,45320,,,'')":1783.2,"BA-US^FE_ESTIMATE(INC_TAX,MEAN,ANN_ROLL,2025,45320,,,'')":1144.0,"BA-US^FE_ESTIMATE(INC_TAX,MEAN,ANN_ROLL,2024,45320,,,'')":537.7143,"BA-US^FE_ESTIMATE(INC_TAX,MEAN,ANN_ROLL,2023,45320,,,'')":155.21428,"BA-US^FE_ESTIMATE(INC_TAX,MEAN,ANN_ROLL,2022,45320,,,'')":-1.9166666,"BA-US^FE_ESTIMATE(INC_TAX,MEAN,ANN_ROLL,2021,45320,,,'')":-743.0,"BA-US^FE_ESTIMATE(PTX_INC,MEAN,ANN_ROLL,2026,45320,,,'')":10013.798,"BA-US^FE_ESTIMATE(PTX_INC,MEAN,ANN_ROLL,2025,45320,,,'')":7511.077,"BA-US^FE_ESTIMATE(PTX_INC,MEAN,ANN_ROLL,2024,45320,,,'')":3806.5203,"BA-US^FE_ESTIMATE(PTX_INC,MEAN,ANN_ROLL,2023,45320,,,'')":-2276.9165,"BA-US^FE_ESTIMATE(PTX_INC,MEAN,ANN_ROLL,2022,45320,,,'')":-5005.9443,"BA-US^FE_ESTIMATE(PTX_INC,MEAN,ANN_ROLL,2021,45320,,,'')":-5117.8315,"BA-US^FE_ESTIMATE(INT_EXP,MEAN,ANN_ROLL,2026,45320,,,'')":1695.5,"BA-US^FE_ESTIMATE(INT_EXP,MEAN,ANN_ROLL,2025,45320,,,'')":2063.7712,"BA-US^FE_ESTIMATE(INT_EXP,MEAN,ANN_ROLL,2024,45320,,,'')":2263.671,"BA-US^FE_ESTIMATE(INT_EXP,MEAN,ANN_ROLL,2023,45320,,,'')":2435.8508,"BA-US^FE_ESTIMATE(INT_EXP,MEAN,ANN_ROLL,2022,45320,,,'')":2533.0,"BA-US^FE_ESTIMATE(INT_EXP,MEAN,ANN_ROLL,2021,45320,,,'')":2682.0,"BA-US^FE_ESTIMATE(EBIT,MEAN,ANN_ROLL,2026,45320,,,'')":10605.841,"BA-US^FE_ESTIMATE(EBIT,MEAN,ANN_ROLL,2025,45320,,,'')":8665.226,"BA-US^FE_ESTIMATE(EBIT,MEAN,ANN_ROLL,2024,45320,,,'')":5189.4785,"BA-US^FE_ESTIMATE(EBIT,MEAN,ANN_ROLL,2023,45320,,,'')":-1054.5568,"BA-US^FE_ESTIMATE(EBIT,MEAN,ANN_ROLL,2022,45320,,,'')":-3547.0,"BA-US^FE_ESTIMATE(EBIT,MEAN,ANN_ROLL,2021,45320,,,'')":-2896.4656,"BA-US^FE_ESTIMATE(DEP_AMORT_EXP,MEAN,ANN_ROLL,2026,45320,,,'')":2144.2,"BA-US^FE_ESTIMATE(DEP_AMORT_EXP,MEAN,ANN_ROLL,2025,45320,,,'')":2029.9177,"BA-US^FE_ESTIMATE(DEP_AMORT_EXP,MEAN,ANN_ROLL,2024,45320,,,'')":1926.2969,"BA-US^FE_ESTIMATE(DEP_AMORT_EXP,MEAN,ANN_ROLL,2023,45320,,,'')":1874.6085,"BA-US^FE_ESTIMATE(DEP_AMORT_EXP,MEAN,ANN_ROLL,2022,45320,,,'')":1951.7778,"BA-US^FE_ESTIMATE(DEP_AMORT_EXP,MEAN,ANN_ROLL,2021,45320,,,'')":2154.889,"BA-US^FE_ESTIMATE(EBITDAR,MEAN,ANN_ROLL,2026,45320,,,'')":null,"BA-US^FE_ESTIMATE(EBITDAR,MEAN,ANN_ROLL,2025,45320,,,'')":null,"BA-US^FE_ESTIMATE(EBITDAR,MEAN,ANN_ROLL,2024,45320,,,'')":null,"BA-US^FE_ESTIMATE(EBITDAR,MEAN,ANN_ROLL,2023,45320,,,'')":null,"BA-US^FE_ESTIMATE(EBITDAR,MEAN,ANN_ROLL,2022,45320,,,'')":null,"BA-US^FE_ESTIMATE(EBITDAR,MEAN,ANN_ROLL,2021,45320,,,'')":null,"BA-US^FE_ESTIMATE(OPER_EXP,MEAN,ANN_ROLL,2026,45320,,,'')":null,"BA-US^FE_ESTIMATE(OPER_EXP,MEAN,ANN_ROLL,2025,45320,,,'')":null,"BA-US^FE_ESTIMATE(OPER_EXP,MEAN,ANN_ROLL,2024,45320,,,'')":null,"BA-US^FE_ESTIMATE(OPER_EXP,MEAN,ANN_ROLL,2023,45320,,,'')":null,"BA-US^FE_ESTIMATE(OPER_EXP,MEAN,ANN_ROLL,2022,45320,,,'')":null,"BA-US^FE_ESTIMATE(OPER_EXP,MEAN,ANN_ROLL,2021,45320,,,'')":null,"BA-US^FE_ESTIMATE(RD_EXP,MEAN,ANN_ROLL,2026,45320,,,'')":3080.0,"BA-US^FE_ESTIMATE(RD_EXP,MEAN,ANN_ROLL,2025,45320,,,'')":3284.1428,"BA-US^FE_ESTIMATE(RD_EXP,MEAN,ANN_ROLL,2024,45320,,,'')":3224.625,"BA-US^FE_ESTIMATE(RD_EXP,MEAN,ANN_ROLL,2023,45320,,,'')":3184.75,"BA-US^FE_ESTIMATE(RD_EXP,MEAN,ANN_ROLL,2022,45320,,,'')":2825.3333,"BA-US^FE_ESTIMATE(RD_EXP,MEAN,ANN_ROLL,2021,45320,,,'')":2249.0,"BA-US^FE_ESTIMATE(G_A_EXP,MEAN,ANN_ROLL,2026,45320,,,'')":7045.0,"BA-US^FE_ESTIMATE(G_A_EXP,MEAN,ANN_ROLL,2025,45320,,,'')":5075.0,"BA-US^FE_ESTIMATE(G_A_EXP,MEAN,ANN_ROLL,2024,45320,,,'')":4702.5,"BA-US^FE_ESTIMATE(G_A_EXP,MEAN,ANN_ROLL,2023,45320,,,'')":4562.1665,"BA-US^FE_ESTIMATE(G_A_EXP,MEAN,ANN_ROLL,2022,45320,,,'')":4056.0,"BA-US^FE_ESTIMATE(G_A_EXP,MEAN,ANN_ROLL,2021,45320,,,'')":4157.0,"BA-US^FE_ESTIMATE(SGA,MEAN,ANN_ROLL,2026,45320,,,'')":6508.5,"BA-US^FE_ESTIMATE(SGA,MEAN,ANN_ROLL,2025,45320,,,'')":6189.5454,"BA-US^FE_ESTIMATE(SGA,MEAN,ANN_ROLL,2024,45320,,,'')":5700.0244,"BA-US^FE_ESTIMATE(SGA,MEAN,ANN_ROLL,2023,45320,,,'')":4997.564,"BA-US^FE_ESTIMATE(SGA,MEAN,ANN_ROLL,2022,45320,,,'')":4187.0,"BA-US^FE_ESTIMATE(SGA,MEAN,ANN_ROLL,2021,45320,,,'')":4157.0,"BA-US^FE_VALUATION(GROSS_MARGIN,MEAN,ANN_ROLL,2026,45320,,,'')/100":0.19840792,"BA-US^FE_VALUATION(GROSS_MARGIN,MEAN,ANN_ROLL,2025,45320,,,'')/100":0.16289641,"BA-US^FE_VALUATION(GROSS_MARGIN,MEAN,ANN_ROLL,2024,45320,,,'')/100":0.14669032,"BA-US^FE_VALUATION(GROSS_MARGIN,MEAN,ANN_ROLL,2023,45320,,,'')/100":0.09438955,"BA-US^FE_VALUATION(GROSS_MARGIN,MEAN,ANN_ROLL,2022,45320,,,'')/100":0.05598427,"BA-US^FE_VALUATION(GROSS_MARGIN,MEAN,ANN_ROLL,2021,45320,,,'')/100":0.054560147,"BA-US^FE_ESTIMATE(GROSS_INC,MEAN,ANN_ROLL,2026,45320,,,'')":21926.0,"BA-US^FE_ESTIMATE(GROSS_INC,MEAN,ANN_ROLL,2025,45320,,,'')":16396.275,"BA-US^FE_ESTIMATE(GROSS_INC,MEAN,ANN_ROLL,2024,45320,,,'')":13151.259,"BA-US^FE_ESTIMATE(GROSS_INC,MEAN,ANN_ROLL,2023,45320,,,'')":7256.8413,"BA-US^FE_ESTIMATE(GROSS_INC,MEAN,ANN_ROLL,2022,45320,,,'')":3729.0,"BA-US^FE_ESTIMATE(GROSS_INC,MEAN,ANN_ROLL,2021,45320,,,'')":3398.3333,"BA-US^FE_ESTIMATE(COS,MEAN,ANN_ROLL,2026,45320,,,'')":90723.5,"BA-US^FE_ESTIMATE(COS,MEAN,ANN_ROLL,2025,45320,,,'')":82994.89,"BA-US^FE_ESTIMATE(COS,MEAN,ANN_ROLL,2024,45320,,,'')":75602.34,"BA-US^FE_ESTIMATE(COS,MEAN,ANN_ROLL,2023,45320,,,'')":68891.375,"BA-US^FE_ESTIMATE(COS,MEAN,ANN_ROLL,2022,45320,,,'')":61865.25,"BA-US^FE_ESTIMATE(COS,MEAN,ANN_ROLL,2021,45320,,,'')":58749.145,"BA-US^FE_ESTIMATE(SALES,MEAN,ANN_ROLL,2026,45320,,,'')":110509.7,"BA-US^FE_ESTIMATE(SALES,MEAN,ANN_ROLL,2025,45320,,,'')":100654.62,"BA-US^FE_ESTIMATE(SALES,MEAN,ANN_ROLL,2024,45320,,,'')":89653.21,"BA-US^FE_ESTIMATE(SALES,MEAN,ANN_ROLL,2023,45320,,,'')":76881.82,"BA-US^FE_ESTIMATE(SALES,MEAN,ANN_ROLL,2022,45320,,,'')":66608.0,"BA-US^FE_ESTIMATE(SALES,MEAN,ANN_ROLL,2021,45320,,,'')":62286.0,"BA-US^FE_ESTIMATE(EBITDA,MEAN,ANN_ROLL,2021,45320,,,'')":-748.5376,"BA-US^FE_ESTIMATE(FCFPS,MEAN,QTR_ROLL,2023/4F,45321,,,'')":3.3003383,"BA-US^FE_ESTIMATE(FCF,MEAN,QTR_ROLL,2023/4F,45321,,,'')":1907.458,"BA-US^FE_ESTIMATE(CAPEX,MEAN,QTR_ROLL,2023/4F,45321,,,'')":402.62686,"BA-US^FE_ESTIMATE(CF_OP,MEAN,QTR_ROLL,2023/4F,45321,,,'')":2288.1428,"BA-US^FE_ESTIMATE(NET_DEBT,MEAN,QTR_ROLL,2023/4F,45321,,,'')":39069.332,"BA-US^FE_ESTIMATE(DEBT,MEAN,QTR_ROLL,2023/4F,45321,,,'')":52230.5,"BA-US^FE_ESTIMATE(CASH_ST,MEAN,QTR_ROLL,2023/4F,45321,,,'')":8227.4,"BA-US^FE_ESTIMATE(DPS,MEAN,QTR_ROLL,2023/4F,45321,,,'')":0.0,"BA-US^FE_ESTIMATE(EPS_GAAP,MEAN,QTR_ROLL,2023/4F,45321,,,'')":-0.24477448,"BA-US^FE_ESTIMATE(NET_INC_REP,MEAN,QTR_ROLL,2023/4F,45321,,,'')":-164.089,"BA-US^FE_ESTIMATE(PTX_INC_REP,MEAN,QTR_ROLL,2023/4F,45321,,,'')":-149.91237,"BA-US^FE_ESTIMATE(EBITDA_REP,MEAN,QTR_ROLL,2023/4F,45321,,,'')":710.6946,"BA-US^FE_ESTIMATE(EPS,MEAN,QTR_ROLL,2023/4F,45321,,,'')":-0.77710515,"BA-US^FE_ESTIMATE(NET_INC,MEAN,QTR_ROLL,2023/4F,45321,,,'')":-188.27837,"BA-US^FE_VALUATION(TAX_RATE,MEAN,QTR_ROLL,2023/4F,45321,,,'')/100":0.00019491896,"BA-US^FE_ESTIMATE(INC_TAX,MEAN,QTR_ROLL,2023/4F,45321,,,'')":-3.2307692,"BA-US^FE_ESTIMATE(PTX_INC,MEAN,QTR_ROLL,2023/4F,45321,,,'')":-165.74936,"BA-US^FE_ESTIMATE(INT_EXP,MEAN,QTR_ROLL,2023/4F,45321,,,'')":597.9,"BA-US^FE_ESTIMATE(EBIT,MEAN,QTR_ROLL,2023/4F,45321,,,'')":130.89523,"BA-US^FE_ESTIMATE(DEP_AMORT_EXP,MEAN,QTR_ROLL,2023/4F,45321,,,'')":534.1429,"BA-US^FE_ESTIMATE(EBITDA,MEAN,QTR_ROLL,2023/4F,45321,,,'')":710.6946,"BA-US^FE_ESTIMATE(EBITDAR,MEAN,QTR_ROLL,2023/4F,45321,,,'')":null,"BA-US^FE_ESTIMATE(OPER_EXP,MEAN,QTR_ROLL,2023/4F,45321,,,'')":null,"BA-US^FE_ESTIMATE(RD_EXP,MEAN,QTR_ROLL,2023/4F,45321,,,'')":823.625,"BA-US^FE_ESTIMATE(G_A_EXP,MEAN,QTR_ROLL,2023/4F,45321,,,'')":1144.8,"BA-US^FE_ESTIMATE(SGA,MEAN,QTR_ROLL,2023/4F,45321,,,'')":1396.0,"BA-US^FE_VALUATION(GROSS_MARGIN,MEAN,QTR_ROLL,2023/4F,45321,,,'')/100":0.114414304,"BA-US^FE_ESTIMATE(GROSS_INC,MEAN,QTR_ROLL,2023/4F,45321,,,'')":2423.75,"BA-US^FE_ESTIMATE(COS,MEAN,QTR_ROLL,2023/4F,45321,,,'')":18820.285,"BA-US^FE_ESTIMATE(SALES,MEAN,QTR_ROLL,2023/4F,45321,,,'')":21183.977,"BA-US^FE_ESTIMATE(FCFPS,MEAN,ANN_ROLL,2026,45321,,,'')":18.911112,"BA-US^FE_ESTIMATE(FCFPS,MEAN,ANN_ROLL,2025,45321,,,'')":15.580074,"BA-US^FE_ESTIMATE(FCFPS,MEAN,ANN_ROLL,2024,45321,,,'')":9.2658,"BA-US^FE_ESTIMATE(FCFPS,MEAN,ANN_ROLL,2023,45321,,,'')":5.5565534,"BA-US^FE_ESTIMATE(FCF,MEAN,ANN_ROLL,2026,45321,,,'')":11321.402,"BA-US^FE_ESTIMATE(FCF,MEAN,ANN_ROLL,2025,45321,,,'')":9407.518,"BA-US^FE_ESTIMATE(FCF,MEAN,ANN_ROLL,2024,45321,,,'')":5716.878,"BA-US^FE_ESTIMATE(FCF,MEAN,ANN_ROLL,2023,45321,,,'')":3357.625,"BA-US^FE_ESTIMATE(DPS,MEAN,ANN_ROLL,2026,45321,,,'')":2.001866,"BA-US^FE_ESTIMATE(DPS,MEAN,ANN_ROLL,2025,45321,,,'')":1.1542617,"BA-US^FE_ESTIMATE(DPS,MEAN,ANN_ROLL,2024,45321,,,'')":0.39499372,"BA-US^FE_ESTIMATE(DPS,MEAN,ANN_ROLL,2023,45321,,,'')":0.0,"BA-US^FE_ESTIMATE(EPS_GAAP,MEAN,ANN_ROLL,2026,45321,,,'')":13.506486,"BA-US^FE_ESTIMATE(EPS_GAAP,MEAN,ANN_ROLL,2025,45321,,,'')":10.444811,"BA-US^FE_ESTIMATE(EPS_GAAP,MEAN,ANN_ROLL,2024,45321,,,'')":5.386151,"BA-US^FE_ESTIMATE(EPS_GAAP,MEAN,ANN_ROLL,2023,45321,,,'')":-3.914469,"BA-US^FE_ESTIMATE(NET_INC_REP,MEAN,ANN_ROLL,2026,45321,,,'')":8444.463,"BA-US^FE_ESTIMATE(NET_INC_REP,MEAN,ANN_ROLL,2025,45321,,,'')":6342.206,"BA-US^FE_ESTIMATE(NET_INC_REP,MEAN,ANN_ROLL,2024,45321,,,'')":3451.577,"BA-US^FE_ESTIMATE(NET_INC_REP,MEAN,ANN_ROLL,2023,45321,,,'')":-2423.5452,"BA-US^FE_ESTIMATE(PTX_INC_REP,MEAN,ANN_ROLL,2026,45321,,,'')":11168.255,"BA-US^FE_ESTIMATE(PTX_INC_REP,MEAN,ANN_ROLL,2025,45321,,,'')":6738.9424,"BA-US^FE_ESTIMATE(PTX_INC_REP,MEAN,ANN_ROLL,2024,45321,,,'')":3265.2407,"BA-US^FE_ESTIMATE(PTX_INC_REP,MEAN,ANN_ROLL,2023,45321,,,'')":-2141.9292,"BA-US^FE_ESTIMATE(EBITDA_REP,MEAN,ANN_ROLL,2026,45321,,,'')":13292.708,"BA-US^FE_ESTIMATE(EBITDA_REP,MEAN,ANN_ROLL,2025,45321,,,'')":10646.021,"BA-US^FE_ESTIMATE(EBITDA_REP,MEAN,ANN_ROLL,2024,45321,,,'')":7051.8906,"BA-US^FE_ESTIMATE(EBITDA_REP,MEAN,ANN_ROLL,2023,45321,,,'')":1101.8649,"BA-US^FE_ESTIMATE(EPS,MEAN,ANN_ROLL,2026,45321,,,'')":11.398667,"BA-US^FE_ESTIMATE(EPS,MEAN,ANN_ROLL,2025,45321,,,'')":8.652256,"BA-US^FE_ESTIMATE(EPS,MEAN,ANN_ROLL,2024,45321,,,'')":4.0411177,"BA-US^FE_ESTIMATE(EPS,MEAN,ANN_ROLL,2023,45321,,,'')":-5.966512,"BA-US^FE_ESTIMATE(NET_INC,MEAN,ANN_ROLL,2026,45321,,,'')":8153.1553,"BA-US^FE_ESTIMATE(NET_INC,MEAN,ANN_ROLL,2025,45321,,,'')":6214.9634,"BA-US^FE_ESTIMATE(NET_INC,MEAN,ANN_ROLL,2024,45321,,,'')":3399.0857,"BA-US^FE_ESTIMATE(NET_INC,MEAN,ANN_ROLL,2023,45321,,,'')":-2423.5452,"BA-US^FE_VALUATION(TAX_RATE,MEAN,ANN_ROLL,2026,45321,,,'')/100":0.0017807429,"BA-US^FE_VALUATION(TAX_RATE,MEAN,ANN_ROLL,2025,45321,,,'')/100":0.0015230838,"BA-US^FE_VALUATION(TAX_RATE,MEAN,ANN_ROLL,2024,45321,,,'')/100":0.0014126138,"BA-US^FE_VALUATION(TAX_RATE,MEAN,ANN_ROLL,2023,45321,,,'')/100":-0.00068168633,"BA-US^FE_ESTIMATE(INC_TAX,MEAN,ANN_ROLL,2026,45321,,,'')":1783.2,"BA-US^FE_ESTIMATE(INC_TAX,MEAN,ANN_ROLL,2025,45321,,,'')":1144.0,"BA-US^FE_ESTIMATE(INC_TAX,MEAN,ANN_ROLL,2024,45321,,,'')":537.7143,"BA-US^FE_ESTIMATE(INC_TAX,MEAN,ANN_ROLL,2023,45321,,,'')":155.21428,"BA-US^FE_ESTIMATE(PTX_INC,MEAN,ANN_ROLL,2026,45321,,,'')":10013.798,"BA-US^FE_ESTIMATE(PTX_INC,MEAN,ANN_ROLL,2025,45321,,,'')":7511.077,"BA-US^FE_ESTIMATE(PTX_INC,MEAN,ANN_ROLL,2024,45321,,,'')":3806.5203,"BA-US^FE_ESTIMATE(PTX_INC,MEAN,ANN_ROLL,2023,45321,,,'')":-2276.9165,"BA-US^FE_ESTIMATE(EBIT,MEAN,ANN_ROLL,2026,45321,,,'')":10605.841,"BA-US^FE_ESTIMATE(EBIT,MEAN,ANN_ROLL,2025,45321,,,'')":8665.226,"BA-US^FE_ESTIMATE(EBIT,MEAN,ANN_ROLL,2024,45321,,,'')":5189.4785,"BA-US^FE_ESTIMATE(EBIT,MEAN,ANN_ROLL,2023,45321,,,'')":-1054.5568,"BA-US^FE_ESTIMATE(DEP_AMORT_EXP,MEAN,ANN_ROLL,2026,45321,,,'')":2144.2,"BA-US^FE_ESTIMATE(DEP_AMORT_EXP,MEAN,ANN_ROLL,2025,45321,,,'')":2029.9177,"BA-US^FE_ESTIMATE(DEP_AMORT_EXP,MEAN,ANN_ROLL,2024,45321,,,'')":1926.2969,"BA-US^FE_ESTIMATE(DEP_AMORT_EXP,MEAN,ANN_ROLL,2023,45321,,,'')":1874.6085,"BA-US^FE_ESTIMATE(EBITDAR,MEAN,ANN_ROLL,2026,45321,,,'')":null,"BA-US^FE_ESTIMATE(EBITDAR,MEAN,ANN_ROLL,2025,45321,,,'')":null,"BA-US^FE_ESTIMATE(EBITDAR,MEAN,ANN_ROLL,2024,45321,,,'')":null,"BA-US^FE_ESTIMATE(EBITDAR,MEAN,ANN_ROLL,2023,45321,,,'')":null,"BA-US^FE_ESTIMATE(OPER_EXP,MEAN,ANN_ROLL,2026,45321,,,'')":null,"BA-US^FE_ESTIMATE(OPER_EXP,MEAN,ANN_ROLL,2025,45321,,,'')":null,"BA-US^FE_ESTIMATE(OPER_EXP,MEAN,ANN_ROLL,2024,45321,,,'')":null,"BA-US^FE_ESTIMATE(OPER_EXP,MEAN,ANN_ROLL,2023,45321,,,'')":null,"BA-US^FE_ESTIMATE(RD_EXP,MEAN,ANN_ROLL,2026,45321,,,'')":3080.0,"BA-US^FE_ESTIMATE(RD_EXP,MEAN,ANN_ROLL,2025,45321,,,'')":3284.1428,"BA-US^FE_ESTIMATE(RD_EXP,MEAN,ANN_ROLL,2024,45321,,,'')":3224.625,"BA-US^FE_ESTIMATE(RD_EXP,MEAN,ANN_ROLL,2023,45321,,,'')":3184.75,"BA-US^FE_ESTIMATE(G_A_EXP,MEAN,ANN_ROLL,2026,45321,,,'')":7045.0,"BA-US^FE_ESTIMATE(G_A_EXP,MEAN,ANN_ROLL,2025,45321,,,'')":5075.0,"BA-US^FE_ESTIMATE(G_A_EXP,MEAN,ANN_ROLL,2024,45321,,,'')":4702.5,"BA-US^FE_ESTIMATE(G_A_EXP,MEAN,ANN_ROLL,2023,45321,,,'')":4562.1665,"BA-US^FE_ESTIMATE(SGA,MEAN,ANN_ROLL,2026,45321,,,'')":6508.5,"BA-US^FE_ESTIMATE(SGA,MEAN,ANN_ROLL,2025,45321,,,'')":6189.5454,"BA-US^FE_ESTIMATE(SGA,MEAN,ANN_ROLL,2024,45321,,,'')":5700.0244,"BA-US^FE_ESTIMATE(SGA,MEAN,ANN_ROLL,2023,45321,,,'')":4997.564,"BA-US^FE_VALUATION(GROSS_MARGIN,MEAN,ANN_ROLL,2026,45321,,,'')/100":0.19840792,"BA-US^FE_VALUATION(GROSS_MARGIN,MEAN,ANN_ROLL,2025,45321,,,'')/100":0.16289641,"BA-US^FE_VALUATION(GROSS_MARGIN,MEAN,ANN_ROLL,2024,45321,,,'')/100":0.14669032,"BA-US^FE_VALUATION(GROSS_MARGIN,MEAN,ANN_ROLL,2023,45321,,,'')/100":0.09438955,"BA-US^FE_ESTIMATE(GROSS_INC,MEAN,ANN_ROLL,2026,45321,,,'')":21926.0,"BA-US^FE_ESTIMATE(GROSS_INC,MEAN,ANN_ROLL,2025,45321,,,'')":16396.275,"BA-US^FE_ESTIMATE(GROSS_INC,MEAN,ANN_ROLL,2024,45321,,,'')":13151.259,"BA-US^FE_ESTIMATE(GROSS_INC,MEAN,ANN_ROLL,2023,45321,,,'')":7256.8413,"BA-US^FE_ESTIMATE(COS,MEAN,ANN_ROLL,2026,45321,,,'')":90723.5,"BA-US^FE_ESTIMATE(COS,MEAN,ANN_ROLL,2025,45321,,,'')":82994.89,"BA-US^FE_ESTIMATE(COS,MEAN,ANN_ROLL,2024,45321,,,'')":75602.34,"BA-US^FE_ESTIMATE(COS,MEAN,ANN_ROLL,2023,45321,,,'')":68891.375,"BA-US^FE_ESTIMATE(SALES,MEAN,ANN_ROLL,2026,45321,,,'')":110509.7,"BA-US^FE_ESTIMATE(SALES,MEAN,ANN_ROLL,2025,45321,,,'')":100654.62,"BA-US^FE_ESTIMATE(SALES,MEAN,ANN_ROLL,2024,45321,,,'')":89653.21,"BA-US^FE_ESTIMATE(SALES,MEAN,ANN_ROLL,2023,45321,,,'')":76881.82,"BA-US^FE_ESTIMATE(INT_EXP,MEAN,ANN_ROLL,2026,45321,,,'')":1695.5,"BA-US^FE_ESTIMATE(INT_EXP,MEAN,ANN_ROLL,2025,45321,,,'')":2063.7712,"BA-US^FE_ESTIMATE(INT_EXP,MEAN,ANN_ROLL,2024,45321,,,'')":2263.671,"BA-US^FE_ESTIMATE(INT_EXP,MEAN,ANN_ROLL,2023,45321,,,'')":2435.8508,"BA-US^AVG(P_PRICE(10/01/2023,12/31/2023))":213.520625,"BA-US^FE_ESTIMATE(FCFPS,MEAN,ANN_ROLL,2026,45323,,,'')":18.631514,"BA-US^FE_ESTIMATE(FCFPS,MEAN,ANN_ROLL,2025,45323,,,'')":14.670151,"BA-US^FE_ESTIMATE(FCFPS,MEAN,ANN_ROLL,2024,45323,,,'')":8.662399,"BA-US^FE_ESTIMATE(FCFPS,MEAN,ANN_ROLL,2023,45323,,,'')":7.334247,"BA-US^FE_ESTIMATE(FCFPS,MEAN,ANN_ROLL,2022,45323,,,'')":4.023713,"BA-US^FE_ESTIMATE(FCFPS,MEAN,ANN_ROLL,2021,45323,,,'')":-6.8795238,"BA-US^FE_ESTIMATE(FCF,MEAN,ANN_ROLL,2026,45323,,,'')":11260.523,"BA-US^FE_ESTIMATE(FCF,MEAN,ANN_ROLL,2025,45323,,,'')":9027.52,"BA-US^FE_ESTIMATE(FCF,MEAN,ANN_ROLL,2024,45323,,,'')":5463.106,"BA-US^FE_ESTIMATE(FCF,MEAN,ANN_ROLL,2023,45323,,,'')":4433.0,"BA-US^FE_ESTIMATE(FCF,MEAN,ANN_ROLL,2022,45323,,,'')":2290.0,"BA-US^FE_ESTIMATE(FCF,MEAN,ANN_ROLL,2021,45323,,,'')":-3560.0,"BA-US^FE_ESTIMATE(DPS,MEAN,ANN_ROLL,2026,45323,,,'')":2.7386663,"BA-US^FE_ESTIMATE(DPS,MEAN,ANN_ROLL,2025,45323,,,'')":1.1542617,"BA-US^FE_ESTIMATE(DPS,MEAN,ANN_ROLL,2024,45323,,,'')":0.39499372,"BA-US^FE_ESTIMATE(DPS,MEAN,ANN_ROLL,2023,45323,,,'')":0.0,"BA-US^FE_ESTIMATE(DPS,MEAN,ANN_ROLL,2022,45323,,,'')":0.0,"BA-US^FE_ESTIMATE(DPS,MEAN,ANN_ROLL,2021,45323,,,'')":0.0,"BA-US^FE_ESTIMATE(EPS_GAAP,MEAN,ANN_ROLL,2026,45323,,,'')":13.389996,"BA-US^FE_ESTIMATE(EPS_GAAP,MEAN,ANN_ROLL,2025,45323,,,'')":9.988146,"BA-US^FE_ESTIMATE(EPS_GAAP,MEAN,ANN_ROLL,2024,45323,,,'')":5.017191,"BA-US^FE_ESTIMATE(EPS_GAAP,MEAN,ANN_ROLL,2023,45323,,,'')":-3.67,"BA-US^FE_ESTIMATE(EPS_GAAP,MEAN,ANN_ROLL,2022,45323,,,'')":-8.3,"BA-US^FE_ESTIMATE(EPS_GAAP,MEAN,ANN_ROLL,2021,45323,,,'')":-7.15,"BA-US^FE_ESTIMATE(NET_INC_REP,MEAN,ANN_ROLL,2026,45323,,,'')":8344.893,"BA-US^FE_ESTIMATE(NET_INC_REP,MEAN,ANN_ROLL,2025,45323,,,'')":6224.6875,"BA-US^FE_ESTIMATE(NET_INC_REP,MEAN,ANN_ROLL,2024,45323,,,'')":3184.4407,"BA-US^FE_ESTIMATE(NET_INC_REP,MEAN,ANN_ROLL,2023,45323,,,'')":-2222.0,"BA-US^FE_ESTIMATE(NET_INC_REP,MEAN,ANN_ROLL,2022,45323,,,'')":-4935.0,"BA-US^FE_ESTIMATE(NET_INC_REP,MEAN,ANN_ROLL,2021,45323,,,'')":-4202.0,"BA-US^FE_ESTIMATE(PTX_INC_REP,MEAN,ANN_ROLL,2026,45323,,,'')":11393.99,"BA-US^FE_ESTIMATE(PTX_INC_REP,MEAN,ANN_ROLL,2025,45323,,,'')":6623.966,"BA-US^FE_ESTIMATE(PTX_INC_REP,MEAN,ANN_ROLL,2024,45323,,,'')":3258.771,"BA-US^FE_ESTIMATE(PTX_INC_REP,MEAN,ANN_ROLL,2023,45323,,,'')":-2005.0,"BA-US^FE_ESTIMATE(PTX_INC_REP,MEAN,ANN_ROLL,2022,45323,,,'')":-5022.0,"BA-US^FE_ESTIMATE(PTX_INC_REP,MEAN,ANN_ROLL,2021,45323,,,'')":-6158.0,"BA-US^FE_ESTIMATE(EBITDA_REP,MEAN,ANN_ROLL,2026,45323,,,'')":13245.727,"BA-US^FE_ESTIMATE(EBITDA_REP,MEAN,ANN_ROLL,2025,45323,,,'')":10242.266,"BA-US^FE_ESTIMATE(EBITDA_REP,MEAN,ANN_ROLL,2024,45323,,,'')":6800.074,"BA-US^FE_ESTIMATE(EBITDA_REP,MEAN,ANN_ROLL,2023,45323,,,'')":1084.2222,"BA-US^FE_ESTIMATE(EBITDA_REP,MEAN,ANN_ROLL,2022,45323,,,'')":-1599.0416,"BA-US^FE_ESTIMATE(EBITDA_REP,MEAN,ANN_ROLL,2021,45323,,,'')":-747.6,"BA-US^FE_ESTIMATE(EPS,MEAN,ANN_ROLL,2026,45323,,,'')":11.352941,"BA-US^FE_ESTIMATE(EPS,MEAN,ANN_ROLL,2025,45323,,,'')":8.44388,"BA-US^FE_ESTIMATE(EPS,MEAN,ANN_ROLL,2024,45323,,,'')":3.8615863,"BA-US^FE_ESTIMATE(EPS,MEAN,ANN_ROLL,2023,45323,,,'')":-5.81,"BA-US^FE_ESTIMATE(EPS,MEAN,ANN_ROLL,2022,45323,,,'')":-11.06,"BA-US^FE_ESTIMATE(EPS,MEAN,ANN_ROLL,2021,45323,,,'')":-9.44,"BA-US^FE_ESTIMATE(NET_INC,MEAN,ANN_ROLL,2026,45323,,,'')":8121.8037,"BA-US^FE_ESTIMATE(NET_INC,MEAN,ANN_ROLL,2025,45323,,,'')":6091.394,"BA-US^FE_ESTIMATE(NET_INC,MEAN,ANN_ROLL,2024,45323,,,'')":3143.0764,"BA-US^FE_ESTIMATE(NET_INC,MEAN,ANN_ROLL,2023,45323,,,'')":-2222.0,"BA-US^FE_ESTIMATE(NET_INC,MEAN,ANN_ROLL,2022,45323,,,'')":-4935.0,"BA-US^FE_ESTIMATE(NET_INC,MEAN,ANN_ROLL,2021,45323,,,'')":-4202.0,"BA-US^FE_VALUATION(TAX_RATE,MEAN,ANN_ROLL,2026,45323,,,'')/100":0.0017634912,"BA-US^FE_VALUATION(TAX_RATE,MEAN,ANN_ROLL,2025,45323,,,'')/100":0.001601057,"BA-US^FE_VALUATION(TAX_RATE,MEAN,ANN_ROLL,2024,45323,,,'')/100":0.0014983618,"BA-US^FE_VALUATION(TAX_RATE,MEAN,ANN_ROLL,2023,45323,,,'')/100":-0.0011551272,"BA-US^FE_VALUATION(TAX_RATE,MEAN,ANN_ROLL,2022,45323,,,'')/100":3.8287817E-06,"BA-US^FE_VALUATION(TAX_RATE,MEAN,ANN_ROLL,2021,45323,,,'')/100":0.0014517867,"BA-US^FE_ESTIMATE(INC_TAX,MEAN,ANN_ROLL,2026,45323,,,'')":1755.2,"BA-US^FE_ESTIMATE(INC_TAX,MEAN,ANN_ROLL,2025,45323,,,'')":1162.2142,"BA-US^FE_ESTIMATE(INC_TAX,MEAN,ANN_ROLL,2024,45323,,,'')":540.5714,"BA-US^FE_ESTIMATE(INC_TAX,MEAN,ANN_ROLL,2023,45323,,,'')":231.75,"BA-US^FE_ESTIMATE(INC_TAX,MEAN,ANN_ROLL,2022,45323,,,'')":-1.9166666,"BA-US^FE_ESTIMATE(INC_TAX,MEAN,ANN_ROLL,2021,45323,,,'')":-743.0,"BA-US^FE_ESTIMATE(PTX_INC,MEAN,ANN_ROLL,2026,45323,,,'')":9952.984,"BA-US^FE_ESTIMATE(PTX_INC,MEAN,ANN_ROLL,2025,45323,,,'')":7259.043,"BA-US^FE_ESTIMATE(PTX_INC,MEAN,ANN_ROLL,2024,45323,,,'')":3607.7495,"BA-US^FE_ESTIMATE(PTX_INC,MEAN,ANN_ROLL,2023,45323,,,'')":-2006.2727,"BA-US^FE_ESTIMATE(PTX_INC,MEAN,ANN_ROLL,2022,45323,,,'')":-5005.9443,"BA-US^FE_ESTIMATE(PTX_INC,MEAN,ANN_ROLL,2021,45323,,,'')":-5117.8315,"BA-US^FE_ESTIMATE(INT_EXP,MEAN,ANN_ROLL,2026,45323,,,'')":1695.5,"BA-US^FE_ESTIMATE(INT_EXP,MEAN,ANN_ROLL,2025,45323,,,'')":2060.4316,"BA-US^FE_ESTIMATE(INT_EXP,MEAN,ANN_ROLL,2024,45323,,,'')":2245.694,"BA-US^FE_ESTIMATE(INT_EXP,MEAN,ANN_ROLL,2023,45323,,,'')":2459.0,"BA-US^FE_ESTIMATE(INT_EXP,MEAN,ANN_ROLL,2022,45323,,,'')":2533.0,"BA-US^FE_ESTIMATE(INT_EXP,MEAN,ANN_ROLL,2021,45323,,,'')":2682.0,"BA-US^FE_ESTIMATE(EBIT,MEAN,ANN_ROLL,2026,45323,,,'')":10686.066,"BA-US^FE_ESTIMATE(EBIT,MEAN,ANN_ROLL,2025,45323,,,'')":8328.854,"BA-US^FE_ESTIMATE(EBIT,MEAN,ANN_ROLL,2024,45323,,,'')":5001.8843,"BA-US^FE_ESTIMATE(EBIT,MEAN,ANN_ROLL,2023,45323,,,'')":-773.0,"BA-US^FE_ESTIMATE(EBIT,MEAN,ANN_ROLL,2022,45323,,,'')":-3547.0,"BA-US^FE_ESTIMATE(EBIT,MEAN,ANN_ROLL,2021,45323,,,'')":-2896.4656,"BA-US^FE_ESTIMATE(DEP_AMORT_EXP,MEAN,ANN_ROLL,2026,45323,,,'')":2144.2,"BA-US^FE_ESTIMATE(DEP_AMORT_EXP,MEAN,ANN_ROLL,2025,45323,,,'')":2000.7638,"BA-US^FE_ESTIMATE(DEP_AMORT_EXP,MEAN,ANN_ROLL,2024,45323,,,'')":1906.4508,"BA-US^FE_ESTIMATE(DEP_AMORT_EXP,MEAN,ANN_ROLL,2023,45323,,,'')":1861.0,"BA-US^FE_ESTIMATE(DEP_AMORT_EXP,MEAN,ANN_ROLL,2022,45323,,,'')":1951.7778,"BA-US^FE_ESTIMATE(DEP_AMORT_EXP,MEAN,ANN_ROLL,2021,45323,,,'')":2154.889,"BA-US^FE_ESTIMATE(EBITDAR,MEAN,ANN_ROLL,2026,45323,,,'')":null,"BA-US^FE_ESTIMATE(EBITDAR,MEAN,ANN_ROLL,2025,45323,,,'')":null,"BA-US^FE_ESTIMATE(EBITDAR,MEAN,ANN_ROLL,2024,45323,,,'')":null,"BA-US^FE_ESTIMATE(EBITDAR,MEAN,ANN_ROLL,2023,45323,,,'')":null,"BA-US^FE_ESTIMATE(EBITDAR,MEAN,ANN_ROLL,2022,45323,,,'')":null,"BA-US^FE_ESTIMATE(EBITDAR,MEAN,ANN_ROLL,2021,45323,,,'')":null,"BA-US^FE_ESTIMATE(OPER_EXP,MEAN,ANN_ROLL,2026,45323,,,'')":null,"BA-US^FE_ESTIMATE(OPER_EXP,MEAN,ANN_ROLL,2025,45323,,,'')":null,"BA-US^FE_ESTIMATE(OPER_EXP,MEAN,ANN_ROLL,2024,45323,,,'')":null,"BA-US^FE_ESTIMATE(OPER_EXP,MEAN,ANN_ROLL,2023,45323,,,'')":null,"BA-US^FE_ESTIMATE(OPER_EXP,MEAN,ANN_ROLL,2022,45323,,,'')":null,"BA-US^FE_ESTIMATE(OPER_EXP,MEAN,ANN_ROLL,2021,45323,,,'')":null,"BA-US^FE_ESTIMATE(RD_EXP,MEAN,ANN_ROLL,2026,45323,,,'')":3030.0,"BA-US^FE_ESTIMATE(RD_EXP,MEAN,ANN_ROLL,2025,45323,,,'')":3289.2856,"BA-US^FE_ESTIMATE(RD_EXP,MEAN,ANN_ROLL,2024,45323,,,'')":3254.5,"BA-US^FE_ESTIMATE(RD_EXP,MEAN,ANN_ROLL,2023,45323,,,'')":3094.2,"BA-US^FE_ESTIMATE(RD_EXP,MEAN,ANN_ROLL,2022,45323,,,'')":2825.3333,"BA-US^FE_ESTIMATE(RD_EXP,MEAN,ANN_ROLL,2021,45323,,,'')":2249.0,"BA-US^FE_ESTIMATE(G_A_EXP,MEAN,ANN_ROLL,2026,45323,,,'')":7045.0,"BA-US^FE_ESTIMATE(G_A_EXP,MEAN,ANN_ROLL,2025,45323,,,'')":5191.5,"BA-US^FE_ESTIMATE(G_A_EXP,MEAN,ANN_ROLL,2024,45323,,,'')":4993.0,"BA-US^FE_ESTIMATE(G_A_EXP,MEAN,ANN_ROLL,2023,45323,,,'')":5168.0,"BA-US^FE_ESTIMATE(G_A_EXP,MEAN,ANN_ROLL,2022,45323,,,'')":4056.0,"BA-US^FE_ESTIMATE(G_A_EXP,MEAN,ANN_ROLL,2021,45323,,,'')":4157.0,"BA-US^FE_ESTIMATE(SGA,MEAN,ANN_ROLL,2026,45323,,,'')":6508.0,"BA-US^FE_ESTIMATE(SGA,MEAN,ANN_ROLL,2025,45323,,,'')":6164.2954,"BA-US^FE_ESTIMATE(SGA,MEAN,ANN_ROLL,2024,45323,,,'')":5701.277,"BA-US^FE_ESTIMATE(SGA,MEAN,ANN_ROLL,2023,45323,,,'')":5168.0,"BA-US^FE_ESTIMATE(SGA,MEAN,ANN_ROLL,2022,45323,,,'')":4187.0,"BA-US^FE_ESTIMATE(SGA,MEAN,ANN_ROLL,2021,45323,,,'')":4157.0,"BA-US^FE_VALUATION(GROSS_MARGIN,MEAN,ANN_ROLL,2026,45323,,,'')/100":0.19877583,"BA-US^FE_VALUATION(GROSS_MARGIN,MEAN,ANN_ROLL,2025,45323,,,'')/100":0.16004272,"BA-US^FE_VALUATION(GROSS_MARGIN,MEAN,ANN_ROLL,2024,45323,,,'')/100":0.14730391,"BA-US^FE_VALUATION(GROSS_MARGIN,MEAN,ANN_ROLL,2023,45323,,,'')/100":0.11080974,"BA-US^FE_VALUATION(GROSS_MARGIN,MEAN,ANN_ROLL,2022,45323,,,'')/100":0.05598427,"BA-US^FE_VALUATION(GROSS_MARGIN,MEAN,ANN_ROLL,2021,45323,,,'')/100":0.054560147,"BA-US^FE_ESTIMATE(GROSS_INC,MEAN,ANN_ROLL,2026,45323,,,'')":21926.0,"BA-US^FE_ESTIMATE(GROSS_INC,MEAN,ANN_ROLL,2025,45323,,,'')":16081.275,"BA-US^FE_ESTIMATE(GROSS_INC,MEAN,ANN_ROLL,2024,45323,,,'')":13278.115,"BA-US^FE_ESTIMATE(GROSS_INC,MEAN,ANN_ROLL,2023,45323,,,'')":8620.333,"BA-US^FE_ESTIMATE(GROSS_INC,MEAN,ANN_ROLL,2022,45323,,,'')":3729.0,"BA-US^FE_ESTIMATE(GROSS_INC,MEAN,ANN_ROLL,2021,45323,,,'')":3398.3333,"BA-US^FE_ESTIMATE(COS,MEAN,ANN_ROLL,2026,45323,,,'')":90682.0,"BA-US^FE_ESTIMATE(COS,MEAN,ANN_ROLL,2025,45323,,,'')":82882.32,"BA-US^FE_ESTIMATE(COS,MEAN,ANN_ROLL,2024,45323,,,'')":75815.35,"BA-US^FE_ESTIMATE(COS,MEAN,ANN_ROLL,2023,45323,,,'')":69296.836,"BA-US^FE_ESTIMATE(COS,MEAN,ANN_ROLL,2022,45323,,,'')":61865.25,"BA-US^FE_ESTIMATE(COS,MEAN,ANN_ROLL,2021,45323,,,'')":58749.145,"BA-US^FE_ESTIMATE(SALES,MEAN,ANN_ROLL,2026,45323,,,'')":110305.164,"BA-US^FE_ESTIMATE(SALES,MEAN,ANN_ROLL,2025,45323,,,'')":100481.15,"BA-US^FE_ESTIMATE(SALES,MEAN,ANN_ROLL,2024,45323,,,'')":90140.95,"BA-US^FE_ESTIMATE(SALES,MEAN,ANN_ROLL,2023,45323,,,'')":77794.0,"BA-US^FE_ESTIMATE(SALES,MEAN,ANN_ROLL,2022,45323,,,'')":66608.0,"BA-US^FE_ESTIMATE(SALES,MEAN,ANN_ROLL,2021,45323,,,'')":62286.0,"BA-US^FE_ESTIMATE(EBITDA,MEAN,ANN_ROLL,2021,45323,,,'')":-748.5376,"BA-US^FE_ESTIMATE(FCFPS,MEAN,ANN_ROLL,2026,45335,,,'')":18.17683,"BA-US^FE_ESTIMATE(FCFPS,MEAN,ANN_ROLL,2025,45335,,,'')":14.419382,"BA-US^FE_ESTIMATE(FCFPS,MEAN,ANN_ROLL,2024,45335,,,'')":8.462399,"BA-US^FE_ESTIMATE(FCFPS,MEAN,ANN_ROLL,2023,45335,,,'')":7.3330884,"BA-US^FE_ESTIMATE(FCFPS,MEAN,ANN_ROLL,2022,45335,,,'')":4.023713,"BA-US^FE_ESTIMATE(FCFPS,MEAN,ANN_ROLL,2021,45335,,,'')":-6.8795238,"BA-US^FE_ESTIMATE(FCF,MEAN,ANN_ROLL,2026,45335,,,'')":10982.812,"BA-US^FE_ESTIMATE(FCF,MEAN,ANN_ROLL,2025,45335,,,'')":8890.609,"BA-US^FE_ESTIMATE(FCF,MEAN,ANN_ROLL,2024,45335,,,'')":5226.3657,"BA-US^FE_ESTIMATE(FCF,MEAN,ANN_ROLL,2023,45335,,,'')":4433.0,"BA-US^FE_ESTIMATE(FCF,MEAN,ANN_ROLL,2022,45335,,,'')":2290.0,"BA-US^FE_ESTIMATE(FCF,MEAN,ANN_ROLL,2021,45335,,,'')":-3560.0,"BA-US^FE_ESTIMATE(DPS,MEAN,ANN_ROLL,2026,45335,,,'')":2.258811,"BA-US^FE_ESTIMATE(DPS,MEAN,ANN_ROLL,2025,45335,,,'')":0.954343,"BA-US^FE_ESTIMATE(DPS,MEAN,ANN_ROLL,2024,45335,,,'')":0.33416668,"BA-US^FE_ESTIMATE(DPS,MEAN,ANN_ROLL,2023,45335,,,'')":0.0,"BA-US^FE_ESTIMATE(DPS,MEAN,ANN_ROLL,2022,45335,,,'')":0.0,"BA-US^FE_ESTIMATE(DPS,MEAN,ANN_ROLL,2021,45335,,,'')":0.0,"BA-US^FE_ESTIMATE(EPS_GAAP,MEAN,ANN_ROLL,2026,45335,,,'')":12.789849,"BA-US^FE_ESTIMATE(EPS_GAAP,MEAN,ANN_ROLL,2025,45335,,,'')":9.412133,"BA-US^FE_ESTIMATE(EPS_GAAP,MEAN,ANN_ROLL,2024,45335,,,'')":4.566162,"BA-US^FE_ESTIMATE(EPS_GAAP,MEAN,ANN_ROLL,2023,45335,,,'')":-3.67,"BA-US^FE_ESTIMATE(EPS_GAAP,MEAN,ANN_ROLL,2022,45335,,,'')":-8.3,"BA-US^FE_ESTIMATE(EPS_GAAP,MEAN,ANN_ROLL,2021,45335,,,'')":-7.15,"BA-US^FE_ESTIMATE(NET_INC_REP,MEAN,ANN_ROLL,2026,45335,,,'')":8142.1553,"BA-US^FE_ESTIMATE(NET_INC_REP,MEAN,ANN_ROLL,2025,45335,,,'')":6067.473,"BA-US^FE_ESTIMATE(NET_INC_REP,MEAN,ANN_ROLL,2024,45335,,,'')":2931.4734,"BA-US^FE_ESTIMATE(NET_INC_REP,MEAN,ANN_ROLL,2023,45335,,,'')":-2222.0,"BA-US^FE_ESTIMATE(NET_INC_REP,MEAN,ANN_ROLL,2022,45335,,,'')":-4935.0,"BA-US^FE_ESTIMATE(NET_INC_REP,MEAN,ANN_ROLL,2021,45335,,,'')":-4202.0,"BA-US^FE_ESTIMATE(PTX_INC_REP,MEAN,ANN_ROLL,2026,45335,,,'')":10451.495,"BA-US^FE_ESTIMATE(PTX_INC_REP,MEAN,ANN_ROLL,2025,45335,,,'')":6583.466,"BA-US^FE_ESTIMATE(PTX_INC_REP,MEAN,ANN_ROLL,2024,45335,,,'')":3090.021,"BA-US^FE_ESTIMATE(PTX_INC_REP,MEAN,ANN_ROLL,2023,45335,,,'')":-2005.0,"BA-US^FE_ESTIMATE(PTX_INC_REP,MEAN,ANN_ROLL,2022,45335,,,'')":-5022.0,"BA-US^FE_ESTIMATE(PTX_INC_REP,MEAN,ANN_ROLL,2021,45335,,,'')":-6158.0,"BA-US^FE_ESTIMATE(EBITDA_REP,MEAN,ANN_ROLL,2026,45335,,,'')":12626.848,"BA-US^FE_ESTIMATE(EBITDA_REP,MEAN,ANN_ROLL,2025,45335,,,'')":10015.976,"BA-US^FE_ESTIMATE(EBITDA_REP,MEAN,ANN_ROLL,2024,45335,,,'')":6635.223,"BA-US^FE_ESTIMATE(EBITDA_REP,MEAN,ANN_ROLL,2023,45335,,,'')":1085.1666,"BA-US^FE_ESTIMATE(EBITDA_REP,MEAN,ANN_ROLL,2022,45335,,,'')":-1599.0416,"BA-US^FE_ESTIMATE(EBITDA_REP,MEAN,ANN_ROLL,2021,45335,,,'')":-747.6,"BA-US^FE_ESTIMATE(EPS,MEAN,ANN_ROLL,2026,45335,,,'')":10.90253,"BA-US^FE_ESTIMATE(EPS,MEAN,ANN_ROLL,2025,45335,,,'')":8.045106,"BA-US^FE_ESTIMATE(EPS,MEAN,ANN_ROLL,2024,45335,,,'')":3.448498,"BA-US^FE_ESTIMATE(EPS,MEAN,ANN_ROLL,2023,45335,,,'')":-5.81,"BA-US^FE_ESTIMATE(EPS,MEAN,ANN_ROLL,2022,45335,,,'')":-11.06,"BA-US^FE_ESTIMATE(EPS,MEAN,ANN_ROLL,2021,45335,,,'')":-9.44,"BA-US^FE_ESTIMATE(NET_INC,MEAN,ANN_ROLL,2026,45335,,,'')":7774.3057,"BA-US^FE_ESTIMATE(NET_INC,MEAN,ANN_ROLL,2025,45335,,,'')":5918.0605,"BA-US^FE_ESTIMATE(NET_INC,MEAN,ANN_ROLL,2024,45335,,,'')":2910.308,"BA-US^FE_ESTIMATE(NET_INC,MEAN,ANN_ROLL,2023,45335,,,'')":-2222.0,"BA-US^FE_ESTIMATE(NET_INC,MEAN,ANN_ROLL,2022,45335,,,'')":-4935.0,"BA-US^FE_ESTIMATE(NET_INC,MEAN,ANN_ROLL,2021,45335,,,'')":-4202.0,"BA-US^FE_VALUATION(TAX_RATE,MEAN,ANN_ROLL,2026,45335,,,'')/100":0.0017791397,"BA-US^FE_VALUATION(TAX_RATE,MEAN,ANN_ROLL,2025,45335,,,'')/100":0.0016150668,"BA-US^FE_VALUATION(TAX_RATE,MEAN,ANN_ROLL,2024,45335,,,'')/100":0.0015061342,"BA-US^FE_VALUATION(TAX_RATE,MEAN,ANN_ROLL,2023,45335,,,'')/100":-0.0011568486,"BA-US^FE_VALUATION(TAX_RATE,MEAN,ANN_ROLL,2022,45335,,,'')/100":3.8287817E-06,"BA-US^FE_VALUATION(TAX_RATE,MEAN,ANN_ROLL,2021,45335,,,'')/100":0.0014517867,"BA-US^FE_ESTIMATE(INC_TAX,MEAN,ANN_ROLL,2026,45335,,,'')":1709.1666,"BA-US^FE_ESTIMATE(INC_TAX,MEAN,ANN_ROLL,2025,45335,,,'')":1138.8572,"BA-US^FE_ESTIMATE(INC_TAX,MEAN,ANN_ROLL,2024,45335,,,'')":508.7857,"BA-US^FE_ESTIMATE(INC_TAX,MEAN,ANN_ROLL,2023,45335,,,'')":232.16667,"BA-US^FE_ESTIMATE(INC_TAX,MEAN,ANN_ROLL,2022,45335,,,'')":-1.9166666,"BA-US^FE_ESTIMATE(INC_TAX,MEAN,ANN_ROLL,2021,45335,,,'')":-743.0,"BA-US^FE_ESTIMATE(PTX_INC,MEAN,ANN_ROLL,2026,45335,,,'')":9606.702,"BA-US^FE_ESTIMATE(PTX_INC,MEAN,ANN_ROLL,2025,45335,,,'')":7051.4556,"BA-US^FE_ESTIMATE(PTX_INC,MEAN,ANN_ROLL,2024,45335,,,'')":3378.0903,"BA-US^FE_ESTIMATE(PTX_INC,MEAN,ANN_ROLL,2023,45335,,,'')":-2006.8889,"BA-US^FE_ESTIMATE(PTX_INC,MEAN,ANN_ROLL,2022,45335,,,'')":-5005.9443,"BA-US^FE_ESTIMATE(PTX_INC,MEAN,ANN_ROLL,2021,45335,,,'')":-5117.8315,"BA-US^FE_ESTIMATE(INT_EXP,MEAN,ANN_ROLL,2026,45335,,,'')":1767.5714,"BA-US^FE_ESTIMATE(INT_EXP,MEAN,ANN_ROLL,2025,45335,,,'')":2060.4316,"BA-US^FE_ESTIMATE(INT_EXP,MEAN,ANN_ROLL,2024,45335,,,'')":2244.002,"BA-US^FE_ESTIMATE(INT_EXP,MEAN,ANN_ROLL,2023,45335,,,'')":2459.0,"BA-US^FE_ESTIMATE(INT_EXP,MEAN,ANN_ROLL,2022,45335,,,'')":2533.0,"BA-US^FE_ESTIMATE(INT_EXP,MEAN,ANN_ROLL,2021,45335,,,'')":2682.0,"BA-US^FE_ESTIMATE(EBIT,MEAN,ANN_ROLL,2026,45335,,,'')":10315.081,"BA-US^FE_ESTIMATE(EBIT,MEAN,ANN_ROLL,2025,45335,,,'')":8140.8057,"BA-US^FE_ESTIMATE(EBIT,MEAN,ANN_ROLL,2024,45335,,,'')":4700.5205,"BA-US^FE_ESTIMATE(EBIT,MEAN,ANN_ROLL,2023,45335,,,'')":-773.0,"BA-US^FE_ESTIMATE(EBIT,MEAN,ANN_ROLL,2022,45335,,,'')":-3547.0,"BA-US^FE_ESTIMATE(EBIT,MEAN,ANN_ROLL,2021,45335,,,'')":-2896.4656,"BA-US^FE_ESTIMATE(DEP_AMORT_EXP,MEAN,ANN_ROLL,2026,45335,,,'')":2187.6667,"BA-US^FE_ESTIMATE(DEP_AMORT_EXP,MEAN,ANN_ROLL,2025,45335,,,'')":1988.8275,"BA-US^FE_ESTIMATE(DEP_AMORT_EXP,MEAN,ANN_ROLL,2024,45335,,,'')":1903.655,"BA-US^FE_ESTIMATE(DEP_AMORT_EXP,MEAN,ANN_ROLL,2023,45335,,,'')":1861.0,"BA-US^FE_ESTIMATE(DEP_AMORT_EXP,MEAN,ANN_ROLL,2022,45335,,,'')":1951.7778,"BA-US^FE_ESTIMATE(DEP_AMORT_EXP,MEAN,ANN_ROLL,2021,45335,,,'')":2154.889,"BA-US^FE_ESTIMATE(EBITDAR,MEAN,ANN_ROLL,2026,45335,,,'')":null,"BA-US^FE_ESTIMATE(EBITDAR,MEAN,ANN_ROLL,2025,45335,,,'')":null,"BA-US^FE_ESTIMATE(EBITDAR,MEAN,ANN_ROLL,2024,45335,,,'')":null,"BA-US^FE_ESTIMATE(EBITDAR,MEAN,ANN_ROLL,2023,45335,,,'')":null,"BA-US^FE_ESTIMATE(EBITDAR,MEAN,ANN_ROLL,2022,45335,,,'')":null,"BA-US^FE_ESTIMATE(EBITDAR,MEAN,ANN_ROLL,2021,45335,,,'')":null,"BA-US^FE_ESTIMATE(OPER_EXP,MEAN,ANN_ROLL,2026,45335,,,'')":null,"BA-US^FE_ESTIMATE(OPER_EXP,MEAN,ANN_ROLL,2025,45335,,,'')":null,"BA-US^FE_ESTIMATE(OPER_EXP,MEAN,ANN_ROLL,2024,45335,,,'')":null,"BA-US^FE_ESTIMATE(OPER_EXP,MEAN,ANN_ROLL,2023,45335,,,'')":null,"BA-US^FE_ESTIMATE(OPER_EXP,MEAN,ANN_ROLL,2022,45335,,,'')":null,"BA-US^FE_ESTIMATE(OPER_EXP,MEAN,ANN_ROLL,2021,45335,,,'')":null,"BA-US^FE_ESTIMATE(RD_EXP,MEAN,ANN_ROLL,2026,45335,,,'')":3013.75,"BA-US^FE_ESTIMATE(RD_EXP,MEAN,ANN_ROLL,2025,45335,,,'')":3289.2856,"BA-US^FE_ESTIMATE(RD_EXP,MEAN,ANN_ROLL,2024,45335,,,'')":3294.25,"BA-US^FE_ESTIMATE(RD_EXP,MEAN,ANN_ROLL,2023,45335,,,'')":3175.0,"BA-US^FE_ESTIMATE(RD_EXP,MEAN,ANN_ROLL,2022,45335,,,'')":2825.3333,"BA-US^FE_ESTIMATE(RD_EXP,MEAN,ANN_ROLL,2021,45335,,,'')":2249.0,"BA-US^FE_ESTIMATE(G_A_EXP,MEAN,ANN_ROLL,2026,45335,,,'')":4195.0,"BA-US^FE_ESTIMATE(G_A_EXP,MEAN,ANN_ROLL,2025,45335,,,'')":4842.6,"BA-US^FE_ESTIMATE(G_A_EXP,MEAN,ANN_ROLL,2024,45335,,,'')":4702.6,"BA-US^FE_ESTIMATE(G_A_EXP,MEAN,ANN_ROLL,2023,45335,,,'')":4654.0,"BA-US^FE_ESTIMATE(G_A_EXP,MEAN,ANN_ROLL,2022,45335,,,'')":4056.0,"BA-US^FE_ESTIMATE(G_A_EXP,MEAN,ANN_ROLL,2021,45335,,,'')":4157.0,"BA-US^FE_ESTIMATE(SGA,MEAN,ANN_ROLL,2026,45335,,,'')":6508.0,"BA-US^FE_ESTIMATE(SGA,MEAN,ANN_ROLL,2025,45335,,,'')":6164.2954,"BA-US^FE_ESTIMATE(SGA,MEAN,ANN_ROLL,2024,45335,,,'')":5657.777,"BA-US^FE_ESTIMATE(SGA,MEAN,ANN_ROLL,2023,45335,,,'')":5168.0,"BA-US^FE_ESTIMATE(SGA,MEAN,ANN_ROLL,2022,45335,,,'')":4187.0,"BA-US^FE_ESTIMATE(SGA,MEAN,ANN_ROLL,2021,45335,,,'')":4157.0,"BA-US^FE_VALUATION(GROSS_MARGIN,MEAN,ANN_ROLL,2026,45335,,,'')/100":0.1328091,"BA-US^FE_VALUATION(GROSS_MARGIN,MEAN,ANN_ROLL,2025,45335,,,'')/100":0.15744118,"BA-US^FE_VALUATION(GROSS_MARGIN,MEAN,ANN_ROLL,2024,45335,,,'')/100":0.14167166,"BA-US^FE_VALUATION(GROSS_MARGIN,MEAN,ANN_ROLL,2023,45335,,,'')/100":0.10135009,"BA-US^FE_VALUATION(GROSS_MARGIN,MEAN,ANN_ROLL,2022,45335,,,'')/100":0.05598427,"BA-US^FE_VALUATION(GROSS_MARGIN,MEAN,ANN_ROLL,2021,45335,,,'')/100":0.054560147,"BA-US^FE_ESTIMATE(GROSS_INC,MEAN,ANN_ROLL,2026,45335,,,'')":14502.667,"BA-US^FE_ESTIMATE(GROSS_INC,MEAN,ANN_ROLL,2025,45335,,,'')":15735.831,"BA-US^FE_ESTIMATE(GROSS_INC,MEAN,ANN_ROLL,2024,45335,,,'')":12733.6455,"BA-US^FE_ESTIMATE(GROSS_INC,MEAN,ANN_ROLL,2023,45335,,,'')":7884.4287,"BA-US^FE_ESTIMATE(GROSS_INC,MEAN,ANN_ROLL,2022,45335,,,'')":3729.0,"BA-US^FE_ESTIMATE(GROSS_INC,MEAN,ANN_ROLL,2021,45335,,,'')":3398.3333,"BA-US^FE_ESTIMATE(COS,MEAN,ANN_ROLL,2026,45335,,,'')":91448.25,"BA-US^FE_ESTIMATE(COS,MEAN,ANN_ROLL,2025,45335,,,'')":82512.125,"BA-US^FE_ESTIMATE(COS,MEAN,ANN_ROLL,2024,45335,,,'')":75368.26,"BA-US^FE_ESTIMATE(COS,MEAN,ANN_ROLL,2023,45335,,,'')":68797.664,"BA-US^FE_ESTIMATE(COS,MEAN,ANN_ROLL,2022,45335,,,'')":61865.25,"BA-US^FE_ESTIMATE(COS,MEAN,ANN_ROLL,2021,45335,,,'')":58749.145,"BA-US^FE_ESTIMATE(SALES,MEAN,ANN_ROLL,2026,45335,,,'')":109199.34,"BA-US^FE_ESTIMATE(SALES,MEAN,ANN_ROLL,2025,45335,,,'')":99947.36,"BA-US^FE_ESTIMATE(SALES,MEAN,ANN_ROLL,2024,45335,,,'')":89881.39,"BA-US^FE_ESTIMATE(SALES,MEAN,ANN_ROLL,2023,45335,,,'')":77794.0,"BA-US^FE_ESTIMATE(SALES,MEAN,ANN_ROLL,2022,45335,,,'')":66608.0,"BA-US^FE_ESTIMATE(SALES,MEAN,ANN_ROLL,2021,45335,,,'')":62286.0,"BA-US^FE_ESTIMATE(EBITDA,MEAN,ANN_ROLL,2021,45335,,,'')":-748.5376,"BA-US^FE_ESTIMATE(FCFPS,MEAN,ANN_ROLL,2026,45383,,,'')":16.14683,"BA-US^FE_ESTIMATE(FCFPS,MEAN,ANN_ROLL,2025,45383,,,'')":11.785164,"BA-US^FE_ESTIMATE(FCFPS,MEAN,ANN_ROLL,2024,45383,,,'')":5.3137197,"BA-US^FE_ESTIMATE(FCFPS,MEAN,ANN_ROLL,2023,45383,,,'')":7.203665,"BA-US^FE_ESTIMATE(FCFPS,MEAN,ANN_ROLL,2022,45383,,,'')":4.023713,"BA-US^FE_ESTIMATE(FCFPS,MEAN,ANN_ROLL,2021,45383,,,'')":-6.8795238,"BA-US^FE_ESTIMATE(FCF,MEAN,ANN_ROLL,2026,45383,,,'')":9920.168,"BA-US^FE_ESTIMATE(FCF,MEAN,ANN_ROLL,2025,45383,,,'')":7441.9023,"BA-US^FE_ESTIMATE(FCF,MEAN,ANN_ROLL,2024,45383,,,'')":3551.776,"BA-US^FE_ESTIMATE(FCF,MEAN,ANN_ROLL,2023,45383,,,'')":4433.0,"BA-US^FE_ESTIMATE(FCF,MEAN,ANN_ROLL,2022,45383,,,'')":2290.0,"BA-US^FE_ESTIMATE(FCF,MEAN,ANN_ROLL,2021,45383,,,'')":-3560.0,"BA-US^FE_ESTIMATE(DPS,MEAN,ANN_ROLL,2026,45383,,,'')":2.2443736,"BA-US^FE_ESTIMATE(DPS,MEAN,ANN_ROLL,2025,45383,,,'')":0.7005383,"BA-US^FE_ESTIMATE(DPS,MEAN,ANN_ROLL,2024,45383,,,'')":0.36454546,"BA-US^FE_ESTIMATE(DPS,MEAN,ANN_ROLL,2023,45383,,,'')":0.0,"BA-US^FE_ESTIMATE(DPS,MEAN,ANN_ROLL,2022,45383,,,'')":0.0,"BA-US^FE_ESTIMATE(DPS,MEAN,ANN_ROLL,2021,45383,,,'')":0.0,"BA-US^FE_ESTIMATE(EPS_GAAP,MEAN,ANN_ROLL,2026,45383,,,'')":11.791206,"BA-US^FE_ESTIMATE(EPS_GAAP,MEAN,ANN_ROLL,2025,45383,,,'')":8.226802,"BA-US^FE_ESTIMATE(EPS_GAAP,MEAN,ANN_ROLL,2024,45383,,,'')":2.998484,"BA-US^FE_ESTIMATE(EPS_GAAP,MEAN,ANN_ROLL,2023,45383,,,'')":-3.67,"BA-US^FE_ESTIMATE(EPS_GAAP,MEAN,ANN_ROLL,2022,45383,,,'')":-8.3,"BA-US^FE_ESTIMATE(EPS_GAAP,MEAN,ANN_ROLL,2021,45383,,,'')":-7.15,"BA-US^FE_ESTIMATE(NET_INC_REP,MEAN,ANN_ROLL,2026,45383,,,'')":7449.694,"BA-US^FE_ESTIMATE(NET_INC_REP,MEAN,ANN_ROLL,2025,45383,,,'')":5123.91,"BA-US^FE_ESTIMATE(NET_INC_REP,MEAN,ANN_ROLL,2024,45383,,,'')":2331.3447,"BA-US^FE_ESTIMATE(NET_INC_REP,MEAN,ANN_ROLL,2023,45383,,,'')":-2222.0,"BA-US^FE_ESTIMATE(NET_INC_REP,MEAN,ANN_ROLL,2022,45383,,,'')":-4935.0,"BA-US^FE_ESTIMATE(NET_INC_REP,MEAN,ANN_ROLL,2021,45383,,,'')":-4202.0,"BA-US^FE_ESTIMATE(PTX_INC_REP,MEAN,ANN_ROLL,2026,45383,,,'')":8730.682,"BA-US^FE_ESTIMATE(PTX_INC_REP,MEAN,ANN_ROLL,2025,45383,,,'')":5706.782,"BA-US^FE_ESTIMATE(PTX_INC_REP,MEAN,ANN_ROLL,2024,45383,,,'')":1612.7189,"BA-US^FE_ESTIMATE(PTX_INC_REP,MEAN,ANN_ROLL,2023,45383,,,'')":-2005.0,"BA-US^FE_ESTIMATE(PTX_INC_REP,MEAN,ANN_ROLL,2022,45383,,,'')":-5022.0,"BA-US^FE_ESTIMATE(PTX_INC_REP,MEAN,ANN_ROLL,2021,45383,,,'')":-6158.0,"BA-US^FE_ESTIMATE(EBITDA_REP,MEAN,ANN_ROLL,2026,45383,,,'')":12223.925,"BA-US^FE_ESTIMATE(EBITDA_REP,MEAN,ANN_ROLL,2025,45383,,,'')":9341.445,"BA-US^FE_ESTIMATE(EBITDA_REP,MEAN,ANN_ROLL,2024,45383,,,'')":5373.946,"BA-US^FE_ESTIMATE(EBITDA_REP,MEAN,ANN_ROLL,2023,45383,,,'')":1085.1666,"BA-US^FE_ESTIMATE(EBITDA_REP,MEAN,ANN_ROLL,2022,45383,,,'')":-1599.0416,"BA-US^FE_ESTIMATE(EBITDA_REP,MEAN,ANN_ROLL,2021,45383,,,'')":-747.6,"BA-US^FE_ESTIMATE(EPS,MEAN,ANN_ROLL,2026,45383,,,'')":10.2002945,"BA-US^FE_ESTIMATE(EPS,MEAN,ANN_ROLL,2025,45383,,,'')":6.739604,"BA-US^FE_ESTIMATE(EPS,MEAN,ANN_ROLL,2024,45383,,,'')":1.0598446,"BA-US^FE_ESTIMATE(EPS,MEAN,ANN_ROLL,2023,45383,,,'')":-5.81,"BA-US^FE_ESTIMATE(EPS,MEAN,ANN_ROLL,2022,45383,,,'')":-11.06,"BA-US^FE_ESTIMATE(EPS,MEAN,ANN_ROLL,2021,45383,,,'')":-9.44,"BA-US^FE_ESTIMATE(NET_INC,MEAN,ANN_ROLL,2026,45383,,,'')":7262.03,"BA-US^FE_ESTIMATE(NET_INC,MEAN,ANN_ROLL,2025,45383,,,'')":5073.1265,"BA-US^FE_ESTIMATE(NET_INC,MEAN,ANN_ROLL,2024,45383,,,'')":2311.381,"BA-US^FE_ESTIMATE(NET_INC,MEAN,ANN_ROLL,2023,45383,,,'')":-2222.0,"BA-US^FE_ESTIMATE(NET_INC,MEAN,ANN_ROLL,2022,45383,,,'')":-4935.0,"BA-US^FE_ESTIMATE(NET_INC,MEAN,ANN_ROLL,2021,45383,,,'')":-4202.0,"BA-US^FE_VALUATION(TAX_RATE,MEAN,ANN_ROLL,2026,45383,,,'')/100":0.0017798119,"BA-US^FE_VALUATION(TAX_RATE,MEAN,ANN_ROLL,2025,45383,,,'')/100":0.0016318695,"BA-US^FE_VALUATION(TAX_RATE,MEAN,ANN_ROLL,2024,45383,,,'')/100":0.0010996952,"BA-US^FE_VALUATION(TAX_RATE,MEAN,ANN_ROLL,2023,45383,,,'')/100":-0.0010742124,"BA-US^FE_VALUATION(TAX_RATE,MEAN,ANN_ROLL,2022,45383,,,'')/100":3.8287817E-06,"BA-US^FE_VALUATION(TAX_RATE,MEAN,ANN_ROLL,2021,45383,,,'')/100":0.0014517867,"BA-US^FE_ESTIMATE(INC_TAX,MEAN,ANN_ROLL,2026,45383,,,'')":1593.0,"BA-US^FE_ESTIMATE(INC_TAX,MEAN,ANN_ROLL,2025,45383,,,'')":1007.9167,"BA-US^FE_ESTIMATE(INC_TAX,MEAN,ANN_ROLL,2024,45383,,,'')":324.84616,"BA-US^FE_ESTIMATE(INC_TAX,MEAN,ANN_ROLL,2023,45383,,,'')":206.07692,"BA-US^FE_ESTIMATE(INC_TAX,MEAN,ANN_ROLL,2022,45383,,,'')":-1.9166666,"BA-US^FE_ESTIMATE(INC_TAX,MEAN,ANN_ROLL,2021,45383,,,'')":-743.0,"BA-US^FE_ESTIMATE(PTX_INC,MEAN,ANN_ROLL,2026,45383,,,'')":8950.384,"BA-US^FE_ESTIMATE(PTX_INC,MEAN,ANN_ROLL,2025,45383,,,'')":6176.454,"BA-US^FE_ESTIMATE(PTX_INC,MEAN,ANN_ROLL,2024,45383,,,'')":2953.9653,"BA-US^FE_ESTIMATE(PTX_INC,MEAN,ANN_ROLL,2023,45383,,,'')":-1918.4,"BA-US^FE_ESTIMATE(PTX_INC,MEAN,ANN_ROLL,2022,45383,,,'')":-5005.9443,"BA-US^FE_ESTIMATE(PTX_INC,MEAN,ANN_ROLL,2021,45383,,,'')":-5117.8315,"BA-US^FE_ESTIMATE(INT_EXP,MEAN,ANN_ROLL,2026,45383,,,'')":1789.3071,"BA-US^FE_ESTIMATE(INT_EXP,MEAN,ANN_ROLL,2025,45383,,,'')":2097.0557,"BA-US^FE_ESTIMATE(INT_EXP,MEAN,ANN_ROLL,2024,45383,,,'')":2300.0852,"BA-US^FE_ESTIMATE(INT_EXP,MEAN,ANN_ROLL,2023,45383,,,'')":2459.0,"BA-US^FE_ESTIMATE(INT_EXP,MEAN,ANN_ROLL,2022,45383,,,'')":2533.0,"BA-US^FE_ESTIMATE(INT_EXP,MEAN,ANN_ROLL,2021,45383,,,'')":2682.0,"BA-US^FE_ESTIMATE(EBIT,MEAN,ANN_ROLL,2026,45383,,,'')":9877.497,"BA-US^FE_ESTIMATE(EBIT,MEAN,ANN_ROLL,2025,45383,,,'')":7259.665,"BA-US^FE_ESTIMATE(EBIT,MEAN,ANN_ROLL,2024,45383,,,'')":4127.613,"BA-US^FE_ESTIMATE(EBIT,MEAN,ANN_ROLL,2023,45383,,,'')":-775.0,"BA-US^FE_ESTIMATE(EBIT,MEAN,ANN_ROLL,2022,45383,,,'')":-3547.0,"BA-US^FE_ESTIMATE(EBIT,MEAN,ANN_ROLL,2021,45383,,,'')":-2896.4656,"BA-US^FE_ESTIMATE(DEP_AMORT_EXP,MEAN,ANN_ROLL,2026,45383,,,'')":2014.3575,"BA-US^FE_ESTIMATE(DEP_AMORT_EXP,MEAN,ANN_ROLL,2025,45383,,,'')":1918.9164,"BA-US^FE_ESTIMATE(DEP_AMORT_EXP,MEAN,ANN_ROLL,2024,45383,,,'')":1867.1672,"BA-US^FE_ESTIMATE(DEP_AMORT_EXP,MEAN,ANN_ROLL,2023,45383,,,'')":1861.0,"BA-US^FE_ESTIMATE(DEP_AMORT_EXP,MEAN,ANN_ROLL,2022,45383,,,'')":1951.7778,"BA-US^FE_ESTIMATE(DEP_AMORT_EXP,MEAN,ANN_ROLL,2021,45383,,,'')":2154.889,"BA-US^FE_ESTIMATE(EBITDAR,MEAN,ANN_ROLL,2026,45383,,,'')":null,"BA-US^FE_ESTIMATE(EBITDAR,MEAN,ANN_ROLL,2025,45383,,,'')":null,"BA-US^FE_ESTIMATE(EBITDAR,MEAN,ANN_ROLL,2024,45383,,,'')":null,"BA-US^FE_ESTIMATE(EBITDAR,MEAN,ANN_ROLL,2023,45383,,,'')":null,"BA-US^FE_ESTIMATE(EBITDAR,MEAN,ANN_ROLL,2022,45383,,,'')":null,"BA-US^FE_ESTIMATE(EBITDAR,MEAN,ANN_ROLL,2021,45383,,,'')":null,"BA-US^FE_ESTIMATE(OPER_EXP,MEAN,ANN_ROLL,2026,45383,,,'')":null,"BA-US^FE_ESTIMATE(OPER_EXP,MEAN,ANN_ROLL,2025,45383,,,'')":null,"BA-US^FE_ESTIMATE(OPER_EXP,MEAN,ANN_ROLL,2024,45383,,,'')":null,"BA-US^FE_ESTIMATE(OPER_EXP,MEAN,ANN_ROLL,2023,45383,,,'')":null,"BA-US^FE_ESTIMATE(OPER_EXP,MEAN,ANN_ROLL,2022,45383,,,'')":null,"BA-US^FE_ESTIMATE(OPER_EXP,MEAN,ANN_ROLL,2021,45383,,,'')":null,"BA-US^FE_ESTIMATE(RD_EXP,MEAN,ANN_ROLL,2026,45383,,,'')":2971.75,"BA-US^FE_ESTIMATE(RD_EXP,MEAN,ANN_ROLL,2025,45383,,,'')":3270.0,"BA-US^FE_ESTIMATE(RD_EXP,MEAN,ANN_ROLL,2024,45383,,,'')":3257.625,"BA-US^FE_ESTIMATE(RD_EXP,MEAN,ANN_ROLL,2023,45383,,,'')":3200.25,"BA-US^FE_ESTIMATE(RD_EXP,MEAN,ANN_ROLL,2022,45383,,,'')":2825.3333,"BA-US^FE_ESTIMATE(RD_EXP,MEAN,ANN_ROLL,2021,45383,,,'')":2249.0,"BA-US^FE_ESTIMATE(G_A_EXP,MEAN,ANN_ROLL,2026,45383,,,'')":5722.0,"BA-US^FE_ESTIMATE(G_A_EXP,MEAN,ANN_ROLL,2025,45383,,,'')":5061.6,"BA-US^FE_ESTIMATE(G_A_EXP,MEAN,ANN_ROLL,2024,45383,,,'')":4849.4,"BA-US^FE_ESTIMATE(G_A_EXP,MEAN,ANN_ROLL,2023,45383,,,'')":4654.0,"BA-US^FE_ESTIMATE(G_A_EXP,MEAN,ANN_ROLL,2022,45383,,,'')":4056.0,"BA-US^FE_ESTIMATE(G_A_EXP,MEAN,ANN_ROLL,2021,45383,,,'')":4157.0,"BA-US^FE_ESTIMATE(SGA,MEAN,ANN_ROLL,2026,45383,,,'')":6343.6523,"BA-US^FE_ESTIMATE(SGA,MEAN,ANN_ROLL,2025,45383,,,'')":5975.3564,"BA-US^FE_ESTIMATE(SGA,MEAN,ANN_ROLL,2024,45383,,,'')":5463.1455,"BA-US^FE_ESTIMATE(SGA,MEAN,ANN_ROLL,2023,45383,,,'')":5168.0,"BA-US^FE_ESTIMATE(SGA,MEAN,ANN_ROLL,2022,45383,,,'')":4187.0,"BA-US^FE_ESTIMATE(SGA,MEAN,ANN_ROLL,2021,45383,,,'')":4157.0,"BA-US^FE_VALUATION(GROSS_MARGIN,MEAN,ANN_ROLL,2026,45383,,,'')/100":0.1431648,"BA-US^FE_VALUATION(GROSS_MARGIN,MEAN,ANN_ROLL,2025,45383,,,'')/100":0.14889155,"BA-US^FE_VALUATION(GROSS_MARGIN,MEAN,ANN_ROLL,2024,45383,,,'')/100":0.13140067,"BA-US^FE_VALUATION(GROSS_MARGIN,MEAN,ANN_ROLL,2023,45383,,,'')/100":0.104326814,"BA-US^FE_VALUATION(GROSS_MARGIN,MEAN,ANN_ROLL,2022,45383,,,'')/100":0.05598427,"BA-US^FE_VALUATION(GROSS_MARGIN,MEAN,ANN_ROLL,2021,45383,,,'')/100":0.054560147,"BA-US^FE_ESTIMATE(GROSS_INC,MEAN,ANN_ROLL,2026,45383,,,'')":15484.463,"BA-US^FE_ESTIMATE(GROSS_INC,MEAN,ANN_ROLL,2025,45383,,,'')":14566.664,"BA-US^FE_ESTIMATE(GROSS_INC,MEAN,ANN_ROLL,2024,45383,,,'')":11443.722,"BA-US^FE_ESTIMATE(GROSS_INC,MEAN,ANN_ROLL,2023,45383,,,'')":8116.0,"BA-US^FE_ESTIMATE(GROSS_INC,MEAN,ANN_ROLL,2022,45383,,,'')":3729.0,"BA-US^FE_ESTIMATE(GROSS_INC,MEAN,ANN_ROLL,2021,45383,,,'')":3398.3333,"BA-US^FE_ESTIMATE(COS,MEAN,ANN_ROLL,2026,45383,,,'')":89896.19,"BA-US^FE_ESTIMATE(COS,MEAN,ANN_ROLL,2025,45383,,,'')":80962.945,"BA-US^FE_ESTIMATE(COS,MEAN,ANN_ROLL,2024,45383,,,'')":73988.6,"BA-US^FE_ESTIMATE(COS,MEAN,ANN_ROLL,2023,45383,,,'')":68810.37,"BA-US^FE_ESTIMATE(COS,MEAN,ANN_ROLL,2022,45383,,,'')":61865.25,"BA-US^FE_ESTIMATE(COS,MEAN,ANN_ROLL,2021,45383,,,'')":58749.145,"BA-US^FE_ESTIMATE(SALES,MEAN,ANN_ROLL,2026,45383,,,'')":108158.31,"BA-US^FE_ESTIMATE(SALES,MEAN,ANN_ROLL,2025,45383,,,'')":97834.055,"BA-US^FE_ESTIMATE(SALES,MEAN,ANN_ROLL,2024,45383,,,'')":87090.28,"BA-US^FE_ESTIMATE(SALES,MEAN,ANN_ROLL,2023,45383,,,'')":77794.0,"BA-US^FE_ESTIMATE(SALES,MEAN,ANN_ROLL,2022,45383,,,'')":66608.0,"BA-US^FE_ESTIMATE(SALES,MEAN,ANN_ROLL,2021,45383,,,'')":62286.0,"BA-US^FE_ESTIMATE(EBITDA,MEAN,ANN_ROLL,2021,45383,,,'')":-748.5376,"BA-US^FE_ESTIMATE(FCFPS,MEAN,ANN_ROLL,2026,45384,,,'')":16.151375,"BA-US^FE_ESTIMATE(FCFPS,MEAN,ANN_ROLL,2025,45384,,,'')":11.793497,"BA-US^FE_ESTIMATE(FCFPS,MEAN,ANN_ROLL,2024,45384,,,'')":4.9387197,"BA-US^FE_ESTIMATE(FCF,MEAN,ANN_ROLL,2026,45384,,,'')":9922.311,"BA-US^FE_ESTIMATE(FCF,MEAN,ANN_ROLL,2025,45384,,,'')":7445.5273,"BA-US^FE_ESTIMATE(FCF,MEAN,ANN_ROLL,2024,45384,,,'')":3390.5994,"BA-US^FE_ESTIMATE(DPS,MEAN,ANN_ROLL,2026,45384,,,'')":2.2443736,"BA-US^FE_ESTIMATE(DPS,MEAN,ANN_ROLL,2025,45384,,,'')":0.7005383,"BA-US^FE_ESTIMATE(DPS,MEAN,ANN_ROLL,2024,45384,,,'')":0.36454546,"BA-US^FE_ESTIMATE(EPS_GAAP,MEAN,ANN_ROLL,2026,45384,,,'')":11.791206,"BA-US^FE_ESTIMATE(EPS_GAAP,MEAN,ANN_ROLL,2025,45384,,,'')":8.226802,"BA-US^FE_ESTIMATE(EPS_GAAP,MEAN,ANN_ROLL,2024,45384,,,'')":2.9134839,"BA-US^FE_ESTIMATE(NET_INC_REP,MEAN,ANN_ROLL,2026,45384,,,'')":7449.54,"BA-US^FE_ESTIMATE(NET_INC_REP,MEAN,ANN_ROLL,2025,45384,,,'')":5123.815,"BA-US^FE_ESTIMATE(NET_INC_REP,MEAN,ANN_ROLL,2024,45384,,,'')":2270.3447,"BA-US^FE_ESTIMATE(PTX_INC_REP,MEAN,ANN_ROLL,2026,45384,,,'')":8730.682,"BA-US^FE_ESTIMATE(PTX_INC_REP,MEAN,ANN_ROLL,2025,45384,,,'')":5706.782,"BA-US^FE_ESTIMATE(PTX_INC_REP,MEAN,ANN_ROLL,2024,45384,,,'')":1612.7189,"BA-US^FE_ESTIMATE(EBITDA_REP,MEAN,ANN_ROLL,2026,45384,,,'')":12223.771,"BA-US^FE_ESTIMATE(EBITDA_REP,MEAN,ANN_ROLL,2025,45384,,,'')":9341.334,"BA-US^FE_ESTIMATE(EBITDA_REP,MEAN,ANN_ROLL,2024,45384,,,'')":5319.089,"BA-US^FE_ESTIMATE(EPS,MEAN,ANN_ROLL,2026,45384,,,'')":10.2002945,"BA-US^FE_ESTIMATE(EPS,MEAN,ANN_ROLL,2025,45384,,,'')":6.739604,"BA-US^FE_ESTIMATE(EPS,MEAN,ANN_ROLL,2024,45384,,,'')":0.9918446,"BA-US^FE_ESTIMATE(NET_INC,MEAN,ANN_ROLL,2026,45384,,,'')":7261.8965,"BA-US^FE_ESTIMATE(NET_INC,MEAN,ANN_ROLL,2025,45384,,,'')":5073.0396,"BA-US^FE_ESTIMATE(NET_INC,MEAN,ANN_ROLL,2024,45384,,,'')":2253.77,"BA-US^FE_VALUATION(TAX_RATE,MEAN,ANN_ROLL,2026,45384,,,'')/100":0.0017798251,"BA-US^FE_VALUATION(TAX_RATE,MEAN,ANN_ROLL,2025,45384,,,'')/100":0.0016318936,"BA-US^FE_VALUATION(TAX_RATE,MEAN,ANN_ROLL,2024,45384,,,'')/100":0.0011004013,"BA-US^FE_ESTIMATE(INC_TAX,MEAN,ANN_ROLL,2026,45384,,,'')":1593.0,"BA-US^FE_ESTIMATE(INC_TAX,MEAN,ANN_ROLL,2025,45384,,,'')":1007.9167,"BA-US^FE_ESTIMATE(INC_TAX,MEAN,ANN_ROLL,2024,45384,,,'')":316.0,"BA-US^FE_ESTIMATE(PTX_INC,MEAN,ANN_ROLL,2026,45384,,,'')":8950.317,"BA-US^FE_ESTIMATE(PTX_INC,MEAN,ANN_ROLL,2025,45384,,,'')":6176.3633,"BA-US^FE_ESTIMATE(PTX_INC,MEAN,ANN_ROLL,2024,45384,,,'')":2871.6797,"BA-US^FE_ESTIMATE(INT_EXP,MEAN,ANN_ROLL,2026,45384,,,'')":1789.3071,"BA-US^FE_ESTIMATE(INT_EXP,MEAN,ANN_ROLL,2025,45384,,,'')":2097.0557,"BA-US^FE_ESTIMATE(INT_EXP,MEAN,ANN_ROLL,2024,45384,,,'')":2300.0852,"BA-US^FE_ESTIMATE(EBIT,MEAN,ANN_ROLL,2026,45384,,,'')":9877.386,"BA-US^FE_ESTIMATE(EBIT,MEAN,ANN_ROLL,2025,45384,,,'')":7259.585,"BA-US^FE_ESTIMATE(EBIT,MEAN,ANN_ROLL,2024,45384,,,'')":4001.054,"BA-US^FE_ESTIMATE(DEP_AMORT_EXP,MEAN,ANN_ROLL,2026,45384,,,'')":2014.3575,"BA-US^FE_ESTIMATE(DEP_AMORT_EXP,MEAN,ANN_ROLL,2025,45384,,,'')":1918.9164,"BA-US^FE_ESTIMATE(DEP_AMORT_EXP,MEAN,ANN_ROLL,2024,45384,,,'')":1867.1672,"BA-US^FE_VALUATION(GROSS_MARGIN,MEAN,ANN_ROLL,2026,45384,,,'')/100":0.14316215,"BA-US^FE_VALUATION(GROSS_MARGIN,MEAN,ANN_ROLL,2025,45384,,,'')/100":0.1488901,"BA-US^FE_VALUATION(GROSS_MARGIN,MEAN,ANN_ROLL,2024,45384,,,'')/100":0.13148516,"BA-US^FE_ESTIMATE(GROSS_INC,MEAN,ANN_ROLL,2026,45384,,,'')":15484.463,"BA-US^FE_ESTIMATE(GROSS_INC,MEAN,ANN_ROLL,2025,45384,,,'')":14566.664,"BA-US^FE_ESTIMATE(GROSS_INC,MEAN,ANN_ROLL,2024,45384,,,'')":11443.722,"BA-US^FE_ESTIMATE(COS,MEAN,ANN_ROLL,2026,45384,,,'')":89902.19,"BA-US^FE_ESTIMATE(COS,MEAN,ANN_ROLL,2025,45384,,,'')":80965.5,"BA-US^FE_ESTIMATE(COS,MEAN,ANN_ROLL,2024,45384,,,'')":73961.805,"BA-US^FE_ESTIMATE(SALES,MEAN,ANN_ROLL,2026,45384,,,'')":108160.31,"BA-US^FE_ESTIMATE(SALES,MEAN,ANN_ROLL,2025,45384,,,'')":97835.016,"BA-US^FE_ESTIMATE(SALES,MEAN,ANN_ROLL,2024,45384,,,'')":87034.32,"BA-US^FE_ESTIMATE(EBITDAR,MEAN,ANN_ROLL,2026,45384,,,'')":null,"BA-US^FE_ESTIMATE(EBITDAR,MEAN,ANN_ROLL,2025,45384,,,'')":null,"BA-US^FE_ESTIMATE(EBITDAR,MEAN,ANN_ROLL,2024,45384,,,'')":null,"BA-US^FE_ESTIMATE(OPER_EXP,MEAN,ANN_ROLL,2026,45384,,,'')":null,"BA-US^FE_ESTIMATE(OPER_EXP,MEAN,ANN_ROLL,2025,45384,,,'')":null,"BA-US^FE_ESTIMATE(OPER_EXP,MEAN,ANN_ROLL,2024,45384,,,'')":null,"BA-US^FE_ESTIMATE(RD_EXP,MEAN,ANN_ROLL,2026,45384,,,'')":2971.75,"BA-US^FE_ESTIMATE(RD_EXP,MEAN,ANN_ROLL,2025,45384,,,'')":3270.0,"BA-US^FE_ESTIMATE(RD_EXP,MEAN,ANN_ROLL,2024,45384,,,'')":3257.625,"BA-US^FE_ESTIMATE(G_A_EXP,MEAN,ANN_ROLL,2026,45384,,,'')":5722.0,"BA-US^FE_ESTIMATE(G_A_EXP,MEAN,ANN_ROLL,2025,45384,,,'')":5061.6,"BA-US^FE_ESTIMATE(G_A_EXP,MEAN,ANN_ROLL,2024,45384,,,'')":4849.4,"BA-US^FE_ESTIMATE(SGA,MEAN,ANN_ROLL,2026,45384,,,'')":6344.3193,"BA-US^FE_ESTIMATE(SGA,MEAN,ANN_ROLL,2025,45384,,,'')":5976.023,"BA-US^FE_ESTIMATE(SGA,MEAN,ANN_ROLL,2024,45384,,,'')":5440.3955,"BA-US^FE_ESTIMATE(FCFPS,MEAN,QTR_ROLL,2024/1F,45384,,,'')":-5.571355,"BA-US^FE_ESTIMATE(FCF,MEAN,QTR_ROLL,2024/1F,45384,,,'')":-2750.9011,"BA-US^FE_ESTIMATE(CAPEX,MEAN,QTR_ROLL,2024/1F,45384,,,'')":417.06833,"BA-US^FE_ESTIMATE(CF_OP,MEAN,QTR_ROLL,2024/1F,45384,,,'')":-2452.6667,"BA-US^FE_ESTIMATE(NET_DEBT,MEAN,QTR_ROLL,2024/1F,45384,,,'')":40462.0,"BA-US^FE_ESTIMATE(DEBT,MEAN,QTR_ROLL,2024/1F,45384,,,'')":47907.0,"BA-US^FE_ESTIMATE(CASH_ST,MEAN,QTR_ROLL,2024/1F,45384,,,'')":6740.6665,"BA-US^FE_ESTIMATE(DPS,MEAN,QTR_ROLL,2024/1F,45384,,,'')":0.14285715,"BA-US^FE_ESTIMATE(EPS_GAAP,MEAN,QTR_ROLL,2024/1F,45384,,,'')":0.20488867,"BA-US^FE_ESTIMATE(NET_INC_REP,MEAN,QTR_ROLL,2024/1F,45384,,,'')":-462.5984,"BA-US^FE_ESTIMATE(PTX_INC_REP,MEAN,QTR_ROLL,2024/1F,45384,,,'')":-835.42267,"BA-US^FE_ESTIMATE(EBITDA_REP,MEAN,QTR_ROLL,2024/1F,45384,,,'')":300.28323,"BA-US^FE_ESTIMATE(EPS,MEAN,QTR_ROLL,2024/1F,45384,,,'')":-1.3033861,"BA-US^FE_ESTIMATE(NET_INC,MEAN,QTR_ROLL,2024/1F,45384,,,'')":-547.83655,"BA-US^FE_VALUATION(TAX_RATE,MEAN,QTR_ROLL,2024/1F,45384,,,'')/100":0.0020219393,"BA-US^FE_ESTIMATE(INC_TAX,MEAN,QTR_ROLL,2024/1F,45384,,,'')":-43.384617,"BA-US^FE_ESTIMATE(PTX_INC,MEAN,QTR_ROLL,2024/1F,45384,,,'')":-214.56934,"BA-US^FE_ESTIMATE(INT_EXP,MEAN,QTR_ROLL,2024/1F,45384,,,'')":590.2727,"BA-US^FE_ESTIMATE(EBIT,MEAN,QTR_ROLL,2024/1F,45384,,,'')":2.3376431,"BA-US^FE_ESTIMATE(DEP_AMORT_EXP,MEAN,QTR_ROLL,2024/1F,45384,,,'')":461.0,"BA-US^FE_ESTIMATE(EBITDA,MEAN,QTR_ROLL,2024/1F,45384,,,'')":300.28323,"BA-US^FE_ESTIMATE(EBITDAR,MEAN,QTR_ROLL,2024/1F,45384,,,'')":null,"BA-US^FE_ESTIMATE(OPER_EXP,MEAN,QTR_ROLL,2024/1F,45384,,,'')":null,"BA-US^FE_ESTIMATE(RD_EXP,MEAN,QTR_ROLL,2024/1F,45384,,,'')":748.625,"BA-US^FE_ESTIMATE(G_A_EXP,MEAN,QTR_ROLL,2024/1F,45384,,,'')":1060.6,"BA-US^FE_ESTIMATE(SGA,MEAN,QTR_ROLL,2024/1F,45384,,,'')":1161.6666,"BA-US^FE_VALUATION(GROSS_MARGIN,MEAN,QTR_ROLL,2024/1F,45384,,,'')/100":0.11041422,"BA-US^FE_ESTIMATE(GROSS_INC,MEAN,QTR_ROLL,2024/1F,45384,,,'')":2055.4,"BA-US^FE_ESTIMATE(COS,MEAN,QTR_ROLL,2024/1F,45384,,,'')":16137.0,"BA-US^FE_ESTIMATE(SALES,MEAN,QTR_ROLL,2024/1F,45384,,,'')":18615.355,"BA-US^FE_ESTIMATE(FCFPS,MEAN,ANN_ROLL,2026,45390,,,'')":15.8350115,"BA-US^FE_ESTIMATE(FCFPS,MEAN,ANN_ROLL,2025,45390,,,'')":11.37183,"BA-US^FE_ESTIMATE(FCFPS,MEAN,ANN_ROLL,2024,45390,,,'')":4.4953866,"BA-US^FE_ESTIMATE(FCFPS,MEAN,ANN_ROLL,2023,45390,,,'')":7.203665,"BA-US^FE_ESTIMATE(FCFPS,MEAN,ANN_ROLL,2022,45390,,,'')":4.023713,"BA-US^FE_ESTIMATE(FCFPS,MEAN,ANN_ROLL,2021,45390,,,'')":-6.8795238,"BA-US^FE_ESTIMATE(FCF,MEAN,ANN_ROLL,2026,45390,,,'')":9758.4795,"BA-US^FE_ESTIMATE(FCF,MEAN,ANN_ROLL,2025,45390,,,'')":7233.2627,"BA-US^FE_ESTIMATE(FCF,MEAN,ANN_ROLL,2024,45390,,,'')":2908.2168,"BA-US^FE_ESTIMATE(FCF,MEAN,ANN_ROLL,2023,45390,,,'')":4433.0,"BA-US^FE_ESTIMATE(FCF,MEAN,ANN_ROLL,2022,45390,,,'')":2290.0,"BA-US^FE_ESTIMATE(FCF,MEAN,ANN_ROLL,2021,45390,,,'')":-3560.0,"BA-US^FE_ESTIMATE(DPS,MEAN,ANN_ROLL,2026,45390,,,'')":2.2443736,"BA-US^FE_ESTIMATE(DPS,MEAN,ANN_ROLL,2025,45390,,,'')":0.7005383,"BA-US^FE_ESTIMATE(DPS,MEAN,ANN_ROLL,2024,45390,,,'')":0.36454546,"BA-US^FE_ESTIMATE(DPS,MEAN,ANN_ROLL,2023,45390,,,'')":0.0,"BA-US^FE_ESTIMATE(DPS,MEAN,ANN_ROLL,2022,45390,,,'')":0.0,"BA-US^FE_ESTIMATE(DPS,MEAN,ANN_ROLL,2021,45390,,,'')":0.0,"BA-US^FE_ESTIMATE(EPS_GAAP,MEAN,ANN_ROLL,2026,45390,,,'')":11.686207,"BA-US^FE_ESTIMATE(EPS_GAAP,MEAN,ANN_ROLL,2025,45390,,,'')":8.1899605,"BA-US^FE_ESTIMATE(EPS_GAAP,MEAN,ANN_ROLL,2024,45390,,,'')":2.820984,"BA-US^FE_ESTIMATE(EPS_GAAP,MEAN,ANN_ROLL,2023,45390,,,'')":-3.67,"BA-US^FE_ESTIMATE(EPS_GAAP,MEAN,ANN_ROLL,2022,45390,,,'')":-8.3,"BA-US^FE_ESTIMATE(EPS_GAAP,MEAN,ANN_ROLL,2021,45390,,,'')":-7.15,"BA-US^FE_ESTIMATE(NET_INC_REP,MEAN,ANN_ROLL,2026,45390,,,'')":7379.643,"BA-US^FE_ESTIMATE(NET_INC_REP,MEAN,ANN_ROLL,2025,45390,,,'')":5090.3696,"BA-US^FE_ESTIMATE(NET_INC_REP,MEAN,ANN_ROLL,2024,45390,,,'')":2034.8907,"BA-US^FE_ESTIMATE(NET_INC_REP,MEAN,ANN_ROLL,2023,45390,,,'')":-2222.0,"BA-US^FE_ESTIMATE(NET_INC_REP,MEAN,ANN_ROLL,2022,45390,,,'')":-4935.0,"BA-US^FE_ESTIMATE(NET_INC_REP,MEAN,ANN_ROLL,2021,45390,,,'')":-4202.0,"BA-US^FE_ESTIMATE(PTX_INC_REP,MEAN,ANN_ROLL,2026,45390,,,'')":8730.682,"BA-US^FE_ESTIMATE(PTX_INC_REP,MEAN,ANN_ROLL,2025,45390,,,'')":5706.782,"BA-US^FE_ESTIMATE(PTX_INC_REP,MEAN,ANN_ROLL,2024,45390,,,'')":1612.7189,"BA-US^FE_ESTIMATE(PTX_INC_REP,MEAN,ANN_ROLL,2023,45390,,,'')":-2005.0,"BA-US^FE_ESTIMATE(PTX_INC_REP,MEAN,ANN_ROLL,2022,45390,,,'')":-5022.0,"BA-US^FE_ESTIMATE(PTX_INC_REP,MEAN,ANN_ROLL,2021,45390,,,'')":-6158.0,"BA-US^FE_ESTIMATE(EBITDA_REP,MEAN,ANN_ROLL,2026,45390,,,'')":12211.401,"BA-US^FE_ESTIMATE(EBITDA_REP,MEAN,ANN_ROLL,2025,45390,,,'')":9322.892,"BA-US^FE_ESTIMATE(EBITDA_REP,MEAN,ANN_ROLL,2024,45390,,,'')":5139.986,"BA-US^FE_ESTIMATE(EBITDA_REP,MEAN,ANN_ROLL,2023,45390,,,'')":1085.1666,"BA-US^FE_ESTIMATE(EBITDA_REP,MEAN,ANN_ROLL,2022,45390,,,'')":-1599.0416,"BA-US^FE_ESTIMATE(EBITDA_REP,MEAN,ANN_ROLL,2021,45390,,,'')":-747.6,"BA-US^FE_ESTIMATE(EPS,MEAN,ANN_ROLL,2026,45390,,,'')":10.087552,"BA-US^FE_ESTIMATE(EPS,MEAN,ANN_ROLL,2025,45390,,,'')":6.6896863,"BA-US^FE_ESTIMATE(EPS,MEAN,ANN_ROLL,2024,45390,,,'')":0.71633846,"BA-US^FE_ESTIMATE(EPS,MEAN,ANN_ROLL,2023,45390,,,'')":-5.81,"BA-US^FE_ESTIMATE(EPS,MEAN,ANN_ROLL,2022,45390,,,'')":-11.06,"BA-US^FE_ESTIMATE(EPS,MEAN,ANN_ROLL,2021,45390,,,'')":-9.44,"BA-US^FE_ESTIMATE(NET_INC,MEAN,ANN_ROLL,2026,45390,,,'')":7201.319,"BA-US^FE_ESTIMATE(NET_INC,MEAN,ANN_ROLL,2025,45390,,,'')":5042.5024,"BA-US^FE_ESTIMATE(NET_INC,MEAN,ANN_ROLL,2024,45390,,,'')":2031.3967,"BA-US^FE_ESTIMATE(NET_INC,MEAN,ANN_ROLL,2023,45390,,,'')":-2222.0,"BA-US^FE_ESTIMATE(NET_INC,MEAN,ANN_ROLL,2022,45390,,,'')":-4935.0,"BA-US^FE_ESTIMATE(NET_INC,MEAN,ANN_ROLL,2021,45390,,,'')":-4202.0,"BA-US^FE_VALUATION(TAX_RATE,MEAN,ANN_ROLL,2026,45390,,,'')/100":0.0017347616,"BA-US^FE_VALUATION(TAX_RATE,MEAN,ANN_ROLL,2025,45390,,,'')/100":0.001612221,"BA-US^FE_VALUATION(TAX_RATE,MEAN,ANN_ROLL,2024,45390,,,'')/100":0.0008894947,"BA-US^FE_VALUATION(TAX_RATE,MEAN,ANN_ROLL,2023,45390,,,'')/100":-0.0010742124,"BA-US^FE_VALUATION(TAX_RATE,MEAN,ANN_ROLL,2022,45390,,,'')/100":3.8287817E-06,"BA-US^FE_VALUATION(TAX_RATE,MEAN,ANN_ROLL,2021,45390,,,'')/100":0.0014517867,"BA-US^FE_ESTIMATE(INC_TAX,MEAN,ANN_ROLL,2026,45390,,,'')":1552.6666,"BA-US^FE_ESTIMATE(INC_TAX,MEAN,ANN_ROLL,2025,45390,,,'')":993.3333,"BA-US^FE_ESTIMATE(INC_TAX,MEAN,ANN_ROLL,2024,45390,,,'')":243.3077,"BA-US^FE_ESTIMATE(INC_TAX,MEAN,ANN_ROLL,2023,45390,,,'')":206.07692,"BA-US^FE_ESTIMATE(INC_TAX,MEAN,ANN_ROLL,2022,45390,,,'')":-1.9166666,"BA-US^FE_ESTIMATE(INC_TAX,MEAN,ANN_ROLL,2021,45390,,,'')":-743.0,"BA-US^FE_ESTIMATE(PTX_INC,MEAN,ANN_ROLL,2026,45390,,,'')":8950.317,"BA-US^FE_ESTIMATE(PTX_INC,MEAN,ANN_ROLL,2025,45390,,,'')":6161.2725,"BA-US^FE_ESTIMATE(PTX_INC,MEAN,ANN_ROLL,2024,45390,,,'')":2735.3472,"BA-US^FE_ESTIMATE(PTX_INC,MEAN,ANN_ROLL,2023,45390,,,'')":-1918.4,"BA-US^FE_ESTIMATE(PTX_INC,MEAN,ANN_ROLL,2022,45390,,,'')":-5005.9443,"BA-US^FE_ESTIMATE(PTX_INC,MEAN,ANN_ROLL,2021,45390,,,'')":-5117.8315,"BA-US^FE_ESTIMATE(INT_EXP,MEAN,ANN_ROLL,2026,45390,,,'')":1789.3071,"BA-US^FE_ESTIMATE(INT_EXP,MEAN,ANN_ROLL,2025,45390,,,'')":2097.0557,"BA-US^FE_ESTIMATE(INT_EXP,MEAN,ANN_ROLL,2024,45390,,,'')":2300.0852,"BA-US^FE_ESTIMATE(INT_EXP,MEAN,ANN_ROLL,2023,45390,,,'')":2459.0,"BA-US^FE_ESTIMATE(INT_EXP,MEAN,ANN_ROLL,2022,45390,,,'')":2533.0,"BA-US^FE_ESTIMATE(INT_EXP,MEAN,ANN_ROLL,2021,45390,,,'')":2682.0,"BA-US^FE_ESTIMATE(EBIT,MEAN,ANN_ROLL,2026,45390,,,'')":9806.674,"BA-US^FE_ESTIMATE(EBIT,MEAN,ANN_ROLL,2025,45390,,,'')":7225.378,"BA-US^FE_ESTIMATE(EBIT,MEAN,ANN_ROLL,2024,45390,,,'')":3898.4097,"BA-US^FE_ESTIMATE(EBIT,MEAN,ANN_ROLL,2023,45390,,,'')":-775.0,"BA-US^FE_ESTIMATE(EBIT,MEAN,ANN_ROLL,2022,45390,,,'')":-3547.0,"BA-US^FE_ESTIMATE(EBIT,MEAN,ANN_ROLL,2021,45390,,,'')":-2896.4656,"BA-US^FE_ESTIMATE(DEP_AMORT_EXP,MEAN,ANN_ROLL,2026,45390,,,'')":2000.6075,"BA-US^FE_ESTIMATE(DEP_AMORT_EXP,MEAN,ANN_ROLL,2025,45390,,,'')":1910.9164,"BA-US^FE_ESTIMATE(DEP_AMORT_EXP,MEAN,ANN_ROLL,2024,45390,,,'')":1856.44,"BA-US^FE_ESTIMATE(DEP_AMORT_EXP,MEAN,ANN_ROLL,2023,45390,,,'')":1861.0,"BA-US^FE_ESTIMATE(DEP_AMORT_EXP,MEAN,ANN_ROLL,2022,45390,,,'')":1951.7778,"BA-US^FE_ESTIMATE(DEP_AMORT_EXP,MEAN,ANN_ROLL,2021,45390,,,'')":2154.889,"BA-US^FE_ESTIMATE(EBITDAR,MEAN,ANN_ROLL,2026,45390,,,'')":null,"BA-US^FE_ESTIMATE(EBITDAR,MEAN,ANN_ROLL,2025,45390,,,'')":null,"BA-US^FE_ESTIMATE(EBITDAR,MEAN,ANN_ROLL,2024,45390,,,'')":null,"BA-US^FE_ESTIMATE(EBITDAR,MEAN,ANN_ROLL,2023,45390,,,'')":null,"BA-US^FE_ESTIMATE(EBITDAR,MEAN,ANN_ROLL,2022,45390,,,'')":null,"BA-US^FE_ESTIMATE(EBITDAR,MEAN,ANN_ROLL,2021,45390,,,'')":null,"BA-US^FE_ESTIMATE(OPER_EXP,MEAN,ANN_ROLL,2026,45390,,,'')":null,"BA-US^FE_ESTIMATE(OPER_EXP,MEAN,ANN_ROLL,2025,45390,,,'')":null,"BA-US^FE_ESTIMATE(OPER_EXP,MEAN,ANN_ROLL,2024,45390,,,'')":null,"BA-US^FE_ESTIMATE(OPER_EXP,MEAN,ANN_ROLL,2023,45390,,,'')":null,"BA-US^FE_ESTIMATE(OPER_EXP,MEAN,ANN_ROLL,2022,45390,,,'')":null,"BA-US^FE_ESTIMATE(OPER_EXP,MEAN,ANN_ROLL,2021,45390,,,'')":null,"BA-US^FE_ESTIMATE(RD_EXP,MEAN,ANN_ROLL,2026,45390,,,'')":2971.75,"BA-US^FE_ESTIMATE(RD_EXP,MEAN,ANN_ROLL,2025,45390,,,'')":3270.0,"BA-US^FE_ESTIMATE(RD_EXP,MEAN,ANN_ROLL,2024,45390,,,'')":3255.125,"BA-US^FE_ESTIMATE(RD_EXP,MEAN,ANN_ROLL,2023,45390,,,'')":3200.25,"BA-US^FE_ESTIMATE(RD_EXP,MEAN,ANN_ROLL,2022,45390,,,'')":2825.3333,"BA-US^FE_ESTIMATE(RD_EXP,MEAN,ANN_ROLL,2021,45390,,,'')":2249.0,"BA-US^FE_ESTIMATE(G_A_EXP,MEAN,ANN_ROLL,2026,45390,,,'')":5722.0,"BA-US^FE_ESTIMATE(G_A_EXP,MEAN,ANN_ROLL,2025,45390,,,'')":5061.6,"BA-US^FE_ESTIMATE(G_A_EXP,MEAN,ANN_ROLL,2024,45390,,,'')":4845.4,"BA-US^FE_ESTIMATE(G_A_EXP,MEAN,ANN_ROLL,2023,45390,,,'')":4654.0,"BA-US^FE_ESTIMATE(G_A_EXP,MEAN,ANN_ROLL,2022,45390,,,'')":4056.0,"BA-US^FE_ESTIMATE(G_A_EXP,MEAN,ANN_ROLL,2021,45390,,,'')":4157.0,"BA-US^FE_ESTIMATE(SGA,MEAN,ANN_ROLL,2026,45390,,,'')":6344.3193,"BA-US^FE_ESTIMATE(SGA,MEAN,ANN_ROLL,2025,45390,,,'')":5976.023,"BA-US^FE_ESTIMATE(SGA,MEAN,ANN_ROLL,2024,45390,,,'')":5440.3955,"BA-US^FE_ESTIMATE(SGA,MEAN,ANN_ROLL,2023,45390,,,'')":5168.0,"BA-US^FE_ESTIMATE(SGA,MEAN,ANN_ROLL,2022,45390,,,'')":4187.0,"BA-US^FE_ESTIMATE(SGA,MEAN,ANN_ROLL,2021,45390,,,'')":4157.0,"BA-US^FE_VALUATION(GROSS_MARGIN,MEAN,ANN_ROLL,2026,45390,,,'')/100":0.14373477,"BA-US^FE_VALUATION(GROSS_MARGIN,MEAN,ANN_ROLL,2025,45390,,,'')/100":0.14928699,"BA-US^FE_VALUATION(GROSS_MARGIN,MEAN,ANN_ROLL,2024,45390,,,'')/100":0.13239549,"BA-US^FE_VALUATION(GROSS_MARGIN,MEAN,ANN_ROLL,2023,45390,,,'')/100":0.104326814,"BA-US^FE_VALUATION(GROSS_MARGIN,MEAN,ANN_ROLL,2022,45390,,,'')/100":0.05598427,"BA-US^FE_VALUATION(GROSS_MARGIN,MEAN,ANN_ROLL,2021,45390,,,'')/100":0.054560147,"BA-US^FE_ESTIMATE(GROSS_INC,MEAN,ANN_ROLL,2026,45390,,,'')":15484.463,"BA-US^FE_ESTIMATE(GROSS_INC,MEAN,ANN_ROLL,2025,45390,,,'')":14566.664,"BA-US^FE_ESTIMATE(GROSS_INC,MEAN,ANN_ROLL,2024,45390,,,'')":11443.722,"BA-US^FE_ESTIMATE(GROSS_INC,MEAN,ANN_ROLL,2023,45390,,,'')":8116.0,"BA-US^FE_ESTIMATE(GROSS_INC,MEAN,ANN_ROLL,2022,45390,,,'')":3729.0,"BA-US^FE_ESTIMATE(GROSS_INC,MEAN,ANN_ROLL,2021,45390,,,'')":3398.3333,"BA-US^FE_ESTIMATE(COS,MEAN,ANN_ROLL,2026,45390,,,'')":89902.19,"BA-US^FE_ESTIMATE(COS,MEAN,ANN_ROLL,2025,45390,,,'')":80965.5,"BA-US^FE_ESTIMATE(COS,MEAN,ANN_ROLL,2024,45390,,,'')":73930.6,"BA-US^FE_ESTIMATE(COS,MEAN,ANN_ROLL,2023,45390,,,'')":68810.37,"BA-US^FE_ESTIMATE(COS,MEAN,ANN_ROLL,2022,45390,,,'')":61865.25,"BA-US^FE_ESTIMATE(COS,MEAN,ANN_ROLL,2021,45390,,,'')":58749.145,"BA-US^FE_ESTIMATE(SALES,MEAN,ANN_ROLL,2026,45390,,,'')":107729.42,"BA-US^FE_ESTIMATE(SALES,MEAN,ANN_ROLL,2025,45390,,,'')":97574.91,"BA-US^FE_ESTIMATE(SALES,MEAN,ANN_ROLL,2024,45390,,,'')":86435.88,"BA-US^FE_ESTIMATE(SALES,MEAN,ANN_ROLL,2023,45390,,,'')":77794.0,"BA-US^FE_ESTIMATE(SALES,MEAN,ANN_ROLL,2022,45390,,,'')":66608.0,"BA-US^FE_ESTIMATE(SALES,MEAN,ANN_ROLL,2021,45390,,,'')":62286.0,"BA-US^FE_ESTIMATE(EBITDA,MEAN,ANN_ROLL,2021,45390,,,'')":-748.5376,"BA-US^FE_ESTIMATE(FCFPS,MEAN,QTR_ROLL,2024/1F,45391,,,'')":-5.579355,"BA-US^FE_ESTIMATE(FCF,MEAN,QTR_ROLL,2024/1F,45391,,,'')":-3739.7583,"BA-US^FE_ESTIMATE(CAPEX,MEAN,QTR_ROLL,2024/1F,45391,,,'')":417.06833,"BA-US^FE_ESTIMATE(CF_OP,MEAN,QTR_ROLL,2024/1F,45391,,,'')":-3285.5,"BA-US^FE_ESTIMATE(NET_DEBT,MEAN,QTR_ROLL,2024/1F,45391,,,'')":40474.0,"BA-US^FE_ESTIMATE(DEBT,MEAN,QTR_ROLL,2024/1F,45391,,,'')":47907.0,"BA-US^FE_ESTIMATE(CASH_ST,MEAN,QTR_ROLL,2024/1F,45391,,,'')":6732.6665,"BA-US^FE_ESTIMATE(DPS,MEAN,QTR_ROLL,2024/1F,45391,,,'')":0.14285715,"BA-US^FE_ESTIMATE(EPS_GAAP,MEAN,QTR_ROLL,2024/1F,45391,,,'')":-1.2255785,"BA-US^FE_ESTIMATE(NET_INC_REP,MEAN,QTR_ROLL,2024/1F,45391,,,'')":-622.15576,"BA-US^FE_ESTIMATE(PTX_INC_REP,MEAN,QTR_ROLL,2024/1F,45391,,,'')":-835.42267,"BA-US^FE_ESTIMATE(EBITDA_REP,MEAN,QTR_ROLL,2024/1F,45391,,,'')":-32.133423,"BA-US^FE_ESTIMATE(EPS,MEAN,QTR_ROLL,2024/1F,45391,,,'')":-1.4388776,"BA-US^FE_ESTIMATE(NET_INC,MEAN,QTR_ROLL,2024/1F,45391,,,'')":-676.7945,"BA-US^FE_VALUATION(TAX_RATE,MEAN,QTR_ROLL,2024/1F,45391,,,'')/100":0.0025959422,"BA-US^FE_ESTIMATE(INC_TAX,MEAN,QTR_ROLL,2024/1F,45391,,,'')":-116.30769,"BA-US^FE_ESTIMATE(PTX_INC,MEAN,QTR_ROLL,2024/1F,45391,,,'')":-448.0365,"BA-US^FE_ESTIMATE(INT_EXP,MEAN,QTR_ROLL,2024/1F,45391,,,'')":590.2727,"BA-US^FE_ESTIMATE(EBIT,MEAN,QTR_ROLL,2024/1F,45391,,,'')":-180.92137,"BA-US^FE_ESTIMATE(DEP_AMORT_EXP,MEAN,QTR_ROLL,2024/1F,45391,,,'')":461.0,"BA-US^FE_ESTIMATE(EBITDA,MEAN,QTR_ROLL,2024/1F,45391,,,'')":-32.133423,"BA-US^FE_ESTIMATE(EBITDAR,MEAN,QTR_ROLL,2024/1F,45391,,,'')":null,"BA-US^FE_ESTIMATE(OPER_EXP,MEAN,QTR_ROLL,2024/1F,45391,,,'')":null,"BA-US^FE_ESTIMATE(RD_EXP,MEAN,QTR_ROLL,2024/1F,45391,,,'')":748.625,"BA-US^FE_ESTIMATE(G_A_EXP,MEAN,QTR_ROLL,2024/1F,45391,,,'')":1060.6,"BA-US^FE_ESTIMATE(SGA,MEAN,QTR_ROLL,2024/1F,45391,,,'')":1161.6666,"BA-US^FE_VALUATION(GROSS_MARGIN,MEAN,QTR_ROLL,2024/1F,45391,,,'')/100":0.11468677,"BA-US^FE_ESTIMATE(GROSS_INC,MEAN,QTR_ROLL,2024/1F,45391,,,'')":2055.4,"BA-US^FE_ESTIMATE(COS,MEAN,QTR_ROLL,2024/1F,45391,,,'')":15701.143,"BA-US^FE_ESTIMATE(SALES,MEAN,QTR_ROLL,2024/1F,45391,,,'')":17921.855,"BA-US^FE_ESTIMATE(FCFPS,MEAN,ANN_ROLL,2026,45391,,,'')":15.831375,"BA-US^FE_ESTIMATE(FCFPS,MEAN,ANN_ROLL,2025,45391,,,'')":11.34933,"BA-US^FE_ESTIMATE(FCFPS,MEAN,ANN_ROLL,2024,45391,,,'')":4.4653864,"BA-US^FE_ESTIMATE(FCFPS,MEAN,ANN_ROLL,2023,45391,,,'')":7.203665,"BA-US^FE_ESTIMATE(FCFPS,MEAN,ANN_ROLL,2022,45391,,,'')":4.023713,"BA-US^FE_ESTIMATE(FCFPS,MEAN,ANN_ROLL,2021,45391,,,'')":-6.8795238,"BA-US^FE_ESTIMATE(FCF,MEAN,ANN_ROLL,2026,45391,,,'')":9757.694,"BA-US^FE_ESTIMATE(FCF,MEAN,ANN_ROLL,2025,45391,,,'')":7222.95,"BA-US^FE_ESTIMATE(FCF,MEAN,ANN_ROLL,2024,45391,,,'')":2895.158,"BA-US^FE_ESTIMATE(FCF,MEAN,ANN_ROLL,2023,45391,,,'')":4433.0,"BA-US^FE_ESTIMATE(FCF,MEAN,ANN_ROLL,2022,45391,,,'')":2290.0,"BA-US^FE_ESTIMATE(FCF,MEAN,ANN_ROLL,2021,45391,,,'')":-3560.0,"BA-US^FE_ESTIMATE(DPS,MEAN,ANN_ROLL,2026,45391,,,'')":2.2443736,"BA-US^FE_ESTIMATE(DPS,MEAN,ANN_ROLL,2025,45391,,,'')":0.7005383,"BA-US^FE_ESTIMATE(DPS,MEAN,ANN_ROLL,2024,45391,,,'')":0.36454546,"BA-US^FE_ESTIMATE(DPS,MEAN,ANN_ROLL,2023,45391,,,'')":0.0,"BA-US^FE_ESTIMATE(DPS,MEAN,ANN_ROLL,2022,45391,,,'')":0.0,"BA-US^FE_ESTIMATE(DPS,MEAN,ANN_ROLL,2021,45391,,,'')":0.0,"BA-US^FE_ESTIMATE(EPS_GAAP,MEAN,ANN_ROLL,2026,45391,,,'')":11.681207,"BA-US^FE_ESTIMATE(EPS_GAAP,MEAN,ANN_ROLL,2025,45391,,,'')":8.186802,"BA-US^FE_ESTIMATE(EPS_GAAP,MEAN,ANN_ROLL,2024,45391,,,'')":2.823484,"BA-US^FE_ESTIMATE(EPS_GAAP,MEAN,ANN_ROLL,2023,45391,,,'')":-3.67,"BA-US^FE_ESTIMATE(EPS_GAAP,MEAN,ANN_ROLL,2022,45391,,,'')":-8.3,"BA-US^FE_ESTIMATE(EPS_GAAP,MEAN,ANN_ROLL,2021,45391,,,'')":-7.15,"BA-US^FE_ESTIMATE(NET_INC_REP,MEAN,ANN_ROLL,2026,45391,,,'')":7379.643,"BA-US^FE_ESTIMATE(NET_INC_REP,MEAN,ANN_ROLL,2025,45391,,,'')":5090.3696,"BA-US^FE_ESTIMATE(NET_INC_REP,MEAN,ANN_ROLL,2024,45391,,,'')":2034.8907,"BA-US^FE_ESTIMATE(NET_INC_REP,MEAN,ANN_ROLL,2023,45391,,,'')":-2222.0,"BA-US^FE_ESTIMATE(NET_INC_REP,MEAN,ANN_ROLL,2022,45391,,,'')":-4935.0,"BA-US^FE_ESTIMATE(NET_INC_REP,MEAN,ANN_ROLL,2021,45391,,,'')":-4202.0,"BA-US^FE_ESTIMATE(PTX_INC_REP,MEAN,ANN_ROLL,2026,45391,,,'')":8730.682,"BA-US^FE_ESTIMATE(PTX_INC_REP,MEAN,ANN_ROLL,2025,45391,,,'')":5706.782,"BA-US^FE_ESTIMATE(PTX_INC_REP,MEAN,ANN_ROLL,2024,45391,,,'')":1612.7189,"BA-US^FE_ESTIMATE(PTX_INC_REP,MEAN,ANN_ROLL,2023,45391,,,'')":-2005.0,"BA-US^FE_ESTIMATE(PTX_INC_REP,MEAN,ANN_ROLL,2022,45391,,,'')":-5022.0,"BA-US^FE_ESTIMATE(PTX_INC_REP,MEAN,ANN_ROLL,2021,45391,,,'')":-6158.0,"BA-US^FE_ESTIMATE(EBITDA_REP,MEAN,ANN_ROLL,2026,45391,,,'')":12211.401,"BA-US^FE_ESTIMATE(EBITDA_REP,MEAN,ANN_ROLL,2025,45391,,,'')":9322.892,"BA-US^FE_ESTIMATE(EBITDA_REP,MEAN,ANN_ROLL,2024,45391,,,'')":5139.986,"BA-US^FE_ESTIMATE(EBITDA_REP,MEAN,ANN_ROLL,2023,45391,,,'')":1085.1666,"BA-US^FE_ESTIMATE(EBITDA_REP,MEAN,ANN_ROLL,2022,45391,,,'')":-1599.0416,"BA-US^FE_ESTIMATE(EBITDA_REP,MEAN,ANN_ROLL,2021,45391,,,'')":-747.6,"BA-US^FE_ESTIMATE(EPS,MEAN,ANN_ROLL,2026,45391,,,'')":10.082886,"BA-US^FE_ESTIMATE(EPS,MEAN,ANN_ROLL,2025,45391,,,'')":6.6875124,"BA-US^FE_ESTIMATE(EPS,MEAN,ANN_ROLL,2024,45391,,,'')":0.7207385,"BA-US^FE_ESTIMATE(EPS,MEAN,ANN_ROLL,2023,45391,,,'')":-5.81,"BA-US^FE_ESTIMATE(EPS,MEAN,ANN_ROLL,2022,45391,,,'')":-11.06,"BA-US^FE_ESTIMATE(EPS,MEAN,ANN_ROLL,2021,45391,,,'')":-9.44,"BA-US^FE_ESTIMATE(NET_INC,MEAN,ANN_ROLL,2026,45391,,,'')":7201.319,"BA-US^FE_ESTIMATE(NET_INC,MEAN,ANN_ROLL,2025,45391,,,'')":5042.5024,"BA-US^FE_ESTIMATE(NET_INC,MEAN,ANN_ROLL,2024,45391,,,'')":2031.3967,"BA-US^FE_ESTIMATE(NET_INC,MEAN,ANN_ROLL,2023,45391,,,'')":-2222.0,"BA-US^FE_ESTIMATE(NET_INC,MEAN,ANN_ROLL,2022,45391,,,'')":-4935.0,"BA-US^FE_ESTIMATE(NET_INC,MEAN,ANN_ROLL,2021,45391,,,'')":-4202.0,"BA-US^FE_VALUATION(TAX_RATE,MEAN,ANN_ROLL,2026,45391,,,'')/100":0.0017347616,"BA-US^FE_VALUATION(TAX_RATE,MEAN,ANN_ROLL,2025,45391,,,'')/100":0.001612221,"BA-US^FE_VALUATION(TAX_RATE,MEAN,ANN_ROLL,2024,45391,,,'')/100":0.0008894947,"BA-US^FE_VALUATION(TAX_RATE,MEAN,ANN_ROLL,2023,45391,,,'')/100":-0.0010742124,"BA-US^FE_VALUATION(TAX_RATE,MEAN,ANN_ROLL,2022,45391,,,'')/100":3.8287817E-06,"BA-US^FE_VALUATION(TAX_RATE,MEAN,ANN_ROLL,2021,45391,,,'')/100":0.0014517867,"BA-US^FE_ESTIMATE(INC_TAX,MEAN,ANN_ROLL,2026,45391,,,'')":1552.6666,"BA-US^FE_ESTIMATE(INC_TAX,MEAN,ANN_ROLL,2025,45391,,,'')":993.3333,"BA-US^FE_ESTIMATE(INC_TAX,MEAN,ANN_ROLL,2024,45391,,,'')":243.3077,"BA-US^FE_ESTIMATE(INC_TAX,MEAN,ANN_ROLL,2023,45391,,,'')":206.07692,"BA-US^FE_ESTIMATE(INC_TAX,MEAN,ANN_ROLL,2022,45391,,,'')":-1.9166666,"BA-US^FE_ESTIMATE(INC_TAX,MEAN,ANN_ROLL,2021,45391,,,'')":-743.0,"BA-US^FE_ESTIMATE(PTX_INC,MEAN,ANN_ROLL,2026,45391,,,'')":8950.317,"BA-US^FE_ESTIMATE(PTX_INC,MEAN,ANN_ROLL,2025,45391,,,'')":6161.2725,"BA-US^FE_ESTIMATE(PTX_INC,MEAN,ANN_ROLL,2024,45391,,,'')":2735.3472,"BA-US^FE_ESTIMATE(PTX_INC,MEAN,ANN_ROLL,2023,45391,,,'')":-1918.4,"BA-US^FE_ESTIMATE(PTX_INC,MEAN,ANN_ROLL,2022,45391,,,'')":-5005.9443,"BA-US^FE_ESTIMATE(PTX_INC,MEAN,ANN_ROLL,2021,45391,,,'')":-5117.8315,"BA-US^FE_ESTIMATE(INT_EXP,MEAN,ANN_ROLL,2026,45391,,,'')":1789.3071,"BA-US^FE_ESTIMATE(INT_EXP,MEAN,ANN_ROLL,2025,45391,,,'')":2097.0557,"BA-US^FE_ESTIMATE(INT_EXP,MEAN,ANN_ROLL,2024,45391,,,'')":2300.0852,"BA-US^FE_ESTIMATE(INT_EXP,MEAN,ANN_ROLL,2023,45391,,,'')":2459.0,"BA-US^FE_ESTIMATE(INT_EXP,MEAN,ANN_ROLL,2022,45391,,,'')":2533.0,"BA-US^FE_ESTIMATE(INT_EXP,MEAN,ANN_ROLL,2021,45391,,,'')":2682.0,"BA-US^FE_ESTIMATE(EBIT,MEAN,ANN_ROLL,2026,45391,,,'')":9806.674,"BA-US^FE_ESTIMATE(EBIT,MEAN,ANN_ROLL,2025,45391,,,'')":7225.378,"BA-US^FE_ESTIMATE(EBIT,MEAN,ANN_ROLL,2024,45391,,,'')":3900.645,"BA-US^FE_ESTIMATE(EBIT,MEAN,ANN_ROLL,2023,45391,,,'')":-775.0,"BA-US^FE_ESTIMATE(EBIT,MEAN,ANN_ROLL,2022,45391,,,'')":-3547.0,"BA-US^FE_ESTIMATE(EBIT,MEAN,ANN_ROLL,2021,45391,,,'')":-2896.4656,"BA-US^FE_ESTIMATE(DEP_AMORT_EXP,MEAN,ANN_ROLL,2026,45391,,,'')":2000.6075,"BA-US^FE_ESTIMATE(DEP_AMORT_EXP,MEAN,ANN_ROLL,2025,45391,,,'')":1910.9164,"BA-US^FE_ESTIMATE(DEP_AMORT_EXP,MEAN,ANN_ROLL,2024,45391,,,'')":1856.44,"BA-US^FE_ESTIMATE(DEP_AMORT_EXP,MEAN,ANN_ROLL,2023,45391,,,'')":1861.0,"BA-US^FE_ESTIMATE(DEP_AMORT_EXP,MEAN,ANN_ROLL,2022,45391,,,'')":1951.7778,"BA-US^FE_ESTIMATE(DEP_AMORT_EXP,MEAN,ANN_ROLL,2021,45391,,,'')":2154.889,"BA-US^FE_ESTIMATE(EBITDAR,MEAN,ANN_ROLL,2026,45391,,,'')":null,"BA-US^FE_ESTIMATE(EBITDAR,MEAN,ANN_ROLL,2025,45391,,,'')":null,"BA-US^FE_ESTIMATE(EBITDAR,MEAN,ANN_ROLL,2024,45391,,,'')":null,"BA-US^FE_ESTIMATE(EBITDAR,MEAN,ANN_ROLL,2023,45391,,,'')":null,"BA-US^FE_ESTIMATE(EBITDAR,MEAN,ANN_ROLL,2022,45391,,,'')":null,"BA-US^FE_ESTIMATE(EBITDAR,MEAN,ANN_ROLL,2021,45391,,,'')":null,"BA-US^FE_ESTIMATE(OPER_EXP,MEAN,ANN_ROLL,2026,45391,,,'')":null,"BA-US^FE_ESTIMATE(OPER_EXP,MEAN,ANN_ROLL,2025,45391,,,'')":null,"BA-US^FE_ESTIMATE(OPER_EXP,MEAN,ANN_ROLL,2024,45391,,,'')":null,"BA-US^FE_ESTIMATE(OPER_EXP,MEAN,ANN_ROLL,2023,45391,,,'')":null,"BA-US^FE_ESTIMATE(OPER_EXP,MEAN,ANN_ROLL,2022,45391,,,'')":null,"BA-US^FE_ESTIMATE(OPER_EXP,MEAN,ANN_ROLL,2021,45391,,,'')":null,"BA-US^FE_ESTIMATE(RD_EXP,MEAN,ANN_ROLL,2026,45391,,,'')":2971.75,"BA-US^FE_ESTIMATE(RD_EXP,MEAN,ANN_ROLL,2025,45391,,,'')":3270.0,"BA-US^FE_ESTIMATE(RD_EXP,MEAN,ANN_ROLL,2024,45391,,,'')":3255.125,"BA-US^FE_ESTIMATE(RD_EXP,MEAN,ANN_ROLL,2023,45391,,,'')":3200.25,"BA-US^FE_ESTIMATE(RD_EXP,MEAN,ANN_ROLL,2022,45391,,,'')":2825.3333,"BA-US^FE_ESTIMATE(RD_EXP,MEAN,ANN_ROLL,2021,45391,,,'')":2249.0,"BA-US^FE_ESTIMATE(G_A_EXP,MEAN,ANN_ROLL,2026,45391,,,'')":5722.0,"BA-US^FE_ESTIMATE(G_A_EXP,MEAN,ANN_ROLL,2025,45391,,,'')":5061.6,"BA-US^FE_ESTIMATE(G_A_EXP,MEAN,ANN_ROLL,2024,45391,,,'')":4845.4,"BA-US^FE_ESTIMATE(G_A_EXP,MEAN,ANN_ROLL,2023,45391,,,'')":4654.0,"BA-US^FE_ESTIMATE(G_A_EXP,MEAN,ANN_ROLL,2022,45391,,,'')":4056.0,"BA-US^FE_ESTIMATE(G_A_EXP,MEAN,ANN_ROLL,2021,45391,,,'')":4157.0,"BA-US^FE_ESTIMATE(SGA,MEAN,ANN_ROLL,2026,45391,,,'')":6344.3193,"BA-US^FE_ESTIMATE(SGA,MEAN,ANN_ROLL,2025,45391,,,'')":5976.023,"BA-US^FE_ESTIMATE(SGA,MEAN,ANN_ROLL,2024,45391,,,'')":5440.3955,"BA-US^FE_ESTIMATE(SGA,MEAN,ANN_ROLL,2023,45391,,,'')":5168.0,"BA-US^FE_ESTIMATE(SGA,MEAN,ANN_ROLL,2022,45391,,,'')":4187.0,"BA-US^FE_ESTIMATE(SGA,MEAN,ANN_ROLL,2021,45391,,,'')":4157.0,"BA-US^FE_VALUATION(GROSS_MARGIN,MEAN,ANN_ROLL,2026,45391,,,'')/100":0.14373477,"BA-US^FE_VALUATION(GROSS_MARGIN,MEAN,ANN_ROLL,2025,45391,,,'')/100":0.14928699,"BA-US^FE_VALUATION(GROSS_MARGIN,MEAN,ANN_ROLL,2024,45391,,,'')/100":0.13255548,"BA-US^FE_VALUATION(GROSS_MARGIN,MEAN,ANN_ROLL,2023,45391,,,'')/100":0.104326814,"BA-US^FE_VALUATION(GROSS_MARGIN,MEAN,ANN_ROLL,2022,45391,,,'')/100":0.05598427,"BA-US^FE_VALUATION(GROSS_MARGIN,MEAN,ANN_ROLL,2021,45391,,,'')/100":0.054560147,"BA-US^FE_ESTIMATE(GROSS_INC,MEAN,ANN_ROLL,2026,45391,,,'')":15484.463,"BA-US^FE_ESTIMATE(GROSS_INC,MEAN,ANN_ROLL,2025,45391,,,'')":14566.664,"BA-US^FE_ESTIMATE(GROSS_INC,MEAN,ANN_ROLL,2024,45391,,,'')":11443.722,"BA-US^FE_ESTIMATE(GROSS_INC,MEAN,ANN_ROLL,2023,45391,,,'')":8116.0,"BA-US^FE_ESTIMATE(GROSS_INC,MEAN,ANN_ROLL,2022,45391,,,'')":3729.0,"BA-US^FE_ESTIMATE(GROSS_INC,MEAN,ANN_ROLL,2021,45391,,,'')":3398.3333,"BA-US^FE_ESTIMATE(COS,MEAN,ANN_ROLL,2026,45391,,,'')":89902.19,"BA-US^FE_ESTIMATE(COS,MEAN,ANN_ROLL,2025,45391,,,'')":80965.5,"BA-US^FE_ESTIMATE(COS,MEAN,ANN_ROLL,2024,45391,,,'')":73930.6,"BA-US^FE_ESTIMATE(COS,MEAN,ANN_ROLL,2023,45391,,,'')":68810.37,"BA-US^FE_ESTIMATE(COS,MEAN,ANN_ROLL,2022,45391,,,'')":61865.25,"BA-US^FE_ESTIMATE(COS,MEAN,ANN_ROLL,2021,45391,,,'')":58749.145,"BA-US^FE_ESTIMATE(SALES,MEAN,ANN_ROLL,2026,45391,,,'')":107729.42,"BA-US^FE_ESTIMATE(SALES,MEAN,ANN_ROLL,2025,45391,,,'')":97574.91,"BA-US^FE_ESTIMATE(SALES,MEAN,ANN_ROLL,2024,45391,,,'')":86331.555,"BA-US^FE_ESTIMATE(SALES,MEAN,ANN_ROLL,2023,45391,,,'')":77794.0,"BA-US^FE_ESTIMATE(SALES,MEAN,ANN_ROLL,2022,45391,,,'')":66608.0,"BA-US^FE_ESTIMATE(SALES,MEAN,ANN_ROLL,2021,45391,,,'')":62286.0,"BA-US^FE_ESTIMATE(EBITDA,MEAN,ANN_ROLL,2021,45391,,,'')":-748.5376,"BA-US^FE_ESTIMATE(FCFPS,MEAN,ANN_ROLL,2026,45405,,,'')":14.738605,"BA-US^FE_ESTIMATE(FCFPS,MEAN,ANN_ROLL,2025,45405,,,'')":10.131248,"BA-US^FE_ESTIMATE(FCFPS,MEAN,ANN_ROLL,2024,45405,,,'')":2.4623432,"BA-US^FE_ESTIMATE(FCFPS,MEAN,ANN_ROLL,2023,45405,,,'')":7.203665,"BA-US^FE_ESTIMATE(FCFPS,MEAN,ANN_ROLL,2022,45405,,,'')":4.023713,"BA-US^FE_ESTIMATE(FCFPS,MEAN,ANN_ROLL,2021,45405,,,'')":-6.8795238,"BA-US^FE_ESTIMATE(FCF,MEAN,ANN_ROLL,2026,45405,,,'')":9231.671,"BA-US^FE_ESTIMATE(FCF,MEAN,ANN_ROLL,2025,45405,,,'')":6663.2607,"BA-US^FE_ESTIMATE(FCF,MEAN,ANN_ROLL,2024,45405,,,'')":1395.7612,"BA-US^FE_ESTIMATE(FCF,MEAN,ANN_ROLL,2023,45405,,,'')":4433.0,"BA-US^FE_ESTIMATE(FCF,MEAN,ANN_ROLL,2022,45405,,,'')":2290.0,"BA-US^FE_ESTIMATE(FCF,MEAN,ANN_ROLL,2021,45405,,,'')":-3560.0,"BA-US^FE_ESTIMATE(DPS,MEAN,ANN_ROLL,2026,45405,,,'')":1.2671008,"BA-US^FE_ESTIMATE(DPS,MEAN,ANN_ROLL,2025,45405,,,'')":0.28387162,"BA-US^FE_ESTIMATE(DPS,MEAN,ANN_ROLL,2024,45405,,,'')":0.0,"BA-US^FE_ESTIMATE(DPS,MEAN,ANN_ROLL,2023,45405,,,'')":0.0,"BA-US^FE_ESTIMATE(DPS,MEAN,ANN_ROLL,2022,45405,,,'')":0.0,"BA-US^FE_ESTIMATE(DPS,MEAN,ANN_ROLL,2021,45405,,,'')":0.0,"BA-US^FE_ESTIMATE(EPS_GAAP,MEAN,ANN_ROLL,2026,45405,,,'')":11.281465,"BA-US^FE_ESTIMATE(EPS_GAAP,MEAN,ANN_ROLL,2025,45405,,,'')":8.008596,"BA-US^FE_ESTIMATE(EPS_GAAP,MEAN,ANN_ROLL,2024,45405,,,'')":2.8490927,"BA-US^FE_ESTIMATE(EPS_GAAP,MEAN,ANN_ROLL,2023,45405,,,'')":-3.67,"BA-US^FE_ESTIMATE(EPS_GAAP,MEAN,ANN_ROLL,2022,45405,,,'')":-8.3,"BA-US^FE_ESTIMATE(EPS_GAAP,MEAN,ANN_ROLL,2021,45405,,,'')":-7.15,"BA-US^FE_ESTIMATE(NET_INC_REP,MEAN,ANN_ROLL,2026,45405,,,'')":7113.1177,"BA-US^FE_ESTIMATE(NET_INC_REP,MEAN,ANN_ROLL,2025,45405,,,'')":5009.289,"BA-US^FE_ESTIMATE(NET_INC_REP,MEAN,ANN_ROLL,2024,45405,,,'')":1673.6226,"BA-US^FE_ESTIMATE(NET_INC_REP,MEAN,ANN_ROLL,2023,45405,,,'')":-2222.0,"BA-US^FE_ESTIMATE(NET_INC_REP,MEAN,ANN_ROLL,2022,45405,,,'')":-4935.0,"BA-US^FE_ESTIMATE(NET_INC_REP,MEAN,ANN_ROLL,2021,45405,,,'')":-4202.0,"BA-US^FE_ESTIMATE(PTX_INC_REP,MEAN,ANN_ROLL,2026,45405,,,'')":8376.127,"BA-US^FE_ESTIMATE(PTX_INC_REP,MEAN,ANN_ROLL,2025,45405,,,'')":5429.855,"BA-US^FE_ESTIMATE(PTX_INC_REP,MEAN,ANN_ROLL,2024,45405,,,'')":3082.435,"BA-US^FE_ESTIMATE(PTX_INC_REP,MEAN,ANN_ROLL,2023,45405,,,'')":-2005.0,"BA-US^FE_ESTIMATE(PTX_INC_REP,MEAN,ANN_ROLL,2022,45405,,,'')":-5022.0,"BA-US^FE_ESTIMATE(PTX_INC_REP,MEAN,ANN_ROLL,2021,45405,,,'')":-6158.0,"BA-US^FE_ESTIMATE(EBITDA_REP,MEAN,ANN_ROLL,2026,45405,,,'')":11686.148,"BA-US^FE_ESTIMATE(EBITDA_REP,MEAN,ANN_ROLL,2025,45405,,,'')":9047.001,"BA-US^FE_ESTIMATE(EBITDA_REP,MEAN,ANN_ROLL,2024,45405,,,'')":4669.1704,"BA-US^FE_ESTIMATE(EBITDA_REP,MEAN,ANN_ROLL,2023,45405,,,'')":1085.1666,"BA-US^FE_ESTIMATE(EBITDA_REP,MEAN,ANN_ROLL,2022,45405,,,'')":-1599.0416,"BA-US^FE_ESTIMATE(EBITDA_REP,MEAN,ANN_ROLL,2021,45405,,,'')":-747.6,"BA-US^FE_ESTIMATE(EPS,MEAN,ANN_ROLL,2026,45405,,,'')":9.5551405,"BA-US^FE_ESTIMATE(EPS,MEAN,ANN_ROLL,2025,45405,,,'')":6.37291,"BA-US^FE_ESTIMATE(EPS,MEAN,ANN_ROLL,2024,45405,,,'')":-0.045689218,"BA-US^FE_ESTIMATE(EPS,MEAN,ANN_ROLL,2023,45405,,,'')":-5.81,"BA-US^FE_ESTIMATE(EPS,MEAN,ANN_ROLL,2022,45405,,,'')":-11.06,"BA-US^FE_ESTIMATE(EPS,MEAN,ANN_ROLL,2021,45405,,,'')":-9.44,"BA-US^FE_ESTIMATE(NET_INC,MEAN,ANN_ROLL,2026,45405,,,'')":6889.3984,"BA-US^FE_ESTIMATE(NET_INC,MEAN,ANN_ROLL,2025,45405,,,'')":4951.591,"BA-US^FE_ESTIMATE(NET_INC,MEAN,ANN_ROLL,2024,45405,,,'')":1673.6226,"BA-US^FE_ESTIMATE(NET_INC,MEAN,ANN_ROLL,2023,45405,,,'')":-2222.0,"BA-US^FE_ESTIMATE(NET_INC,MEAN,ANN_ROLL,2022,45405,,,'')":-4935.0,"BA-US^FE_ESTIMATE(NET_INC,MEAN,ANN_ROLL,2021,45405,,,'')":-4202.0,"BA-US^FE_VALUATION(TAX_RATE,MEAN,ANN_ROLL,2026,45405,,,'')/100":0.0017332844,"BA-US^FE_VALUATION(TAX_RATE,MEAN,ANN_ROLL,2025,45405,,,'')/100":0.0016383918,"BA-US^FE_VALUATION(TAX_RATE,MEAN,ANN_ROLL,2024,45405,,,'')/100":0.000833581,"BA-US^FE_VALUATION(TAX_RATE,MEAN,ANN_ROLL,2023,45405,,,'')/100":-0.0010742124,"BA-US^FE_VALUATION(TAX_RATE,MEAN,ANN_ROLL,2022,45405,,,'')/100":3.8287817E-06,"BA-US^FE_VALUATION(TAX_RATE,MEAN,ANN_ROLL,2021,45405,,,'')/100":0.0014517867,"BA-US^FE_ESTIMATE(INC_TAX,MEAN,ANN_ROLL,2026,45405,,,'')":1486.1666,"BA-US^FE_ESTIMATE(INC_TAX,MEAN,ANN_ROLL,2025,45405,,,'')":986.9231,"BA-US^FE_ESTIMATE(INC_TAX,MEAN,ANN_ROLL,2024,45405,,,'')":128.0,"BA-US^FE_ESTIMATE(INC_TAX,MEAN,ANN_ROLL,2023,45405,,,'')":206.07692,"BA-US^FE_ESTIMATE(INC_TAX,MEAN,ANN_ROLL,2022,45405,,,'')":-1.9166666,"BA-US^FE_ESTIMATE(INC_TAX,MEAN,ANN_ROLL,2021,45405,,,'')":-743.0,"BA-US^FE_ESTIMATE(PTX_INC,MEAN,ANN_ROLL,2026,45405,,,'')":8574.28,"BA-US^FE_ESTIMATE(PTX_INC,MEAN,ANN_ROLL,2025,45405,,,'')":6023.731,"BA-US^FE_ESTIMATE(PTX_INC,MEAN,ANN_ROLL,2024,45405,,,'')":1535.5436,"BA-US^FE_ESTIMATE(PTX_INC,MEAN,ANN_ROLL,2023,45405,,,'')":-1918.4,"BA-US^FE_ESTIMATE(PTX_INC,MEAN,ANN_ROLL,2022,45405,,,'')":-5005.9443,"BA-US^FE_ESTIMATE(PTX_INC,MEAN,ANN_ROLL,2021,45405,,,'')":-5117.8315,"BA-US^FE_ESTIMATE(INT_EXP,MEAN,ANN_ROLL,2026,45405,,,'')":1904.3583,"BA-US^FE_ESTIMATE(INT_EXP,MEAN,ANN_ROLL,2025,45405,,,'')":2119.9678,"BA-US^FE_ESTIMATE(INT_EXP,MEAN,ANN_ROLL,2024,45405,,,'')":2324.502,"BA-US^FE_ESTIMATE(INT_EXP,MEAN,ANN_ROLL,2023,45405,,,'')":2459.0,"BA-US^FE_ESTIMATE(INT_EXP,MEAN,ANN_ROLL,2022,45405,,,'')":2533.0,"BA-US^FE_ESTIMATE(INT_EXP,MEAN,ANN_ROLL,2021,45405,,,'')":2682.0,"BA-US^FE_ESTIMATE(EBIT,MEAN,ANN_ROLL,2026,45405,,,'')":9484.709,"BA-US^FE_ESTIMATE(EBIT,MEAN,ANN_ROLL,2025,45405,,,'')":7077.36,"BA-US^FE_ESTIMATE(EBIT,MEAN,ANN_ROLL,2024,45405,,,'')":3246.7056,"BA-US^FE_ESTIMATE(EBIT,MEAN,ANN_ROLL,2023,45405,,,'')":-775.0,"BA-US^FE_ESTIMATE(EBIT,MEAN,ANN_ROLL,2022,45405,,,'')":-3547.0,"BA-US^FE_ESTIMATE(EBIT,MEAN,ANN_ROLL,2021,45405,,,'')":-2896.4656,"BA-US^FE_ESTIMATE(DEP_AMORT_EXP,MEAN,ANN_ROLL,2026,45405,,,'')":2008.6075,"BA-US^FE_ESTIMATE(DEP_AMORT_EXP,MEAN,ANN_ROLL,2025,45405,,,'')":1915.7345,"BA-US^FE_ESTIMATE(DEP_AMORT_EXP,MEAN,ANN_ROLL,2024,45405,,,'')":1866.2582,"BA-US^FE_ESTIMATE(DEP_AMORT_EXP,MEAN,ANN_ROLL,2023,45405,,,'')":1861.0,"BA-US^FE_ESTIMATE(DEP_AMORT_EXP,MEAN,ANN_ROLL,2022,45405,,,'')":1951.7778,"BA-US^FE_ESTIMATE(DEP_AMORT_EXP,MEAN,ANN_ROLL,2021,45405,,,'')":2154.889,"BA-US^FE_ESTIMATE(EBITDAR,MEAN,ANN_ROLL,2026,45405,,,'')":null,"BA-US^FE_ESTIMATE(EBITDAR,MEAN,ANN_ROLL,2025,45405,,,'')":null,"BA-US^FE_ESTIMATE(EBITDAR,MEAN,ANN_ROLL,2024,45405,,,'')":null,"BA-US^FE_ESTIMATE(EBITDAR,MEAN,ANN_ROLL,2023,45405,,,'')":null,"BA-US^FE_ESTIMATE(EBITDAR,MEAN,ANN_ROLL,2022,45405,,,'')":null,"BA-US^FE_ESTIMATE(EBITDAR,MEAN,ANN_ROLL,2021,45405,,,'')":null,"BA-US^FE_ESTIMATE(OPER_EXP,MEAN,ANN_ROLL,2026,45405,,,'')":null,"BA-US^FE_ESTIMATE(OPER_EXP,MEAN,ANN_ROLL,2025,45405,,,'')":null,"BA-US^FE_ESTIMATE(OPER_EXP,MEAN,ANN_ROLL,2024,45405,,,'')":null,"BA-US^FE_ESTIMATE(OPER_EXP,MEAN,ANN_ROLL,2023,45405,,,'')":null,"BA-US^FE_ESTIMATE(OPER_EXP,MEAN,ANN_ROLL,2022,45405,,,'')":null,"BA-US^FE_ESTIMATE(OPER_EXP,MEAN,ANN_ROLL,2021,45405,,,'')":null,"BA-US^FE_ESTIMATE(RD_EXP,MEAN,ANN_ROLL,2026,45405,,,'')":2971.75,"BA-US^FE_ESTIMATE(RD_EXP,MEAN,ANN_ROLL,2025,45405,,,'')":3236.375,"BA-US^FE_ESTIMATE(RD_EXP,MEAN,ANN_ROLL,2024,45405,,,'')":3214.25,"BA-US^FE_ESTIMATE(RD_EXP,MEAN,ANN_ROLL,2023,45405,,,'')":3200.25,"BA-US^FE_ESTIMATE(RD_EXP,MEAN,ANN_ROLL,2022,45405,,,'')":2825.3333,"BA-US^FE_ESTIMATE(RD_EXP,MEAN,ANN_ROLL,2021,45405,,,'')":2249.0,"BA-US^FE_ESTIMATE(G_A_EXP,MEAN,ANN_ROLL,2026,45405,,,'')":5722.0,"BA-US^FE_ESTIMATE(G_A_EXP,MEAN,ANN_ROLL,2025,45405,,,'')":5031.2,"BA-US^FE_ESTIMATE(G_A_EXP,MEAN,ANN_ROLL,2024,45405,,,'')":4771.6,"BA-US^FE_ESTIMATE(G_A_EXP,MEAN,ANN_ROLL,2023,45405,,,'')":4654.0,"BA-US^FE_ESTIMATE(G_A_EXP,MEAN,ANN_ROLL,2022,45405,,,'')":4056.0,"BA-US^FE_ESTIMATE(G_A_EXP,MEAN,ANN_ROLL,2021,45405,,,'')":4157.0,"BA-US^FE_ESTIMATE(SGA,MEAN,ANN_ROLL,2026,45405,,,'')":6191.188,"BA-US^FE_ESTIMATE(SGA,MEAN,ANN_ROLL,2025,45405,,,'')":5964.447,"BA-US^FE_ESTIMATE(SGA,MEAN,ANN_ROLL,2024,45405,,,'')":5150.021,"BA-US^FE_ESTIMATE(SGA,MEAN,ANN_ROLL,2023,45405,,,'')":5168.0,"BA-US^FE_ESTIMATE(SGA,MEAN,ANN_ROLL,2022,45405,,,'')":4187.0,"BA-US^FE_ESTIMATE(SGA,MEAN,ANN_ROLL,2021,45405,,,'')":4157.0,"BA-US^FE_VALUATION(GROSS_MARGIN,MEAN,ANN_ROLL,2026,45405,,,'')/100":0.1415579,"BA-US^FE_VALUATION(GROSS_MARGIN,MEAN,ANN_ROLL,2025,45405,,,'')/100":0.15343535,"BA-US^FE_VALUATION(GROSS_MARGIN,MEAN,ANN_ROLL,2024,45405,,,'')/100":0.12249838,"BA-US^FE_VALUATION(GROSS_MARGIN,MEAN,ANN_ROLL,2023,45405,,,'')/100":0.104326814,"BA-US^FE_VALUATION(GROSS_MARGIN,MEAN,ANN_ROLL,2022,45405,,,'')/100":0.05598427,"BA-US^FE_VALUATION(GROSS_MARGIN,MEAN,ANN_ROLL,2021,45405,,,'')/100":0.054560147,"BA-US^FE_ESTIMATE(GROSS_INC,MEAN,ANN_ROLL,2026,45405,,,'')":15141.713,"BA-US^FE_ESTIMATE(GROSS_INC,MEAN,ANN_ROLL,2025,45405,,,'')":14869.206,"BA-US^FE_ESTIMATE(GROSS_INC,MEAN,ANN_ROLL,2024,45405,,,'')":10342.097,"BA-US^FE_ESTIMATE(GROSS_INC,MEAN,ANN_ROLL,2023,45405,,,'')":8116.0,"BA-US^FE_ESTIMATE(GROSS_INC,MEAN,ANN_ROLL,2022,45405,,,'')":3729.0,"BA-US^FE_ESTIMATE(GROSS_INC,MEAN,ANN_ROLL,2021,45405,,,'')":3398.3333,"BA-US^FE_ESTIMATE(COS,MEAN,ANN_ROLL,2026,45405,,,'')":89020.12,"BA-US^FE_ESTIMATE(COS,MEAN,ANN_ROLL,2025,45405,,,'')":79364.22,"BA-US^FE_ESTIMATE(COS,MEAN,ANN_ROLL,2024,45405,,,'')":71737.18,"BA-US^FE_ESTIMATE(COS,MEAN,ANN_ROLL,2023,45405,,,'')":68810.37,"BA-US^FE_ESTIMATE(COS,MEAN,ANN_ROLL,2022,45405,,,'')":61865.25,"BA-US^FE_ESTIMATE(COS,MEAN,ANN_ROLL,2021,45405,,,'')":58749.145,"BA-US^FE_ESTIMATE(SALES,MEAN,ANN_ROLL,2026,45405,,,'')":106964.8,"BA-US^FE_ESTIMATE(SALES,MEAN,ANN_ROLL,2025,45405,,,'')":96908.61,"BA-US^FE_ESTIMATE(SALES,MEAN,ANN_ROLL,2024,45405,,,'')":84426.4,"BA-US^FE_ESTIMATE(SALES,MEAN,ANN_ROLL,2023,45405,,,'')":77794.0,"BA-US^FE_ESTIMATE(SALES,MEAN,ANN_ROLL,2022,45405,,,'')":66608.0,"BA-US^FE_ESTIMATE(SALES,MEAN,ANN_ROLL,2021,45405,,,'')":62286.0,"BA-US^FE_ESTIMATE(EBITDA,MEAN,ANN_ROLL,2021,45405,,,'')":-748.5376,"BA-US^FE_ESTIMATE(FCFPS,MEAN,QTR_ROLL,2024/1F,45405,,,'')":-7.210604,"BA-US^FE_ESTIMATE(FCF,MEAN,QTR_ROLL,2024/1F,45405,,,'')":-4488.665,"BA-US^FE_ESTIMATE(CAPEX,MEAN,QTR_ROLL,2024/1F,45405,,,'')":409.08347,"BA-US^FE_ESTIMATE(CF_OP,MEAN,QTR_ROLL,2024/1F,45405,,,'')":-3985.5,"BA-US^FE_ESTIMATE(NET_DEBT,MEAN,QTR_ROLL,2024/1F,45405,,,'')":40474.0,"BA-US^FE_ESTIMATE(DEBT,MEAN,QTR_ROLL,2024/1F,45405,,,'')":47907.0,"BA-US^FE_ESTIMATE(CASH_ST,MEAN,QTR_ROLL,2024/1F,45405,,,'')":6054.3335,"BA-US^FE_ESTIMATE(DPS,MEAN,QTR_ROLL,2024/1F,45405,,,'')":0.0,"BA-US^FE_ESTIMATE(EPS_GAAP,MEAN,QTR_ROLL,2024/1F,45405,,,'')":-1.1650605,"BA-US^FE_ESTIMATE(NET_INC_REP,MEAN,QTR_ROLL,2024/1F,45405,,,'')":-635.2776,"BA-US^FE_ESTIMATE(PTX_INC_REP,MEAN,QTR_ROLL,2024/1F,45405,,,'')":-835.42267,"BA-US^FE_ESTIMATE(EBITDA_REP,MEAN,QTR_ROLL,2024/1F,45405,,,'')":-127.26613,"BA-US^FE_ESTIMATE(EPS,MEAN,QTR_ROLL,2024/1F,45405,,,'')":-1.6326642,"BA-US^FE_ESTIMATE(NET_INC,MEAN,QTR_ROLL,2024/1F,45405,,,'')":-709.1594,"BA-US^FE_VALUATION(TAX_RATE,MEAN,QTR_ROLL,2024/1F,45405,,,'')/100":0.0018970172,"BA-US^FE_ESTIMATE(INC_TAX,MEAN,QTR_ROLL,2024/1F,45405,,,'')":-116.69231,"BA-US^FE_ESTIMATE(PTX_INC,MEAN,QTR_ROLL,2024/1F,45405,,,'')":-615.13574,"BA-US^FE_ESTIMATE(INT_EXP,MEAN,QTR_ROLL,2024/1F,45405,,,'')":591.7273,"BA-US^FE_ESTIMATE(EBIT,MEAN,QTR_ROLL,2024/1F,45405,,,'')":-312.80606,"BA-US^FE_ESTIMATE(DEP_AMORT_EXP,MEAN,QTR_ROLL,2024/1F,45405,,,'')":464.7143,"BA-US^FE_ESTIMATE(EBITDA,MEAN,QTR_ROLL,2024/1F,45405,,,'')":-127.26613,"BA-US^FE_ESTIMATE(EBITDAR,MEAN,QTR_ROLL,2024/1F,45405,,,'')":null,"BA-US^FE_ESTIMATE(OPER_EXP,MEAN,QTR_ROLL,2024/1F,45405,,,'')":null,"BA-US^FE_ESTIMATE(RD_EXP,MEAN,QTR_ROLL,2024/1F,45405,,,'')":741.0,"BA-US^FE_ESTIMATE(G_A_EXP,MEAN,QTR_ROLL,2024/1F,45405,,,'')":1059.4,"BA-US^FE_ESTIMATE(SGA,MEAN,QTR_ROLL,2024/1F,45405,,,'')":1110.0,"BA-US^FE_VALUATION(GROSS_MARGIN,MEAN,QTR_ROLL,2024/1F,45405,,,'')/100":0.099231154,"BA-US^FE_ESTIMATE(GROSS_INC,MEAN,QTR_ROLL,2024/1F,45405,,,'')":1611.2,"BA-US^FE_ESTIMATE(COS,MEAN,QTR_ROLL,2024/1F,45405,,,'')":15081.286,"BA-US^FE_ESTIMATE(SALES,MEAN,QTR_ROLL,2024/1F,45405,,,'')":16236.835,"BA-US^FE_ESTIMATE(FCFPS,MEAN,ANN_ROLL,2026,45456,,,'')":13.48489,"BA-US^FE_ESTIMATE(FCFPS,MEAN,ANN_ROLL,2025,45456,,,'')":9.043815,"BA-US^FE_ESTIMATE(FCFPS,MEAN,ANN_ROLL,2024,45456,,,'')":-1.9511462,"BA-US^FE_ESTIMATE(FCFPS,MEAN,ANN_ROLL,2023,45456,,,'')":7.203665,"BA-US^FE_ESTIMATE(FCFPS,MEAN,ANN_ROLL,2022,45456,,,'')":4.023713,"BA-US^FE_ESTIMATE(FCFPS,MEAN,ANN_ROLL,2021,45456,,,'')":-6.8795238,"BA-US^FE_ESTIMATE(FCF,MEAN,ANN_ROLL,2026,45456,,,'')":7974.477,"BA-US^FE_ESTIMATE(FCF,MEAN,ANN_ROLL,2025,45456,,,'')":5243.778,"BA-US^FE_ESTIMATE(FCF,MEAN,ANN_ROLL,2024,45456,,,'')":-1876.2001,"BA-US^FE_ESTIMATE(FCF,MEAN,ANN_ROLL,2023,45456,,,'')":4433.0,"BA-US^FE_ESTIMATE(FCF,MEAN,ANN_ROLL,2022,45456,,,'')":2290.0,"BA-US^FE_ESTIMATE(FCF,MEAN,ANN_ROLL,2021,45456,,,'')":-3560.0,"BA-US^FE_ESTIMATE(DPS,MEAN,ANN_ROLL,2026,45456,,,'')":1.0687597,"BA-US^FE_ESTIMATE(DPS,MEAN,ANN_ROLL,2025,45456,,,'')":0.045454547,"BA-US^FE_ESTIMATE(DPS,MEAN,ANN_ROLL,2024,45456,,,'')":0.0,"BA-US^FE_ESTIMATE(DPS,MEAN,ANN_ROLL,2023,45456,,,'')":0.0,"BA-US^FE_ESTIMATE(DPS,MEAN,ANN_ROLL,2022,45456,,,'')":0.0,"BA-US^FE_ESTIMATE(DPS,MEAN,ANN_ROLL,2021,45456,,,'')":0.0,"BA-US^FE_ESTIMATE(EPS_GAAP,MEAN,ANN_ROLL,2026,45456,,,'')":10.454394,"BA-US^FE_ESTIMATE(EPS_GAAP,MEAN,ANN_ROLL,2025,45456,,,'')":6.9572062,"BA-US^FE_ESTIMATE(EPS_GAAP,MEAN,ANN_ROLL,2024,45456,,,'')":0.92320853,"BA-US^FE_ESTIMATE(EPS_GAAP,MEAN,ANN_ROLL,2023,45456,,,'')":-3.67,"BA-US^FE_ESTIMATE(EPS_GAAP,MEAN,ANN_ROLL,2022,45456,,,'')":-8.3,"BA-US^FE_ESTIMATE(EPS_GAAP,MEAN,ANN_ROLL,2021,45456,,,'')":-7.15,"BA-US^FE_ESTIMATE(NET_INC_REP,MEAN,ANN_ROLL,2026,45456,,,'')":6737.1763,"BA-US^FE_ESTIMATE(NET_INC_REP,MEAN,ANN_ROLL,2025,45456,,,'')":4452.765,"BA-US^FE_ESTIMATE(NET_INC_REP,MEAN,ANN_ROLL,2024,45456,,,'')":858.40625,"BA-US^FE_ESTIMATE(NET_INC_REP,MEAN,ANN_ROLL,2023,45456,,,'')":-2222.0,"BA-US^FE_ESTIMATE(NET_INC_REP,MEAN,ANN_ROLL,2022,45456,,,'')":-4935.0,"BA-US^FE_ESTIMATE(NET_INC_REP,MEAN,ANN_ROLL,2021,45456,,,'')":-4202.0,"BA-US^FE_ESTIMATE(PTX_INC_REP,MEAN,ANN_ROLL,2026,45456,,,'')":8065.5264,"BA-US^FE_ESTIMATE(PTX_INC_REP,MEAN,ANN_ROLL,2025,45456,,,'')":5182.985,"BA-US^FE_ESTIMATE(PTX_INC_REP,MEAN,ANN_ROLL,2024,45456,,,'')":1121.7,"BA-US^FE_ESTIMATE(PTX_INC_REP,MEAN,ANN_ROLL,2023,45456,,,'')":-2005.0,"BA-US^FE_ESTIMATE(PTX_INC_REP,MEAN,ANN_ROLL,2022,45456,,,'')":-5022.0,"BA-US^FE_ESTIMATE(PTX_INC_REP,MEAN,ANN_ROLL,2021,45456,,,'')":-6158.0,"BA-US^FE_ESTIMATE(EBITDA_REP,MEAN,ANN_ROLL,2026,45456,,,'')":11444.704,"BA-US^FE_ESTIMATE(EBITDA_REP,MEAN,ANN_ROLL,2025,45456,,,'')":8724.229,"BA-US^FE_ESTIMATE(EBITDA_REP,MEAN,ANN_ROLL,2024,45456,,,'')":3972.916,"BA-US^FE_ESTIMATE(EBITDA_REP,MEAN,ANN_ROLL,2023,45456,,,'')":1085.1666,"BA-US^FE_ESTIMATE(EBITDA_REP,MEAN,ANN_ROLL,2022,45456,,,'')":-1599.0416,"BA-US^FE_ESTIMATE(EBITDA_REP,MEAN,ANN_ROLL,2021,45456,,,'')":-747.6,"BA-US^FE_ESTIMATE(EPS,MEAN,ANN_ROLL,2026,45456,,,'')":8.653695,"BA-US^FE_ESTIMATE(EPS,MEAN,ANN_ROLL,2025,45456,,,'')":5.1519322,"BA-US^FE_ESTIMATE(EPS,MEAN,ANN_ROLL,2024,45456,,,'')":-1.0557489,"BA-US^FE_ESTIMATE(EPS,MEAN,ANN_ROLL,2023,45456,,,'')":-5.81,"BA-US^FE_ESTIMATE(EPS,MEAN,ANN_ROLL,2022,45456,,,'')":-11.06,"BA-US^FE_ESTIMATE(EPS,MEAN,ANN_ROLL,2021,45456,,,'')":-9.44,"BA-US^FE_ESTIMATE(NET_INC,MEAN,ANN_ROLL,2026,45456,,,'')":6553.263,"BA-US^FE_ESTIMATE(NET_INC,MEAN,ANN_ROLL,2025,45456,,,'')":4343.644,"BA-US^FE_ESTIMATE(NET_INC,MEAN,ANN_ROLL,2024,45456,,,'')":920.10675,"BA-US^FE_ESTIMATE(NET_INC,MEAN,ANN_ROLL,2023,45456,,,'')":-2222.0,"BA-US^FE_ESTIMATE(NET_INC,MEAN,ANN_ROLL,2022,45456,,,'')":-4935.0,"BA-US^FE_ESTIMATE(NET_INC,MEAN,ANN_ROLL,2021,45456,,,'')":-4202.0,"BA-US^FE_VALUATION(TAX_RATE,MEAN,ANN_ROLL,2026,45456,,,'')/100":0.0017856769,"BA-US^FE_VALUATION(TAX_RATE,MEAN,ANN_ROLL,2025,45456,,,'')/100":0.0018177843,"BA-US^FE_VALUATION(TAX_RATE,MEAN,ANN_ROLL,2024,45456,,,'')/100":0.0009108977,"BA-US^FE_VALUATION(TAX_RATE,MEAN,ANN_ROLL,2023,45456,,,'')/100":-0.0010742124,"BA-US^FE_VALUATION(TAX_RATE,MEAN,ANN_ROLL,2022,45456,,,'')/100":3.8287817E-06,"BA-US^FE_VALUATION(TAX_RATE,MEAN,ANN_ROLL,2021,45456,,,'')/100":0.0014517867,"BA-US^FE_ESTIMATE(INC_TAX,MEAN,ANN_ROLL,2026,45456,,,'')":1450.1428,"BA-US^FE_ESTIMATE(INC_TAX,MEAN,ANN_ROLL,2025,45456,,,'')":974.20135,"BA-US^FE_ESTIMATE(INC_TAX,MEAN,ANN_ROLL,2024,45456,,,'')":104.51217,"BA-US^FE_ESTIMATE(INC_TAX,MEAN,ANN_ROLL,2023,45456,,,'')":206.07692,"BA-US^FE_ESTIMATE(INC_TAX,MEAN,ANN_ROLL,2022,45456,,,'')":-1.9166666,"BA-US^FE_ESTIMATE(INC_TAX,MEAN,ANN_ROLL,2021,45456,,,'')":-743.0,"BA-US^FE_ESTIMATE(PTX_INC,MEAN,ANN_ROLL,2026,45456,,,'')":8120.9697,"BA-US^FE_ESTIMATE(PTX_INC,MEAN,ANN_ROLL,2025,45456,,,'')":5359.2793,"BA-US^FE_ESTIMATE(PTX_INC,MEAN,ANN_ROLL,2024,45456,,,'')":1147.3535,"BA-US^FE_ESTIMATE(PTX_INC,MEAN,ANN_ROLL,2023,45456,,,'')":-1918.4,"BA-US^FE_ESTIMATE(PTX_INC,MEAN,ANN_ROLL,2022,45456,,,'')":-5005.9443,"BA-US^FE_ESTIMATE(PTX_INC,MEAN,ANN_ROLL,2021,45456,,,'')":-5117.8315,"BA-US^FE_ESTIMATE(INT_EXP,MEAN,ANN_ROLL,2026,45456,,,'')":2182.1228,"BA-US^FE_ESTIMATE(INT_EXP,MEAN,ANN_ROLL,2025,45456,,,'')":2457.134,"BA-US^FE_ESTIMATE(INT_EXP,MEAN,ANN_ROLL,2024,45456,,,'')":2456.9175,"BA-US^FE_ESTIMATE(INT_EXP,MEAN,ANN_ROLL,2023,45456,,,'')":2459.0,"BA-US^FE_ESTIMATE(INT_EXP,MEAN,ANN_ROLL,2022,45456,,,'')":2533.0,"BA-US^FE_ESTIMATE(INT_EXP,MEAN,ANN_ROLL,2021,45456,,,'')":2682.0,"BA-US^FE_ESTIMATE(EBIT,MEAN,ANN_ROLL,2026,45456,,,'')":9327.545,"BA-US^FE_ESTIMATE(EBIT,MEAN,ANN_ROLL,2025,45456,,,'')":6727.4873,"BA-US^FE_ESTIMATE(EBIT,MEAN,ANN_ROLL,2024,45456,,,'')":2605.4404,"BA-US^FE_ESTIMATE(EBIT,MEAN,ANN_ROLL,2023,45456,,,'')":-775.0,"BA-US^FE_ESTIMATE(EBIT,MEAN,ANN_ROLL,2022,45456,,,'')":-3547.0,"BA-US^FE_ESTIMATE(EBIT,MEAN,ANN_ROLL,2021,45456,,,'')":-2896.4656,"BA-US^FE_ESTIMATE(DEP_AMORT_EXP,MEAN,ANN_ROLL,2026,45456,,,'')":2084.3445,"BA-US^FE_ESTIMATE(DEP_AMORT_EXP,MEAN,ANN_ROLL,2025,45456,,,'')":1927.1992,"BA-US^FE_ESTIMATE(DEP_AMORT_EXP,MEAN,ANN_ROLL,2024,45456,,,'')":1797.5575,"BA-US^FE_ESTIMATE(DEP_AMORT_EXP,MEAN,ANN_ROLL,2023,45456,,,'')":1861.0,"BA-US^FE_ESTIMATE(DEP_AMORT_EXP,MEAN,ANN_ROLL,2022,45456,,,'')":1951.7778,"BA-US^FE_ESTIMATE(DEP_AMORT_EXP,MEAN,ANN_ROLL,2021,45456,,,'')":2154.889,"BA-US^FE_ESTIMATE(EBITDAR,MEAN,ANN_ROLL,2026,45456,,,'')":null,"BA-US^FE_ESTIMATE(EBITDAR,MEAN,ANN_ROLL,2025,45456,,,'')":null,"BA-US^FE_ESTIMATE(EBITDAR,MEAN,ANN_ROLL,2024,45456,,,'')":null,"BA-US^FE_ESTIMATE(EBITDAR,MEAN,ANN_ROLL,2023,45456,,,'')":null,"BA-US^FE_ESTIMATE(EBITDAR,MEAN,ANN_ROLL,2022,45456,,,'')":null,"BA-US^FE_ESTIMATE(EBITDAR,MEAN,ANN_ROLL,2021,45456,,,'')":null,"BA-US^FE_ESTIMATE(OPER_EXP,MEAN,ANN_ROLL,2026,45456,,,'')":null,"BA-US^FE_ESTIMATE(OPER_EXP,MEAN,ANN_ROLL,2025,45456,,,'')":null,"BA-US^FE_ESTIMATE(OPER_EXP,MEAN,ANN_ROLL,2024,45456,,,'')":null,"BA-US^FE_ESTIMATE(OPER_EXP,MEAN,ANN_ROLL,2023,45456,,,'')":null,"BA-US^FE_ESTIMATE(OPER_EXP,MEAN,ANN_ROLL,2022,45456,,,'')":null,"BA-US^FE_ESTIMATE(OPER_EXP,MEAN,ANN_ROLL,2021,45456,,,'')":null,"BA-US^FE_ESTIMATE(RD_EXP,MEAN,ANN_ROLL,2026,45456,,,'')":3177.5,"BA-US^FE_ESTIMATE(RD_EXP,MEAN,ANN_ROLL,2025,45456,,,'')":3364.625,"BA-US^FE_ESTIMATE(RD_EXP,MEAN,ANN_ROLL,2024,45456,,,'')":3397.625,"BA-US^FE_ESTIMATE(RD_EXP,MEAN,ANN_ROLL,2023,45456,,,'')":3200.25,"BA-US^FE_ESTIMATE(RD_EXP,MEAN,ANN_ROLL,2022,45456,,,'')":2825.3333,"BA-US^FE_ESTIMATE(RD_EXP,MEAN,ANN_ROLL,2021,45456,,,'')":2249.0,"BA-US^FE_ESTIMATE(G_A_EXP,MEAN,ANN_ROLL,2026,45456,,,'')":5744.0,"BA-US^FE_ESTIMATE(G_A_EXP,MEAN,ANN_ROLL,2025,45456,,,'')":4988.0,"BA-US^FE_ESTIMATE(G_A_EXP,MEAN,ANN_ROLL,2024,45456,,,'')":4680.0,"BA-US^FE_ESTIMATE(G_A_EXP,MEAN,ANN_ROLL,2023,45456,,,'')":4654.0,"BA-US^FE_ESTIMATE(G_A_EXP,MEAN,ANN_ROLL,2022,45456,,,'')":4056.0,"BA-US^FE_ESTIMATE(G_A_EXP,MEAN,ANN_ROLL,2021,45456,,,'')":4157.0,"BA-US^FE_ESTIMATE(SGA,MEAN,ANN_ROLL,2026,45456,,,'')":6174.3594,"BA-US^FE_ESTIMATE(SGA,MEAN,ANN_ROLL,2025,45456,,,'')":5842.659,"BA-US^FE_ESTIMATE(SGA,MEAN,ANN_ROLL,2024,45456,,,'')":4953.9272,"BA-US^FE_ESTIMATE(SGA,MEAN,ANN_ROLL,2023,45456,,,'')":5168.0,"BA-US^FE_ESTIMATE(SGA,MEAN,ANN_ROLL,2022,45456,,,'')":4187.0,"BA-US^FE_ESTIMATE(SGA,MEAN,ANN_ROLL,2021,45456,,,'')":4157.0,"BA-US^FE_VALUATION(GROSS_MARGIN,MEAN,ANN_ROLL,2026,45456,,,'')/100":0.14480919,"BA-US^FE_VALUATION(GROSS_MARGIN,MEAN,ANN_ROLL,2025,45456,,,'')/100":0.15246025,"BA-US^FE_VALUATION(GROSS_MARGIN,MEAN,ANN_ROLL,2024,45456,,,'')/100":0.12298384,"BA-US^FE_VALUATION(GROSS_MARGIN,MEAN,ANN_ROLL,2023,45456,,,'')/100":0.104326814,"BA-US^FE_VALUATION(GROSS_MARGIN,MEAN,ANN_ROLL,2022,45456,,,'')/100":0.05598427,"BA-US^FE_VALUATION(GROSS_MARGIN,MEAN,ANN_ROLL,2021,45456,,,'')/100":0.054560147,"BA-US^FE_ESTIMATE(GROSS_INC,MEAN,ANN_ROLL,2026,45456,,,'')":15314.702,"BA-US^FE_ESTIMATE(GROSS_INC,MEAN,ANN_ROLL,2025,45456,,,'')":14416.264,"BA-US^FE_ESTIMATE(GROSS_INC,MEAN,ANN_ROLL,2024,45456,,,'')":9704.057,"BA-US^FE_ESTIMATE(GROSS_INC,MEAN,ANN_ROLL,2023,45456,,,'')":8116.0,"BA-US^FE_ESTIMATE(GROSS_INC,MEAN,ANN_ROLL,2022,45456,,,'')":3729.0,"BA-US^FE_ESTIMATE(GROSS_INC,MEAN,ANN_ROLL,2021,45456,,,'')":3398.3333,"BA-US^FE_ESTIMATE(COS,MEAN,ANN_ROLL,2026,45456,,,'')":87837.31,"BA-US^FE_ESTIMATE(COS,MEAN,ANN_ROLL,2025,45456,,,'')":78155.09,"BA-US^FE_ESTIMATE(COS,MEAN,ANN_ROLL,2024,45456,,,'')":66629.875,"BA-US^FE_ESTIMATE(COS,MEAN,ANN_ROLL,2023,45456,,,'')":68810.37,"BA-US^FE_ESTIMATE(COS,MEAN,ANN_ROLL,2022,45456,,,'')":61865.25,"BA-US^FE_ESTIMATE(COS,MEAN,ANN_ROLL,2021,45456,,,'')":58749.145,"BA-US^FE_ESTIMATE(SALES,MEAN,ANN_ROLL,2026,45456,,,'')":105757.81,"BA-US^FE_ESTIMATE(SALES,MEAN,ANN_ROLL,2025,45456,,,'')":94557.52,"BA-US^FE_ESTIMATE(SALES,MEAN,ANN_ROLL,2024,45456,,,'')":78905.13,"BA-US^FE_ESTIMATE(SALES,MEAN,ANN_ROLL,2023,45456,,,'')":77794.0,"BA-US^FE_ESTIMATE(SALES,MEAN,ANN_ROLL,2022,45456,,,'')":66608.0,"BA-US^FE_ESTIMATE(SALES,MEAN,ANN_ROLL,2021,45456,,,'')":62286.0,"BA-US^FE_ESTIMATE(EBITDA,MEAN,ANN_ROLL,2021,45456,,,'')":-748.5376,"BA-US^FE_ESTIMATE(FCFPS,MEAN,QTR_ROLL,2024/2F,45456,,,'')":-5.188827,"BA-US^FE_ESTIMATE(FCF,MEAN,QTR_ROLL,2024/2F,45456,,,'')":-3916.8,"BA-US^FE_ESTIMATE(CAPEX,MEAN,QTR_ROLL,2024/2F,45456,,,'')":404.60797,"BA-US^FE_ESTIMATE(CF_OP,MEAN,QTR_ROLL,2024/2F,45456,,,'')":-3509.6,"BA-US^FE_ESTIMATE(NET_DEBT,MEAN,QTR_ROLL,2024/2F,45456,,,'')":43671.0,"BA-US^FE_ESTIMATE(DEBT,MEAN,QTR_ROLL,2024/2F,45456,,,'')":57940.0,"BA-US^FE_ESTIMATE(CASH_ST,MEAN,QTR_ROLL,2024/2F,45456,,,'')":13296.5,"BA-US^FE_ESTIMATE(DPS,MEAN,QTR_ROLL,2024/2F,45456,,,'')":0.0,"BA-US^FE_ESTIMATE(EPS_GAAP,MEAN,QTR_ROLL,2024/2F,45456,,,'')":-0.5237434,"BA-US^FE_ESTIMATE(NET_INC_REP,MEAN,QTR_ROLL,2024/2F,45456,,,'')":-320.11795,"BA-US^FE_ESTIMATE(PTX_INC_REP,MEAN,QTR_ROLL,2024/2F,45456,,,'')":-17.508224,"BA-US^FE_ESTIMATE(EBITDA_REP,MEAN,QTR_ROLL,2024/2F,45456,,,'')":678.0945,"BA-US^FE_ESTIMATE(EPS,MEAN,QTR_ROLL,2024/2F,45456,,,'')":-1.0632832,"BA-US^FE_ESTIMATE(NET_INC,MEAN,QTR_ROLL,2024/2F,45456,,,'')":-364.62646,"BA-US^FE_VALUATION(TAX_RATE,MEAN,QTR_ROLL,2024/2F,45456,,,'')/100":0.0056220037,"BA-US^FE_ESTIMATE(INC_TAX,MEAN,QTR_ROLL,2024/2F,45456,,,'')":-75.92308,"BA-US^FE_ESTIMATE(PTX_INC,MEAN,QTR_ROLL,2024/2F,45456,,,'')":-135.0463,"BA-US^FE_ESTIMATE(INT_EXP,MEAN,QTR_ROLL,2024/2F,45456,,,'')":617.8,"BA-US^FE_ESTIMATE(EBIT,MEAN,QTR_ROLL,2024/2F,45456,,,'')":285.90955,"BA-US^FE_ESTIMATE(DEP_AMORT_EXP,MEAN,QTR_ROLL,2024/2F,45456,,,'')":442.2857,"BA-US^FE_ESTIMATE(EBITDA,MEAN,QTR_ROLL,2024/2F,45456,,,'')":678.0945,"BA-US^FE_ESTIMATE(EBITDAR,MEAN,QTR_ROLL,2024/2F,45456,,,'')":null,"BA-US^FE_ESTIMATE(OPER_EXP,MEAN,QTR_ROLL,2024/2F,45456,,,'')":null,"BA-US^FE_ESTIMATE(RD_EXP,MEAN,QTR_ROLL,2024/2F,45456,,,'')":815.75,"BA-US^FE_ESTIMATE(G_A_EXP,MEAN,QTR_ROLL,2024/2F,45456,,,'')":1110.0,"BA-US^FE_ESTIMATE(SGA,MEAN,QTR_ROLL,2024/2F,45456,,,'')":1075.3334,"BA-US^FE_VALUATION(GROSS_MARGIN,MEAN,QTR_ROLL,2024/2F,45456,,,'')/100":0.102349386,"BA-US^FE_ESTIMATE(GROSS_INC,MEAN,QTR_ROLL,2024/2F,45456,,,'')":1855.8,"BA-US^FE_ESTIMATE(COS,MEAN,QTR_ROLL,2024/2F,45456,,,'')":15336.571,"BA-US^FE_ESTIMATE(SALES,MEAN,QTR_ROLL,2024/2F,45456,,,'')":18132.01,"BA-US^FE_ESTIMATE(FCFPS,MEAN,QTR_ROLL,2024/2F,45464,,,'')":-5.3913274,"BA-US^FE_ESTIMATE(FCF,MEAN,QTR_ROLL,2024/2F,45464,,,'')":-4016.8,"BA-US^FE_ESTIMATE(CAPEX,MEAN,QTR_ROLL,2024/2F,45464,,,'')":404.60797,"BA-US^FE_ESTIMATE(CF_OP,MEAN,QTR_ROLL,2024/2F,45464,,,'')":-3609.6,"BA-US^FE_ESTIMATE(NET_DEBT,MEAN,QTR_ROLL,2024/2F,45464,,,'')":43921.0,"BA-US^FE_ESTIMATE(DEBT,MEAN,QTR_ROLL,2024/2F,45464,,,'')":57940.0,"BA-US^FE_ESTIMATE(CASH_ST,MEAN,QTR_ROLL,2024/2F,45464,,,'')":13046.5,"BA-US^FE_ESTIMATE(DPS,MEAN,QTR_ROLL,2024/2F,45464,,,'')":0.0,"BA-US^FE_ESTIMATE(EPS_GAAP,MEAN,QTR_ROLL,2024/2F,45464,,,'')":-0.5570526,"BA-US^FE_ESTIMATE(NET_INC_REP,MEAN,QTR_ROLL,2024/2F,45464,,,'')":-372.68045,"BA-US^FE_ESTIMATE(PTX_INC_REP,MEAN,QTR_ROLL,2024/2F,45464,,,'')":-17.508224,"BA-US^FE_ESTIMATE(EBITDA_REP,MEAN,QTR_ROLL,2024/2F,45464,,,'')":649.0163,"BA-US^FE_ESTIMATE(EPS,MEAN,QTR_ROLL,2024/2F,45464,,,'')":-1.1595579,"BA-US^FE_ESTIMATE(NET_INC,MEAN,QTR_ROLL,2024/2F,45464,,,'')":-433.57043,"BA-US^FE_VALUATION(TAX_RATE,MEAN,QTR_ROLL,2024/2F,45464,,,'')/100":0.0023977486,"BA-US^FE_ESTIMATE(INC_TAX,MEAN,QTR_ROLL,2024/2F,45464,,,'')":-79.15385,"BA-US^FE_ESTIMATE(PTX_INC,MEAN,QTR_ROLL,2024/2F,45464,,,'')":-330.11737,"BA-US^FE_ESTIMATE(INT_EXP,MEAN,QTR_ROLL,2024/2F,45464,,,'')":628.9,"BA-US^FE_ESTIMATE(EBIT,MEAN,QTR_ROLL,2024/2F,45464,,,'')":-352.02606,"BA-US^FE_ESTIMATE(DEP_AMORT_EXP,MEAN,QTR_ROLL,2024/2F,45464,,,'')":442.2857,"BA-US^FE_ESTIMATE(EBITDA,MEAN,QTR_ROLL,2024/2F,45464,,,'')":649.0163,"BA-US^FE_ESTIMATE(EBITDAR,MEAN,QTR_ROLL,2024/2F,45464,,,'')":null,"BA-US^FE_ESTIMATE(OPER_EXP,MEAN,QTR_ROLL,2024/2F,45464,,,'')":null,"BA-US^FE_ESTIMATE(RD_EXP,MEAN,QTR_ROLL,2024/2F,45464,,,'')":815.75,"BA-US^FE_ESTIMATE(G_A_EXP,MEAN,QTR_ROLL,2024/2F,45464,,,'')":1094.6,"BA-US^FE_ESTIMATE(SGA,MEAN,QTR_ROLL,2024/2F,45464,,,'')":1075.3334,"BA-US^FE_VALUATION(GROSS_MARGIN,MEAN,QTR_ROLL,2024/2F,45464,,,'')/100":0.100392774,"BA-US^FE_ESTIMATE(GROSS_INC,MEAN,QTR_ROLL,2024/2F,45464,,,'')":1811.2,"BA-US^FE_ESTIMATE(COS,MEAN,QTR_ROLL,2024/2F,45464,,,'')":15148.429,"BA-US^FE_ESTIMATE(SALES,MEAN,QTR_ROLL,2024/2F,45464,,,'')":18041.14,"BA-US^FE_ESTIMATE(FCFPS,MEAN,ANN_ROLL,2026,45464,,,'')":12.929379,"BA-US^FE_ESTIMATE(FCFPS,MEAN,ANN_ROLL,2025,45464,,,'')":8.928815,"BA-US^FE_ESTIMATE(FCFPS,MEAN,ANN_ROLL,2024,45464,,,'')":-2.5875099,"BA-US^FE_ESTIMATE(FCFPS,MEAN,ANN_ROLL,2023,45464,,,'')":7.203665,"BA-US^FE_ESTIMATE(FCFPS,MEAN,ANN_ROLL,2022,45464,,,'')":4.023713,"BA-US^FE_ESTIMATE(FCFPS,MEAN,ANN_ROLL,2021,45464,,,'')":-6.8795238,"BA-US^FE_ESTIMATE(FCF,MEAN,ANN_ROLL,2026,45464,,,'')":8157.0293,"BA-US^FE_ESTIMATE(FCF,MEAN,ANN_ROLL,2025,45464,,,'')":5219.463,"BA-US^FE_ESTIMATE(FCF,MEAN,ANN_ROLL,2024,45464,,,'')":-2020.6835,"BA-US^FE_ESTIMATE(FCF,MEAN,ANN_ROLL,2023,45464,,,'')":4433.0,"BA-US^FE_ESTIMATE(FCF,MEAN,ANN_ROLL,2022,45464,,,'')":2290.0,"BA-US^FE_ESTIMATE(FCF,MEAN,ANN_ROLL,2021,45464,,,'')":-3560.0,"BA-US^FE_ESTIMATE(DPS,MEAN,ANN_ROLL,2026,45464,,,'')":1.0687597,"BA-US^FE_ESTIMATE(DPS,MEAN,ANN_ROLL,2025,45464,,,'')":0.045454547,"BA-US^FE_ESTIMATE(DPS,MEAN,ANN_ROLL,2024,45464,,,'')":0.0,"BA-US^FE_ESTIMATE(DPS,MEAN,ANN_ROLL,2023,45464,,,'')":0.0,"BA-US^FE_ESTIMATE(DPS,MEAN,ANN_ROLL,2022,45464,,,'')":0.0,"BA-US^FE_ESTIMATE(DPS,MEAN,ANN_ROLL,2021,45464,,,'')":0.0,"BA-US^FE_ESTIMATE(EPS_GAAP,MEAN,ANN_ROLL,2026,45464,,,'')":10.454394,"BA-US^FE_ESTIMATE(EPS_GAAP,MEAN,ANN_ROLL,2025,45464,,,'')":6.9572062,"BA-US^FE_ESTIMATE(EPS_GAAP,MEAN,ANN_ROLL,2024,45464,,,'')":0.8424393,"BA-US^FE_ESTIMATE(EPS_GAAP,MEAN,ANN_ROLL,2023,45464,,,'')":-3.67,"BA-US^FE_ESTIMATE(EPS_GAAP,MEAN,ANN_ROLL,2022,45464,,,'')":-8.3,"BA-US^FE_ESTIMATE(EPS_GAAP,MEAN,ANN_ROLL,2021,45464,,,'')":-7.15,"BA-US^FE_ESTIMATE(NET_INC_REP,MEAN,ANN_ROLL,2026,45464,,,'')":6737.1763,"BA-US^FE_ESTIMATE(NET_INC_REP,MEAN,ANN_ROLL,2025,45464,,,'')":4424.1934,"BA-US^FE_ESTIMATE(NET_INC_REP,MEAN,ANN_ROLL,2024,45464,,,'')":799.637,"BA-US^FE_ESTIMATE(NET_INC_REP,MEAN,ANN_ROLL,2023,45464,,,'')":-2222.0,"BA-US^FE_ESTIMATE(NET_INC_REP,MEAN,ANN_ROLL,2022,45464,,,'')":-4935.0,"BA-US^FE_ESTIMATE(NET_INC_REP,MEAN,ANN_ROLL,2021,45464,,,'')":-4202.0,"BA-US^FE_ESTIMATE(PTX_INC_REP,MEAN,ANN_ROLL,2026,45464,,,'')":8065.5264,"BA-US^FE_ESTIMATE(PTX_INC_REP,MEAN,ANN_ROLL,2025,45464,,,'')":5182.985,"BA-US^FE_ESTIMATE(PTX_INC_REP,MEAN,ANN_ROLL,2024,45464,,,'')":1121.7,"BA-US^FE_ESTIMATE(PTX_INC_REP,MEAN,ANN_ROLL,2023,45464,,,'')":-2005.0,"BA-US^FE_ESTIMATE(PTX_INC_REP,MEAN,ANN_ROLL,2022,45464,,,'')":-5022.0,"BA-US^FE_ESTIMATE(PTX_INC_REP,MEAN,ANN_ROLL,2021,45464,,,'')":-6158.0,"BA-US^FE_ESTIMATE(EBITDA_REP,MEAN,ANN_ROLL,2026,45464,,,'')":11444.704,"BA-US^FE_ESTIMATE(EBITDA_REP,MEAN,ANN_ROLL,2025,45464,,,'')":8719.371,"BA-US^FE_ESTIMATE(EBITDA_REP,MEAN,ANN_ROLL,2024,45464,,,'')":3951.2449,"BA-US^FE_ESTIMATE(EBITDA_REP,MEAN,ANN_ROLL,2023,45464,,,'')":1085.1666,"BA-US^FE_ESTIMATE(EBITDA_REP,MEAN,ANN_ROLL,2022,45464,,,'')":-1599.0416,"BA-US^FE_ESTIMATE(EBITDA_REP,MEAN,ANN_ROLL,2021,45464,,,'')":-747.6,"BA-US^FE_ESTIMATE(EPS,MEAN,ANN_ROLL,2026,45464,,,'')":8.603101,"BA-US^FE_ESTIMATE(EPS,MEAN,ANN_ROLL,2025,45464,,,'')":5.0826764,"BA-US^FE_ESTIMATE(EPS,MEAN,ANN_ROLL,2024,45464,,,'')":-1.1276155,"BA-US^FE_ESTIMATE(EPS,MEAN,ANN_ROLL,2023,45464,,,'')":-5.81,"BA-US^FE_ESTIMATE(EPS,MEAN,ANN_ROLL,2022,45464,,,'')":-11.06,"BA-US^FE_ESTIMATE(EPS,MEAN,ANN_ROLL,2021,45464,,,'')":-9.44,"BA-US^FE_ESTIMATE(NET_INC,MEAN,ANN_ROLL,2026,45464,,,'')":6524.0947,"BA-US^FE_ESTIMATE(NET_INC,MEAN,ANN_ROLL,2025,45464,,,'')":4297.2656,"BA-US^FE_ESTIMATE(NET_INC,MEAN,ANN_ROLL,2024,45464,,,'')":799.637,"BA-US^FE_ESTIMATE(NET_INC,MEAN,ANN_ROLL,2023,45464,,,'')":-2222.0,"BA-US^FE_ESTIMATE(NET_INC,MEAN,ANN_ROLL,2022,45464,,,'')":-4935.0,"BA-US^FE_ESTIMATE(NET_INC,MEAN,ANN_ROLL,2021,45464,,,'')":-4202.0,"BA-US^FE_VALUATION(TAX_RATE,MEAN,ANN_ROLL,2026,45464,,,'')/100":0.0017933451,"BA-US^FE_VALUATION(TAX_RATE,MEAN,ANN_ROLL,2025,45464,,,'')/100":0.0018180871,"BA-US^FE_VALUATION(TAX_RATE,MEAN,ANN_ROLL,2024,45464,,,'')/100":0.0011124415,"BA-US^FE_VALUATION(TAX_RATE,MEAN,ANN_ROLL,2023,45464,,,'')/100":-0.0010742124,"BA-US^FE_VALUATION(TAX_RATE,MEAN,ANN_ROLL,2022,45464,,,'')/100":3.8287817E-06,"BA-US^FE_VALUATION(TAX_RATE,MEAN,ANN_ROLL,2021,45464,,,'')/100":0.0014517867,"BA-US^FE_ESTIMATE(INC_TAX,MEAN,ANN_ROLL,2026,45464,,,'')":1450.1428,"BA-US^FE_ESTIMATE(INC_TAX,MEAN,ANN_ROLL,2025,45464,,,'')":964.20135,"BA-US^FE_ESTIMATE(INC_TAX,MEAN,ANN_ROLL,2024,45464,,,'')":96.281395,"BA-US^FE_ESTIMATE(INC_TAX,MEAN,ANN_ROLL,2023,45464,,,'')":206.07692,"BA-US^FE_ESTIMATE(INC_TAX,MEAN,ANN_ROLL,2022,45464,,,'')":-1.9166666,"BA-US^FE_ESTIMATE(INC_TAX,MEAN,ANN_ROLL,2021,45464,,,'')":-743.0,"BA-US^FE_ESTIMATE(PTX_INC,MEAN,ANN_ROLL,2026,45464,,,'')":8086.2456,"BA-US^FE_ESTIMATE(PTX_INC,MEAN,ANN_ROLL,2025,45464,,,'')":5303.384,"BA-US^FE_ESTIMATE(PTX_INC,MEAN,ANN_ROLL,2024,45464,,,'')":865.4962,"BA-US^FE_ESTIMATE(PTX_INC,MEAN,ANN_ROLL,2023,45464,,,'')":-1918.4,"BA-US^FE_ESTIMATE(PTX_INC,MEAN,ANN_ROLL,2022,45464,,,'')":-5005.9443,"BA-US^FE_ESTIMATE(PTX_INC,MEAN,ANN_ROLL,2021,45464,,,'')":-5117.8315,"BA-US^FE_ESTIMATE(INT_EXP,MEAN,ANN_ROLL,2026,45464,,,'')":2182.1228,"BA-US^FE_ESTIMATE(INT_EXP,MEAN,ANN_ROLL,2025,45464,,,'')":2514.2249,"BA-US^FE_ESTIMATE(INT_EXP,MEAN,ANN_ROLL,2024,45464,,,'')":2496.8264,"BA-US^FE_ESTIMATE(INT_EXP,MEAN,ANN_ROLL,2023,45464,,,'')":2459.0,"BA-US^FE_ESTIMATE(INT_EXP,MEAN,ANN_ROLL,2022,45464,,,'')":2533.0,"BA-US^FE_ESTIMATE(INT_EXP,MEAN,ANN_ROLL,2021,45464,,,'')":2682.0,"BA-US^FE_ESTIMATE(EBIT,MEAN,ANN_ROLL,2026,45464,,,'')":9327.545,"BA-US^FE_ESTIMATE(EBIT,MEAN,ANN_ROLL,2025,45464,,,'')":6696.772,"BA-US^FE_ESTIMATE(EBIT,MEAN,ANN_ROLL,2024,45464,,,'')":2629.782,"BA-US^FE_ESTIMATE(EBIT,MEAN,ANN_ROLL,2023,45464,,,'')":-775.0,"BA-US^FE_ESTIMATE(EBIT,MEAN,ANN_ROLL,2022,45464,,,'')":-3547.0,"BA-US^FE_ESTIMATE(EBIT,MEAN,ANN_ROLL,2021,45464,,,'')":-2896.4656,"BA-US^FE_ESTIMATE(DEP_AMORT_EXP,MEAN,ANN_ROLL,2026,45464,,,'')":2084.3445,"BA-US^FE_ESTIMATE(DEP_AMORT_EXP,MEAN,ANN_ROLL,2025,45464,,,'')":1927.1992,"BA-US^FE_ESTIMATE(DEP_AMORT_EXP,MEAN,ANN_ROLL,2024,45464,,,'')":1797.5575,"BA-US^FE_ESTIMATE(DEP_AMORT_EXP,MEAN,ANN_ROLL,2023,45464,,,'')":1861.0,"BA-US^FE_ESTIMATE(DEP_AMORT_EXP,MEAN,ANN_ROLL,2022,45464,,,'')":1951.7778,"BA-US^FE_ESTIMATE(DEP_AMORT_EXP,MEAN,ANN_ROLL,2021,45464,,,'')":2154.889,"BA-US^FE_ESTIMATE(EBITDAR,MEAN,ANN_ROLL,2026,45464,,,'')":null,"BA-US^FE_ESTIMATE(EBITDAR,MEAN,ANN_ROLL,2025,45464,,,'')":null,"BA-US^FE_ESTIMATE(EBITDAR,MEAN,ANN_ROLL,2024,45464,,,'')":null,"BA-US^FE_ESTIMATE(EBITDAR,MEAN,ANN_ROLL,2023,45464,,,'')":null,"BA-US^FE_ESTIMATE(EBITDAR,MEAN,ANN_ROLL,2022,45464,,,'')":null,"BA-US^FE_ESTIMATE(EBITDAR,MEAN,ANN_ROLL,2021,45464,,,'')":null,"BA-US^FE_ESTIMATE(OPER_EXP,MEAN,ANN_ROLL,2026,45464,,,'')":null,"BA-US^FE_ESTIMATE(OPER_EXP,MEAN,ANN_ROLL,2025,45464,,,'')":null,"BA-US^FE_ESTIMATE(OPER_EXP,MEAN,ANN_ROLL,2024,45464,,,'')":null,"BA-US^FE_ESTIMATE(OPER_EXP,MEAN,ANN_ROLL,2023,45464,,,'')":null,"BA-US^FE_ESTIMATE(OPER_EXP,MEAN,ANN_ROLL,2022,45464,,,'')":null,"BA-US^FE_ESTIMATE(OPER_EXP,MEAN,ANN_ROLL,2021,45464,,,'')":null,"BA-US^FE_ESTIMATE(RD_EXP,MEAN,ANN_ROLL,2026,45464,,,'')":3177.5,"BA-US^FE_ESTIMATE(RD_EXP,MEAN,ANN_ROLL,2025,45464,,,'')":3364.625,"BA-US^FE_ESTIMATE(RD_EXP,MEAN,ANN_ROLL,2024,45464,,,'')":3397.625,"BA-US^FE_ESTIMATE(RD_EXP,MEAN,ANN_ROLL,2023,45464,,,'')":3200.25,"BA-US^FE_ESTIMATE(RD_EXP,MEAN,ANN_ROLL,2022,45464,,,'')":2825.3333,"BA-US^FE_ESTIMATE(RD_EXP,MEAN,ANN_ROLL,2021,45464,,,'')":2249.0,"BA-US^FE_ESTIMATE(G_A_EXP,MEAN,ANN_ROLL,2026,45464,,,'')":5744.0,"BA-US^FE_ESTIMATE(G_A_EXP,MEAN,ANN_ROLL,2025,45464,,,'')":4966.8,"BA-US^FE_ESTIMATE(G_A_EXP,MEAN,ANN_ROLL,2024,45464,,,'')":4653.8,"BA-US^FE_ESTIMATE(G_A_EXP,MEAN,ANN_ROLL,2023,45464,,,'')":4654.0,"BA-US^FE_ESTIMATE(G_A_EXP,MEAN,ANN_ROLL,2022,45464,,,'')":4056.0,"BA-US^FE_ESTIMATE(G_A_EXP,MEAN,ANN_ROLL,2021,45464,,,'')":4157.0,"BA-US^FE_ESTIMATE(SGA,MEAN,ANN_ROLL,2026,45464,,,'')":6174.3594,"BA-US^FE_ESTIMATE(SGA,MEAN,ANN_ROLL,2025,45464,,,'')":5842.659,"BA-US^FE_ESTIMATE(SGA,MEAN,ANN_ROLL,2024,45464,,,'')":4953.9272,"BA-US^FE_ESTIMATE(SGA,MEAN,ANN_ROLL,2023,45464,,,'')":5168.0,"BA-US^FE_ESTIMATE(SGA,MEAN,ANN_ROLL,2022,45464,,,'')":4187.0,"BA-US^FE_ESTIMATE(SGA,MEAN,ANN_ROLL,2021,45464,,,'')":4157.0,"BA-US^FE_VALUATION(GROSS_MARGIN,MEAN,ANN_ROLL,2026,45464,,,'')/100":0.14480919,"BA-US^FE_VALUATION(GROSS_MARGIN,MEAN,ANN_ROLL,2025,45464,,,'')/100":0.15231206,"BA-US^FE_VALUATION(GROSS_MARGIN,MEAN,ANN_ROLL,2024,45464,,,'')/100":0.12267945,"BA-US^FE_VALUATION(GROSS_MARGIN,MEAN,ANN_ROLL,2023,45464,,,'')/100":0.104326814,"BA-US^FE_VALUATION(GROSS_MARGIN,MEAN,ANN_ROLL,2022,45464,,,'')/100":0.05598427,"BA-US^FE_VALUATION(GROSS_MARGIN,MEAN,ANN_ROLL,2021,45464,,,'')/100":0.054560147,"BA-US^FE_ESTIMATE(GROSS_INC,MEAN,ANN_ROLL,2026,45464,,,'')":15314.702,"BA-US^FE_ESTIMATE(GROSS_INC,MEAN,ANN_ROLL,2025,45464,,,'')":14390.264,"BA-US^FE_ESTIMATE(GROSS_INC,MEAN,ANN_ROLL,2024,45464,,,'')":9663.432,"BA-US^FE_ESTIMATE(GROSS_INC,MEAN,ANN_ROLL,2023,45464,,,'')":8116.0,"BA-US^FE_ESTIMATE(GROSS_INC,MEAN,ANN_ROLL,2022,45464,,,'')":3729.0,"BA-US^FE_ESTIMATE(GROSS_INC,MEAN,ANN_ROLL,2021,45464,,,'')":3398.3333,"BA-US^FE_ESTIMATE(COS,MEAN,ANN_ROLL,2026,45464,,,'')":87837.31,"BA-US^FE_ESTIMATE(COS,MEAN,ANN_ROLL,2025,45464,,,'')":77963.4,"BA-US^FE_ESTIMATE(COS,MEAN,ANN_ROLL,2024,45464,,,'')":66394.375,"BA-US^FE_ESTIMATE(COS,MEAN,ANN_ROLL,2023,45464,,,'')":68810.37,"BA-US^FE_ESTIMATE(COS,MEAN,ANN_ROLL,2022,45464,,,'')":61865.25,"BA-US^FE_ESTIMATE(COS,MEAN,ANN_ROLL,2021,45464,,,'')":58749.145,"BA-US^FE_ESTIMATE(SALES,MEAN,ANN_ROLL,2026,45464,,,'')":105757.81,"BA-US^FE_ESTIMATE(SALES,MEAN,ANN_ROLL,2025,45464,,,'')":94478.82,"BA-US^FE_ESTIMATE(SALES,MEAN,ANN_ROLL,2024,45464,,,'')":78769.766,"BA-US^FE_ESTIMATE(SALES,MEAN,ANN_ROLL,2023,45464,,,'')":77794.0,"BA-US^FE_ESTIMATE(SALES,MEAN,ANN_ROLL,2022,45464,,,'')":66608.0,"BA-US^FE_ESTIMATE(SALES,MEAN,ANN_ROLL,2021,45464,,,'')":62286.0,"BA-US^FE_ESTIMATE(EBITDA,MEAN,ANN_ROLL,2021,45464,,,'')":-748.5376,"BA-US^FE_ESTIMATE(FCFPS,MEAN,QTR_ROLL,2024/2F,45483,,,'')":-6.199672,"BA-US^FE_ESTIMATE(FCF,MEAN,QTR_ROLL,2024/2F,45483,,,'')":-4176.1313,"BA-US^FE_ESTIMATE(CAPEX,MEAN,QTR_ROLL,2024/2F,45483,,,'')":404.60797,"BA-US^FE_ESTIMATE(CF_OP,MEAN,QTR_ROLL,2024/2F,45483,,,'')":-3582.6,"BA-US^FE_ESTIMATE(NET_DEBT,MEAN,QTR_ROLL,2024/2F,45483,,,'')":43921.0,"BA-US^FE_ESTIMATE(DEBT,MEAN,QTR_ROLL,2024/2F,45483,,,'')":57940.0,"BA-US^FE_ESTIMATE(CASH_ST,MEAN,QTR_ROLL,2024/2F,45483,,,'')":13035.25,"BA-US^FE_ESTIMATE(DPS,MEAN,QTR_ROLL,2024/2F,45483,,,'')":0.0,"BA-US^FE_ESTIMATE(EPS_GAAP,MEAN,QTR_ROLL,2024/2F,45483,,,'')":-0.69022375,"BA-US^FE_ESTIMATE(NET_INC_REP,MEAN,QTR_ROLL,2024/2F,45483,,,'')":-394.291,"BA-US^FE_ESTIMATE(PTX_INC_REP,MEAN,QTR_ROLL,2024/2F,45483,,,'')":null,"BA-US^FE_ESTIMATE(EBITDA_REP,MEAN,QTR_ROLL,2024/2F,45483,,,'')":339.53412,"BA-US^FE_ESTIMATE(EPS,MEAN,QTR_ROLL,2024/2F,45483,,,'')":-1.300866,"BA-US^FE_ESTIMATE(NET_INC,MEAN,QTR_ROLL,2024/2F,45483,,,'')":-452.0128,"BA-US^FE_VALUATION(TAX_RATE,MEAN,QTR_ROLL,2024/2F,45483,,,'')/100":0.002236948,"BA-US^FE_ESTIMATE(INC_TAX,MEAN,QTR_ROLL,2024/2F,45483,,,'')":-84.23077,"BA-US^FE_ESTIMATE(PTX_INC,MEAN,QTR_ROLL,2024/2F,45483,,,'')":-376.5432,"BA-US^FE_ESTIMATE(INT_EXP,MEAN,QTR_ROLL,2024/2F,45483,,,'')":628.9,"BA-US^FE_ESTIMATE(EBIT,MEAN,QTR_ROLL,2024/2F,45483,,,'')":-236.09393,"BA-US^FE_ESTIMATE(DEP_AMORT_EXP,MEAN,QTR_ROLL,2024/2F,45483,,,'')":450.14285,"BA-US^FE_ESTIMATE(EBITDA,MEAN,QTR_ROLL,2024/2F,45483,,,'')":339.53412,"BA-US^FE_ESTIMATE(EBITDAR,MEAN,QTR_ROLL,2024/2F,45483,,,'')":null,"BA-US^FE_ESTIMATE(OPER_EXP,MEAN,QTR_ROLL,2024/2F,45483,,,'')":null,"BA-US^FE_ESTIMATE(RD_EXP,MEAN,QTR_ROLL,2024/2F,45483,,,'')":815.0,"BA-US^FE_ESTIMATE(G_A_EXP,MEAN,QTR_ROLL,2024/2F,45483,,,'')":1014.4,"BA-US^FE_ESTIMATE(SGA,MEAN,QTR_ROLL,2024/2F,45483,,,'')":1103.0,"BA-US^FE_VALUATION(GROSS_MARGIN,MEAN,QTR_ROLL,2024/2F,45483,,,'')/100":0.10110361,"BA-US^FE_ESTIMATE(GROSS_INC,MEAN,QTR_ROLL,2024/2F,45483,,,'')":1790.6666,"BA-US^FE_ESTIMATE(COS,MEAN,QTR_ROLL,2024/2F,45483,,,'')":15187.714,"BA-US^FE_ESTIMATE(SALES,MEAN,QTR_ROLL,2024/2F,45483,,,'')":17711.203,"BA-US^FE_ESTIMATE(FCFPS,MEAN,ANN_ROLL,2026,45483,,,'')":12.9223795,"BA-US^FE_ESTIMATE(FCFPS,MEAN,ANN_ROLL,2025,45483,,,'')":8.928815,"BA-US^FE_ESTIMATE(FCFPS,MEAN,ANN_ROLL,2024,45483,,,'')":-3.0259502,"BA-US^FE_ESTIMATE(FCFPS,MEAN,ANN_ROLL,2023,45483,,,'')":7.203665,"BA-US^FE_ESTIMATE(FCFPS,MEAN,ANN_ROLL,2022,45483,,,'')":4.023713,"BA-US^FE_ESTIMATE(FCFPS,MEAN,ANN_ROLL,2021,45483,,,'')":-6.8795238,"BA-US^FE_ESTIMATE(FCF,MEAN,ANN_ROLL,2026,45483,,,'')":8141.7744,"BA-US^FE_ESTIMATE(FCF,MEAN,ANN_ROLL,2025,45483,,,'')":5305.9624,"BA-US^FE_ESTIMATE(FCF,MEAN,ANN_ROLL,2024,45483,,,'')":-2089.4722,"BA-US^FE_ESTIMATE(FCF,MEAN,ANN_ROLL,2023,45483,,,'')":4433.0,"BA-US^FE_ESTIMATE(FCF,MEAN,ANN_ROLL,2022,45483,,,'')":2290.0,"BA-US^FE_ESTIMATE(FCF,MEAN,ANN_ROLL,2021,45483,,,'')":-3560.0,"BA-US^FE_ESTIMATE(DPS,MEAN,ANN_ROLL,2026,45483,,,'')":0.9796964,"BA-US^FE_ESTIMATE(DPS,MEAN,ANN_ROLL,2025,45483,,,'')":0.041666668,"BA-US^FE_ESTIMATE(DPS,MEAN,ANN_ROLL,2024,45483,,,'')":0.0,"BA-US^FE_ESTIMATE(DPS,MEAN,ANN_ROLL,2023,45483,,,'')":0.0,"BA-US^FE_ESTIMATE(DPS,MEAN,ANN_ROLL,2022,45483,,,'')":0.0,"BA-US^FE_ESTIMATE(DPS,MEAN,ANN_ROLL,2021,45483,,,'')":0.0,"BA-US^FE_ESTIMATE(EPS_GAAP,MEAN,ANN_ROLL,2026,45483,,,'')":10.2621,"BA-US^FE_ESTIMATE(EPS_GAAP,MEAN,ANN_ROLL,2025,45483,,,'')":6.7630777,"BA-US^FE_ESTIMATE(EPS_GAAP,MEAN,ANN_ROLL,2024,45483,,,'')":0.6762008,"BA-US^FE_ESTIMATE(EPS_GAAP,MEAN,ANN_ROLL,2023,45483,,,'')":-3.67,"BA-US^FE_ESTIMATE(EPS_GAAP,MEAN,ANN_ROLL,2022,45483,,,'')":-8.3,"BA-US^FE_ESTIMATE(EPS_GAAP,MEAN,ANN_ROLL,2021,45483,,,'')":-7.15,"BA-US^FE_ESTIMATE(NET_INC_REP,MEAN,ANN_ROLL,2026,45483,,,'')":6618.51,"BA-US^FE_ESTIMATE(NET_INC_REP,MEAN,ANN_ROLL,2025,45483,,,'')":4325.6157,"BA-US^FE_ESTIMATE(NET_INC_REP,MEAN,ANN_ROLL,2024,45483,,,'')":728.3194,"BA-US^FE_ESTIMATE(NET_INC_REP,MEAN,ANN_ROLL,2023,45483,,,'')":-2222.0,"BA-US^FE_ESTIMATE(NET_INC_REP,MEAN,ANN_ROLL,2022,45483,,,'')":-4935.0,"BA-US^FE_ESTIMATE(NET_INC_REP,MEAN,ANN_ROLL,2021,45483,,,'')":-4202.0,"BA-US^FE_ESTIMATE(PTX_INC_REP,MEAN,ANN_ROLL,2026,45483,,,'')":7117.648,"BA-US^FE_ESTIMATE(PTX_INC_REP,MEAN,ANN_ROLL,2025,45483,,,'')":4889.5483,"BA-US^FE_ESTIMATE(PTX_INC_REP,MEAN,ANN_ROLL,2024,45483,,,'')":1121.7,"BA-US^FE_ESTIMATE(PTX_INC_REP,MEAN,ANN_ROLL,2023,45483,,,'')":-2005.0,"BA-US^FE_ESTIMATE(PTX_INC_REP,MEAN,ANN_ROLL,2022,45483,,,'')":-5022.0,"BA-US^FE_ESTIMATE(PTX_INC_REP,MEAN,ANN_ROLL,2021,45483,,,'')":-6158.0,"BA-US^FE_ESTIMATE(EBITDA_REP,MEAN,ANN_ROLL,2026,45483,,,'')":11344.321,"BA-US^FE_ESTIMATE(EBITDA_REP,MEAN,ANN_ROLL,2025,45483,,,'')":8633.167,"BA-US^FE_ESTIMATE(EBITDA_REP,MEAN,ANN_ROLL,2024,45483,,,'')":3803.5945,"BA-US^FE_ESTIMATE(EBITDA_REP,MEAN,ANN_ROLL,2023,45483,,,'')":1085.1666,"BA-US^FE_ESTIMATE(EBITDA_REP,MEAN,ANN_ROLL,2022,45483,,,'')":-1599.0416,"BA-US^FE_ESTIMATE(EBITDA_REP,MEAN,ANN_ROLL,2021,45483,,,'')":-747.6,"BA-US^FE_ESTIMATE(EPS,MEAN,ANN_ROLL,2026,45483,,,'')":8.551931,"BA-US^FE_ESTIMATE(EPS,MEAN,ANN_ROLL,2025,45483,,,'')":4.960437,"BA-US^FE_ESTIMATE(EPS,MEAN,ANN_ROLL,2024,45483,,,'')":-1.1695391,"BA-US^FE_ESTIMATE(EPS,MEAN,ANN_ROLL,2023,45483,,,'')":-5.81,"BA-US^FE_ESTIMATE(EPS,MEAN,ANN_ROLL,2022,45483,,,'')":-11.06,"BA-US^FE_ESTIMATE(EPS,MEAN,ANN_ROLL,2021,45483,,,'')":-9.44,"BA-US^FE_ESTIMATE(NET_INC,MEAN,ANN_ROLL,2026,45483,,,'')":6420.2617,"BA-US^FE_ESTIMATE(NET_INC,MEAN,ANN_ROLL,2025,45483,,,'')":4207.26,"BA-US^FE_ESTIMATE(NET_INC,MEAN,ANN_ROLL,2024,45483,,,'')":728.3194,"BA-US^FE_ESTIMATE(NET_INC,MEAN,ANN_ROLL,2023,45483,,,'')":-2222.0,"BA-US^FE_ESTIMATE(NET_INC,MEAN,ANN_ROLL,2022,45483,,,'')":-4935.0,"BA-US^FE_ESTIMATE(NET_INC,MEAN,ANN_ROLL,2021,45483,,,'')":-4202.0,"BA-US^FE_VALUATION(TAX_RATE,MEAN,ANN_ROLL,2026,45483,,,'')/100":0.0018302145,"BA-US^FE_VALUATION(TAX_RATE,MEAN,ANN_ROLL,2025,45483,,,'')/100":0.0018409985,"BA-US^FE_VALUATION(TAX_RATE,MEAN,ANN_ROLL,2024,45483,,,'')/100":0.0010309016,"BA-US^FE_VALUATION(TAX_RATE,MEAN,ANN_ROLL,2023,45483,,,'')/100":-0.0010742124,"BA-US^FE_VALUATION(TAX_RATE,MEAN,ANN_ROLL,2022,45483,,,'')/100":3.8287817E-06,"BA-US^FE_VALUATION(TAX_RATE,MEAN,ANN_ROLL,2021,45483,,,'')/100":0.0014517867,"BA-US^FE_ESTIMATE(INC_TAX,MEAN,ANN_ROLL,2026,45483,,,'')":1450.1627,"BA-US^FE_ESTIMATE(INC_TAX,MEAN,ANN_ROLL,2025,45483,,,'')":949.8937,"BA-US^FE_ESTIMATE(INC_TAX,MEAN,ANN_ROLL,2024,45483,,,'')":84.51217,"BA-US^FE_ESTIMATE(INC_TAX,MEAN,ANN_ROLL,2023,45483,,,'')":206.07692,"BA-US^FE_ESTIMATE(INC_TAX,MEAN,ANN_ROLL,2022,45483,,,'')":-1.9166666,"BA-US^FE_ESTIMATE(INC_TAX,MEAN,ANN_ROLL,2021,45483,,,'')":-743.0,"BA-US^FE_ESTIMATE(PTX_INC,MEAN,ANN_ROLL,2026,45483,,,'')":7923.4575,"BA-US^FE_ESTIMATE(PTX_INC,MEAN,ANN_ROLL,2025,45483,,,'')":5159.6655,"BA-US^FE_ESTIMATE(PTX_INC,MEAN,ANN_ROLL,2024,45483,,,'')":819.78894,"BA-US^FE_ESTIMATE(PTX_INC,MEAN,ANN_ROLL,2023,45483,,,'')":-1918.4,"BA-US^FE_ESTIMATE(PTX_INC,MEAN,ANN_ROLL,2022,45483,,,'')":-5005.9443,"BA-US^FE_ESTIMATE(PTX_INC,MEAN,ANN_ROLL,2021,45483,,,'')":-5117.8315,"BA-US^FE_ESTIMATE(INT_EXP,MEAN,ANN_ROLL,2026,45483,,,'')":2182.1228,"BA-US^FE_ESTIMATE(INT_EXP,MEAN,ANN_ROLL,2025,45483,,,'')":2521.7703,"BA-US^FE_ESTIMATE(INT_EXP,MEAN,ANN_ROLL,2024,45483,,,'')":2500.281,"BA-US^FE_ESTIMATE(INT_EXP,MEAN,ANN_ROLL,2023,45483,,,'')":2459.0,"BA-US^FE_ESTIMATE(INT_EXP,MEAN,ANN_ROLL,2022,45483,,,'')":2533.0,"BA-US^FE_ESTIMATE(INT_EXP,MEAN,ANN_ROLL,2021,45483,,,'')":2682.0,"BA-US^FE_ESTIMATE(EBIT,MEAN,ANN_ROLL,2026,45483,,,'')":9290.646,"BA-US^FE_ESTIMATE(EBIT,MEAN,ANN_ROLL,2025,45483,,,'')":6661.4116,"BA-US^FE_ESTIMATE(EBIT,MEAN,ANN_ROLL,2024,45483,,,'')":2024.0641,"BA-US^FE_ESTIMATE(EBIT,MEAN,ANN_ROLL,2023,45483,,,'')":-775.0,"BA-US^FE_ESTIMATE(EBIT,MEAN,ANN_ROLL,2022,45483,,,'')":-3547.0,"BA-US^FE_ESTIMATE(EBIT,MEAN,ANN_ROLL,2021,45483,,,'')":-2896.4656,"BA-US^FE_ESTIMATE(DEP_AMORT_EXP,MEAN,ANN_ROLL,2026,45483,,,'')":2105.4236,"BA-US^FE_ESTIMATE(DEP_AMORT_EXP,MEAN,ANN_ROLL,2025,45483,,,'')":1943.25,"BA-US^FE_ESTIMATE(DEP_AMORT_EXP,MEAN,ANN_ROLL,2024,45483,,,'')":1815.8293,"BA-US^FE_ESTIMATE(DEP_AMORT_EXP,MEAN,ANN_ROLL,2023,45483,,,'')":1861.0,"BA-US^FE_ESTIMATE(DEP_AMORT_EXP,MEAN,ANN_ROLL,2022,45483,,,'')":1951.7778,"BA-US^FE_ESTIMATE(DEP_AMORT_EXP,MEAN,ANN_ROLL,2021,45483,,,'')":2154.889,"BA-US^FE_ESTIMATE(EBITDAR,MEAN,ANN_ROLL,2026,45483,,,'')":null,"BA-US^FE_ESTIMATE(EBITDAR,MEAN,ANN_ROLL,2025,45483,,,'')":null,"BA-US^FE_ESTIMATE(EBITDAR,MEAN,ANN_ROLL,2024,45483,,,'')":null,"BA-US^FE_ESTIMATE(EBITDAR,MEAN,ANN_ROLL,2023,45483,,,'')":null,"BA-US^FE_ESTIMATE(EBITDAR,MEAN,ANN_ROLL,2022,45483,,,'')":null,"BA-US^FE_ESTIMATE(EBITDAR,MEAN,ANN_ROLL,2021,45483,,,'')":null,"BA-US^FE_ESTIMATE(OPER_EXP,MEAN,ANN_ROLL,2026,45483,,,'')":null,"BA-US^FE_ESTIMATE(OPER_EXP,MEAN,ANN_ROLL,2025,45483,,,'')":null,"BA-US^FE_ESTIMATE(OPER_EXP,MEAN,ANN_ROLL,2024,45483,,,'')":null,"BA-US^FE_ESTIMATE(OPER_EXP,MEAN,ANN_ROLL,2023,45483,,,'')":null,"BA-US^FE_ESTIMATE(OPER_EXP,MEAN,ANN_ROLL,2022,45483,,,'')":null,"BA-US^FE_ESTIMATE(OPER_EXP,MEAN,ANN_ROLL,2021,45483,,,'')":null,"BA-US^FE_ESTIMATE(RD_EXP,MEAN,ANN_ROLL,2026,45483,,,'')":3177.5,"BA-US^FE_ESTIMATE(RD_EXP,MEAN,ANN_ROLL,2025,45483,,,'')":3364.625,"BA-US^FE_ESTIMATE(RD_EXP,MEAN,ANN_ROLL,2024,45483,,,'')":3396.875,"BA-US^FE_ESTIMATE(RD_EXP,MEAN,ANN_ROLL,2023,45483,,,'')":3200.25,"BA-US^FE_ESTIMATE(RD_EXP,MEAN,ANN_ROLL,2022,45483,,,'')":2825.3333,"BA-US^FE_ESTIMATE(RD_EXP,MEAN,ANN_ROLL,2021,45483,,,'')":2249.0,"BA-US^FE_ESTIMATE(G_A_EXP,MEAN,ANN_ROLL,2026,45483,,,'')":5629.5,"BA-US^FE_ESTIMATE(G_A_EXP,MEAN,ANN_ROLL,2025,45483,,,'')":4937.6,"BA-US^FE_ESTIMATE(G_A_EXP,MEAN,ANN_ROLL,2024,45483,,,'')":4492.6,"BA-US^FE_ESTIMATE(G_A_EXP,MEAN,ANN_ROLL,2023,45483,,,'')":4654.0,"BA-US^FE_ESTIMATE(G_A_EXP,MEAN,ANN_ROLL,2022,45483,,,'')":4056.0,"BA-US^FE_ESTIMATE(G_A_EXP,MEAN,ANN_ROLL,2021,45483,,,'')":4157.0,"BA-US^FE_ESTIMATE(SGA,MEAN,ANN_ROLL,2026,45483,,,'')":5656.5195,"BA-US^FE_ESTIMATE(SGA,MEAN,ANN_ROLL,2025,45483,,,'')":5420.1274,"BA-US^FE_ESTIMATE(SGA,MEAN,ANN_ROLL,2024,45483,,,'')":4606.9414,"BA-US^FE_ESTIMATE(SGA,MEAN,ANN_ROLL,2023,45483,,,'')":5168.0,"BA-US^FE_ESTIMATE(SGA,MEAN,ANN_ROLL,2022,45483,,,'')":4187.0,"BA-US^FE_ESTIMATE(SGA,MEAN,ANN_ROLL,2021,45483,,,'')":4157.0,"BA-US^FE_VALUATION(GROSS_MARGIN,MEAN,ANN_ROLL,2026,45483,,,'')/100":0.16535832,"BA-US^FE_VALUATION(GROSS_MARGIN,MEAN,ANN_ROLL,2025,45483,,,'')/100":0.16310506,"BA-US^FE_VALUATION(GROSS_MARGIN,MEAN,ANN_ROLL,2024,45483,,,'')/100":0.12887734,"BA-US^FE_VALUATION(GROSS_MARGIN,MEAN,ANN_ROLL,2023,45483,,,'')/100":0.104326814,"BA-US^FE_VALUATION(GROSS_MARGIN,MEAN,ANN_ROLL,2022,45483,,,'')/100":0.05598427,"BA-US^FE_VALUATION(GROSS_MARGIN,MEAN,ANN_ROLL,2021,45483,,,'')/100":0.054560147,"BA-US^FE_ESTIMATE(GROSS_INC,MEAN,ANN_ROLL,2026,45483,,,'')":17451.453,"BA-US^FE_ESTIMATE(GROSS_INC,MEAN,ANN_ROLL,2025,45483,,,'')":15366.139,"BA-US^FE_ESTIMATE(GROSS_INC,MEAN,ANN_ROLL,2024,45483,,,'')":10117.384,"BA-US^FE_ESTIMATE(GROSS_INC,MEAN,ANN_ROLL,2023,45483,,,'')":8116.0,"BA-US^FE_ESTIMATE(GROSS_INC,MEAN,ANN_ROLL,2022,45483,,,'')":3729.0,"BA-US^FE_ESTIMATE(GROSS_INC,MEAN,ANN_ROLL,2021,45483,,,'')":3398.3333,"BA-US^FE_ESTIMATE(COS,MEAN,ANN_ROLL,2026,45483,,,'')":87832.15,"BA-US^FE_ESTIMATE(COS,MEAN,ANN_ROLL,2025,45483,,,'')":77778.5,"BA-US^FE_ESTIMATE(COS,MEAN,ANN_ROLL,2024,45483,,,'')":66461.98,"BA-US^FE_ESTIMATE(COS,MEAN,ANN_ROLL,2023,45483,,,'')":68810.37,"BA-US^FE_ESTIMATE(COS,MEAN,ANN_ROLL,2022,45483,,,'')":61865.25,"BA-US^FE_ESTIMATE(COS,MEAN,ANN_ROLL,2021,45483,,,'')":58749.145,"BA-US^FE_ESTIMATE(SALES,MEAN,ANN_ROLL,2026,45483,,,'')":105537.2,"BA-US^FE_ESTIMATE(SALES,MEAN,ANN_ROLL,2025,45483,,,'')":94210.07,"BA-US^FE_ESTIMATE(SALES,MEAN,ANN_ROLL,2024,45483,,,'')":78503.98,"BA-US^FE_ESTIMATE(SALES,MEAN,ANN_ROLL,2023,45483,,,'')":77794.0,"BA-US^FE_ESTIMATE(SALES,MEAN,ANN_ROLL,2022,45483,,,'')":66608.0,"BA-US^FE_ESTIMATE(SALES,MEAN,ANN_ROLL,2021,45483,,,'')":62286.0,"BA-US^FE_ESTIMATE(EBITDA,MEAN,ANN_ROLL,2021,45483,,,'')":-748.5376,"BA-US^FE_ESTIMATE(FCFPS,MEAN,QTR_ROLL,2024/2F,45498,,,'')":-6.8640966,"BA-US^FE_ESTIMATE(FCF,MEAN,QTR_ROLL,2024/2F,45498,,,'')":-4374.7144,"BA-US^FE_ESTIMATE(CAPEX,MEAN,QTR_ROLL,2024/2F,45498,,,'')":404.9413,"BA-US^FE_ESTIMATE(CF_OP,MEAN,QTR_ROLL,2024/2F,45498,,,'')":-3985.8333,"BA-US^FE_ESTIMATE(NET_DEBT,MEAN,QTR_ROLL,2024/2F,45498,,,'')":44614.5,"BA-US^FE_ESTIMATE(DEBT,MEAN,QTR_ROLL,2024/2F,45498,,,'')":57940.0,"BA-US^FE_ESTIMATE(CASH_ST,MEAN,QTR_ROLL,2024/2F,45498,,,'')":12573.25,"BA-US^FE_ESTIMATE(DPS,MEAN,QTR_ROLL,2024/2F,45498,,,'')":0.0,"BA-US^FE_ESTIMATE(EPS_GAAP,MEAN,QTR_ROLL,2024/2F,45498,,,'')":-1.2196709,"BA-US^FE_ESTIMATE(NET_INC_REP,MEAN,QTR_ROLL,2024/2F,45498,,,'')":-783.0538,"BA-US^FE_ESTIMATE(PTX_INC_REP,MEAN,QTR_ROLL,2024/2F,45498,,,'')":null,"BA-US^FE_ESTIMATE(EBITDA_REP,MEAN,QTR_ROLL,2024/2F,45498,,,'')":176.49979,"BA-US^FE_ESTIMATE(EPS,MEAN,QTR_ROLL,2024/2F,45498,,,'')":-1.691202,"BA-US^FE_ESTIMATE(NET_INC,MEAN,QTR_ROLL,2024/2F,45498,,,'')":-812.03204,"BA-US^FE_VALUATION(TAX_RATE,MEAN,QTR_ROLL,2024/2F,45498,,,'')/100":0.00095772505,"BA-US^FE_ESTIMATE(INC_TAX,MEAN,QTR_ROLL,2024/2F,45498,,,'')":-88.69231,"BA-US^FE_ESTIMATE(PTX_INC,MEAN,QTR_ROLL,2024/2F,45498,,,'')":-926.07275,"BA-US^FE_ESTIMATE(INT_EXP,MEAN,QTR_ROLL,2024/2F,45498,,,'')":630.1,"BA-US^FE_ESTIMATE(EBIT,MEAN,QTR_ROLL,2024/2F,45498,,,'')":-595.2661,"BA-US^FE_ESTIMATE(DEP_AMORT_EXP,MEAN,QTR_ROLL,2024/2F,45498,,,'')":450.14285,"BA-US^FE_ESTIMATE(EBITDA,MEAN,QTR_ROLL,2024/2F,45498,,,'')":176.49979,"BA-US^FE_ESTIMATE(EBITDAR,MEAN,QTR_ROLL,2024/2F,45498,,,'')":null,"BA-US^FE_ESTIMATE(OPER_EXP,MEAN,QTR_ROLL,2024/2F,45498,,,'')":null,"BA-US^FE_ESTIMATE(RD_EXP,MEAN,QTR_ROLL,2024/2F,45498,,,'')":818.125,"BA-US^FE_ESTIMATE(G_A_EXP,MEAN,QTR_ROLL,2024/2F,45498,,,'')":1078.8,"BA-US^FE_ESTIMATE(SGA,MEAN,QTR_ROLL,2024/2F,45498,,,'')":1107.0,"BA-US^FE_VALUATION(GROSS_MARGIN,MEAN,QTR_ROLL,2024/2F,45498,,,'')/100":0.07857969,"BA-US^FE_ESTIMATE(GROSS_INC,MEAN,QTR_ROLL,2024/2F,45498,,,'')":1365.8334,"BA-US^FE_ESTIMATE(COS,MEAN,QTR_ROLL,2024/2F,45498,,,'')":15659.286,"BA-US^FE_ESTIMATE(SALES,MEAN,QTR_ROLL,2024/2F,45498,,,'')":17381.508,"BA-US^FE_ESTIMATE(FCFPS,MEAN,ANN_ROLL,2026,45502,,,'')":12.728379,"BA-US^FE_ESTIMATE(FCFPS,MEAN,ANN_ROLL,2025,45502,,,'')":8.739648,"BA-US^FE_ESTIMATE(FCFPS,MEAN,ANN_ROLL,2024,45502,,,'')":-3.4517834,"BA-US^FE_ESTIMATE(FCFPS,MEAN,ANN_ROLL,2023,45502,,,'')":7.203665,"BA-US^FE_ESTIMATE(FCFPS,MEAN,ANN_ROLL,2022,45502,,,'')":4.023713,"BA-US^FE_ESTIMATE(FCFPS,MEAN,ANN_ROLL,2021,45502,,,'')":-6.8795238,"BA-US^FE_ESTIMATE(FCF,MEAN,ANN_ROLL,2026,45502,,,'')":8167.518,"BA-US^FE_ESTIMATE(FCF,MEAN,ANN_ROLL,2025,45502,,,'')":5488.5483,"BA-US^FE_ESTIMATE(FCF,MEAN,ANN_ROLL,2024,45502,,,'')":-2714.5918,"BA-US^FE_ESTIMATE(FCF,MEAN,ANN_ROLL,2023,45502,,,'')":4433.0,"BA-US^FE_ESTIMATE(FCF,MEAN,ANN_ROLL,2022,45502,,,'')":2290.0,"BA-US^FE_ESTIMATE(FCF,MEAN,ANN_ROLL,2021,45502,,,'')":-3560.0,"BA-US^FE_ESTIMATE(DPS,MEAN,ANN_ROLL,2026,45502,,,'')":0.9796964,"BA-US^FE_ESTIMATE(DPS,MEAN,ANN_ROLL,2025,45502,,,'')":0.041666668,"BA-US^FE_ESTIMATE(DPS,MEAN,ANN_ROLL,2024,45502,,,'')":0.0,"BA-US^FE_ESTIMATE(DPS,MEAN,ANN_ROLL,2023,45502,,,'')":0.0,"BA-US^FE_ESTIMATE(DPS,MEAN,ANN_ROLL,2022,45502,,,'')":0.0,"BA-US^FE_ESTIMATE(DPS,MEAN,ANN_ROLL,2021,45502,,,'')":0.0,"BA-US^FE_ESTIMATE(EPS_GAAP,MEAN,ANN_ROLL,2026,45502,,,'')":10.131127,"BA-US^FE_ESTIMATE(EPS_GAAP,MEAN,ANN_ROLL,2025,45502,,,'')":6.6680994,"BA-US^FE_ESTIMATE(EPS_GAAP,MEAN,ANN_ROLL,2024,45502,,,'')":-0.023538236,"BA-US^FE_ESTIMATE(EPS_GAAP,MEAN,ANN_ROLL,2023,45502,,,'')":-3.67,"BA-US^FE_ESTIMATE(EPS_GAAP,MEAN,ANN_ROLL,2022,45502,,,'')":-8.3,"BA-US^FE_ESTIMATE(EPS_GAAP,MEAN,ANN_ROLL,2021,45502,,,'')":-7.15,"BA-US^FE_ESTIMATE(NET_INC_REP,MEAN,ANN_ROLL,2026,45502,,,'')":6544.4175,"BA-US^FE_ESTIMATE(NET_INC_REP,MEAN,ANN_ROLL,2025,45502,,,'')":4239.0713,"BA-US^FE_ESTIMATE(NET_INC_REP,MEAN,ANN_ROLL,2024,45502,,,'')":-232.841,"BA-US^FE_ESTIMATE(NET_INC_REP,MEAN,ANN_ROLL,2023,45502,,,'')":-2222.0,"BA-US^FE_ESTIMATE(NET_INC_REP,MEAN,ANN_ROLL,2022,45502,,,'')":-4935.0,"BA-US^FE_ESTIMATE(NET_INC_REP,MEAN,ANN_ROLL,2021,45502,,,'')":-4202.0,"BA-US^FE_ESTIMATE(PTX_INC_REP,MEAN,ANN_ROLL,2026,45502,,,'')":7114.0146,"BA-US^FE_ESTIMATE(PTX_INC_REP,MEAN,ANN_ROLL,2025,45502,,,'')":4885.9224,"BA-US^FE_ESTIMATE(PTX_INC_REP,MEAN,ANN_ROLL,2024,45502,,,'')":1121.7,"BA-US^FE_ESTIMATE(PTX_INC_REP,MEAN,ANN_ROLL,2023,45502,,,'')":-2005.0,"BA-US^FE_ESTIMATE(PTX_INC_REP,MEAN,ANN_ROLL,2022,45502,,,'')":-5022.0,"BA-US^FE_ESTIMATE(PTX_INC_REP,MEAN,ANN_ROLL,2021,45502,,,'')":-6158.0,"BA-US^FE_ESTIMATE(EBITDA_REP,MEAN,ANN_ROLL,2026,45502,,,'')":11341.215,"BA-US^FE_ESTIMATE(EBITDA_REP,MEAN,ANN_ROLL,2025,45502,,,'')":8606.734,"BA-US^FE_ESTIMATE(EBITDA_REP,MEAN,ANN_ROLL,2024,45502,,,'')":3447.5652,"BA-US^FE_ESTIMATE(EBITDA_REP,MEAN,ANN_ROLL,2023,45502,,,'')":1085.1666,"BA-US^FE_ESTIMATE(EBITDA_REP,MEAN,ANN_ROLL,2022,45502,,,'')":-1599.0416,"BA-US^FE_ESTIMATE(EBITDA_REP,MEAN,ANN_ROLL,2021,45502,,,'')":-747.6,"BA-US^FE_ESTIMATE(EPS,MEAN,ANN_ROLL,2026,45502,,,'')":8.4738035,"BA-US^FE_ESTIMATE(EPS,MEAN,ANN_ROLL,2025,45502,,,'')":4.8760524,"BA-US^FE_ESTIMATE(EPS,MEAN,ANN_ROLL,2024,45502,,,'')":-2.2571135,"BA-US^FE_ESTIMATE(EPS,MEAN,ANN_ROLL,2023,45502,,,'')":-5.81,"BA-US^FE_ESTIMATE(EPS,MEAN,ANN_ROLL,2022,45502,,,'')":-11.06,"BA-US^FE_ESTIMATE(EPS,MEAN,ANN_ROLL,2021,45502,,,'')":-9.44,"BA-US^FE_ESTIMATE(NET_INC,MEAN,ANN_ROLL,2026,45502,,,'')":6355.1187,"BA-US^FE_ESTIMATE(NET_INC,MEAN,ANN_ROLL,2025,45502,,,'')":4121.459,"BA-US^FE_ESTIMATE(NET_INC,MEAN,ANN_ROLL,2024,45502,,,'')":-364.0656,"BA-US^FE_ESTIMATE(NET_INC,MEAN,ANN_ROLL,2023,45502,,,'')":-2222.0,"BA-US^FE_ESTIMATE(NET_INC,MEAN,ANN_ROLL,2022,45502,,,'')":-4935.0,"BA-US^FE_ESTIMATE(NET_INC,MEAN,ANN_ROLL,2021,45502,,,'')":-4202.0,"BA-US^FE_VALUATION(TAX_RATE,MEAN,ANN_ROLL,2026,45502,,,'')/100":0.0018489577,"BA-US^FE_VALUATION(TAX_RATE,MEAN,ANN_ROLL,2025,45502,,,'')/100":0.0018202398,"BA-US^FE_VALUATION(TAX_RATE,MEAN,ANN_ROLL,2024,45502,,,'')/100":-0.0025800234,"BA-US^FE_VALUATION(TAX_RATE,MEAN,ANN_ROLL,2023,45502,,,'')/100":-0.0010742124,"BA-US^FE_VALUATION(TAX_RATE,MEAN,ANN_ROLL,2022,45502,,,'')/100":3.8287817E-06,"BA-US^FE_VALUATION(TAX_RATE,MEAN,ANN_ROLL,2021,45502,,,'')/100":0.0014517867,"BA-US^FE_ESTIMATE(INC_TAX,MEAN,ANN_ROLL,2026,45502,,,'')":1449.1882,"BA-US^FE_ESTIMATE(INC_TAX,MEAN,ANN_ROLL,2025,45502,,,'')":921.04425,"BA-US^FE_ESTIMATE(INC_TAX,MEAN,ANN_ROLL,2024,45502,,,'')":44.040726,"BA-US^FE_ESTIMATE(INC_TAX,MEAN,ANN_ROLL,2023,45502,,,'')":206.07692,"BA-US^FE_ESTIMATE(INC_TAX,MEAN,ANN_ROLL,2022,45502,,,'')":-1.9166666,"BA-US^FE_ESTIMATE(INC_TAX,MEAN,ANN_ROLL,2021,45502,,,'')":-743.0,"BA-US^FE_ESTIMATE(PTX_INC,MEAN,ANN_ROLL,2026,45502,,,'')":7837.8657,"BA-US^FE_ESTIMATE(PTX_INC,MEAN,ANN_ROLL,2025,45502,,,'')":5060.0156,"BA-US^FE_ESTIMATE(PTX_INC,MEAN,ANN_ROLL,2024,45502,,,'')":-170.69894,"BA-US^FE_ESTIMATE(PTX_INC,MEAN,ANN_ROLL,2023,45502,,,'')":-1918.4,"BA-US^FE_ESTIMATE(PTX_INC,MEAN,ANN_ROLL,2022,45502,,,'')":-5005.9443,"BA-US^FE_ESTIMATE(PTX_INC,MEAN,ANN_ROLL,2021,45502,,,'')":-5117.8315,"BA-US^FE_ESTIMATE(INT_EXP,MEAN,ANN_ROLL,2026,45502,,,'')":2189.694,"BA-US^FE_ESTIMATE(INT_EXP,MEAN,ANN_ROLL,2025,45502,,,'')":2536.9521,"BA-US^FE_ESTIMATE(INT_EXP,MEAN,ANN_ROLL,2024,45502,,,'')":2501.0083,"BA-US^FE_ESTIMATE(INT_EXP,MEAN,ANN_ROLL,2023,45502,,,'')":2459.0,"BA-US^FE_ESTIMATE(INT_EXP,MEAN,ANN_ROLL,2022,45502,,,'')":2533.0,"BA-US^FE_ESTIMATE(INT_EXP,MEAN,ANN_ROLL,2021,45502,,,'')":2682.0,"BA-US^FE_ESTIMATE(EBIT,MEAN,ANN_ROLL,2026,45502,,,'')":9257.175,"BA-US^FE_ESTIMATE(EBIT,MEAN,ANN_ROLL,2025,45502,,,'')":6605.378,"BA-US^FE_ESTIMATE(EBIT,MEAN,ANN_ROLL,2024,45502,,,'')":2056.335,"BA-US^FE_ESTIMATE(EBIT,MEAN,ANN_ROLL,2023,45502,,,'')":-775.0,"BA-US^FE_ESTIMATE(EBIT,MEAN,ANN_ROLL,2022,45502,,,'')":-3547.0,"BA-US^FE_ESTIMATE(EBIT,MEAN,ANN_ROLL,2021,45502,,,'')":-2896.4656,"BA-US^FE_ESTIMATE(DEP_AMORT_EXP,MEAN,ANN_ROLL,2026,45502,,,'')":2111.4236,"BA-US^FE_ESTIMATE(DEP_AMORT_EXP,MEAN,ANN_ROLL,2025,45502,,,'')":1948.5,"BA-US^FE_ESTIMATE(DEP_AMORT_EXP,MEAN,ANN_ROLL,2024,45502,,,'')":1814.7002,"BA-US^FE_ESTIMATE(DEP_AMORT_EXP,MEAN,ANN_ROLL,2023,45502,,,'')":1861.0,"BA-US^FE_ESTIMATE(DEP_AMORT_EXP,MEAN,ANN_ROLL,2022,45502,,,'')":1951.7778,"BA-US^FE_ESTIMATE(DEP_AMORT_EXP,MEAN,ANN_ROLL,2021,45502,,,'')":2154.889,"BA-US^FE_ESTIMATE(EBITDAR,MEAN,ANN_ROLL,2026,45502,,,'')":null,"BA-US^FE_ESTIMATE(EBITDAR,MEAN,ANN_ROLL,2025,45502,,,'')":null,"BA-US^FE_ESTIMATE(EBITDAR,MEAN,ANN_ROLL,2024,45502,,,'')":null,"BA-US^FE_ESTIMATE(EBITDAR,MEAN,ANN_ROLL,2023,45502,,,'')":null,"BA-US^FE_ESTIMATE(EBITDAR,MEAN,ANN_ROLL,2022,45502,,,'')":null,"BA-US^FE_ESTIMATE(EBITDAR,MEAN,ANN_ROLL,2021,45502,,,'')":null,"BA-US^FE_ESTIMATE(OPER_EXP,MEAN,ANN_ROLL,2026,45502,,,'')":null,"BA-US^FE_ESTIMATE(OPER_EXP,MEAN,ANN_ROLL,2025,45502,,,'')":null,"BA-US^FE_ESTIMATE(OPER_EXP,MEAN,ANN_ROLL,2024,45502,,,'')":null,"BA-US^FE_ESTIMATE(OPER_EXP,MEAN,ANN_ROLL,2023,45502,,,'')":null,"BA-US^FE_ESTIMATE(OPER_EXP,MEAN,ANN_ROLL,2022,45502,,,'')":null,"BA-US^FE_ESTIMATE(OPER_EXP,MEAN,ANN_ROLL,2021,45502,,,'')":null,"BA-US^FE_ESTIMATE(RD_EXP,MEAN,ANN_ROLL,2026,45502,,,'')":3177.5,"BA-US^FE_ESTIMATE(RD_EXP,MEAN,ANN_ROLL,2025,45502,,,'')":3365.25,"BA-US^FE_ESTIMATE(RD_EXP,MEAN,ANN_ROLL,2024,45502,,,'')":3381.5,"BA-US^FE_ESTIMATE(RD_EXP,MEAN,ANN_ROLL,2023,45502,,,'')":3200.25,"BA-US^FE_ESTIMATE(RD_EXP,MEAN,ANN_ROLL,2022,45502,,,'')":2825.3333,"BA-US^FE_ESTIMATE(RD_EXP,MEAN,ANN_ROLL,2021,45502,,,'')":2249.0,"BA-US^FE_ESTIMATE(G_A_EXP,MEAN,ANN_ROLL,2026,45502,,,'')":5629.5,"BA-US^FE_ESTIMATE(G_A_EXP,MEAN,ANN_ROLL,2025,45502,,,'')":4900.4,"BA-US^FE_ESTIMATE(G_A_EXP,MEAN,ANN_ROLL,2024,45502,,,'')":4497.0,"BA-US^FE_ESTIMATE(G_A_EXP,MEAN,ANN_ROLL,2023,45502,,,'')":4654.0,"BA-US^FE_ESTIMATE(G_A_EXP,MEAN,ANN_ROLL,2022,45502,,,'')":4056.0,"BA-US^FE_ESTIMATE(G_A_EXP,MEAN,ANN_ROLL,2021,45502,,,'')":4157.0,"BA-US^FE_ESTIMATE(SGA,MEAN,ANN_ROLL,2026,45502,,,'')":5652.6523,"BA-US^FE_ESTIMATE(SGA,MEAN,ANN_ROLL,2025,45502,,,'')":5414.0435,"BA-US^FE_ESTIMATE(SGA,MEAN,ANN_ROLL,2024,45502,,,'')":4615.9126,"BA-US^FE_ESTIMATE(SGA,MEAN,ANN_ROLL,2023,45502,,,'')":5168.0,"BA-US^FE_ESTIMATE(SGA,MEAN,ANN_ROLL,2022,45502,,,'')":4187.0,"BA-US^FE_ESTIMATE(SGA,MEAN,ANN_ROLL,2021,45502,,,'')":4157.0,"BA-US^FE_VALUATION(GROSS_MARGIN,MEAN,ANN_ROLL,2026,45502,,,'')/100":0.16538529,"BA-US^FE_VALUATION(GROSS_MARGIN,MEAN,ANN_ROLL,2025,45502,,,'')/100":0.1614956,"BA-US^FE_VALUATION(GROSS_MARGIN,MEAN,ANN_ROLL,2024,45502,,,'')/100":0.12340211,"BA-US^FE_VALUATION(GROSS_MARGIN,MEAN,ANN_ROLL,2023,45502,,,'')/100":0.104326814,"BA-US^FE_VALUATION(GROSS_MARGIN,MEAN,ANN_ROLL,2022,45502,,,'')/100":0.05598427,"BA-US^FE_VALUATION(GROSS_MARGIN,MEAN,ANN_ROLL,2021,45502,,,'')/100":0.054560147,"BA-US^FE_ESTIMATE(GROSS_INC,MEAN,ANN_ROLL,2026,45502,,,'')":17451.453,"BA-US^FE_ESTIMATE(GROSS_INC,MEAN,ANN_ROLL,2025,45502,,,'')":15200.264,"BA-US^FE_ESTIMATE(GROSS_INC,MEAN,ANN_ROLL,2024,45502,,,'')":9628.717,"BA-US^FE_ESTIMATE(GROSS_INC,MEAN,ANN_ROLL,2023,45502,,,'')":8116.0,"BA-US^FE_ESTIMATE(GROSS_INC,MEAN,ANN_ROLL,2022,45502,,,'')":3729.0,"BA-US^FE_ESTIMATE(GROSS_INC,MEAN,ANN_ROLL,2021,45502,,,'')":3398.3333,"BA-US^FE_ESTIMATE(COS,MEAN,ANN_ROLL,2026,45502,,,'')":87786.89,"BA-US^FE_ESTIMATE(COS,MEAN,ANN_ROLL,2025,45502,,,'')":77478.04,"BA-US^FE_ESTIMATE(COS,MEAN,ANN_ROLL,2024,45502,,,'')":66446.28,"BA-US^FE_ESTIMATE(COS,MEAN,ANN_ROLL,2023,45502,,,'')":68810.37,"BA-US^FE_ESTIMATE(COS,MEAN,ANN_ROLL,2022,45502,,,'')":61865.25,"BA-US^FE_ESTIMATE(COS,MEAN,ANN_ROLL,2021,45502,,,'')":58749.145,"BA-US^FE_ESTIMATE(SALES,MEAN,ANN_ROLL,2026,45502,,,'')":105519.99,"BA-US^FE_ESTIMATE(SALES,MEAN,ANN_ROLL,2025,45502,,,'')":94121.85,"BA-US^FE_ESTIMATE(SALES,MEAN,ANN_ROLL,2024,45502,,,'')":78027.164,"BA-US^FE_ESTIMATE(SALES,MEAN,ANN_ROLL,2023,45502,,,'')":77794.0,"BA-US^FE_ESTIMATE(SALES,MEAN,ANN_ROLL,2022,45502,,,'')":66608.0,"BA-US^FE_ESTIMATE(SALES,MEAN,ANN_ROLL,2021,45502,,,'')":62286.0,"BA-US^FE_ESTIMATE(EBITDA,MEAN,ANN_ROLL,2021,45502,,,'')":-748.5376,"BA-US^FE_ESTIMATE(FCFPS,MEAN,QTR_ROLL,2024/2F,45502,,,'')":-6.8640966,"BA-US^FE_ESTIMATE(FCF,MEAN,QTR_ROLL,2024/2F,45502,,,'')":-4373.7144,"BA-US^FE_ESTIMATE(CAPEX,MEAN,QTR_ROLL,2024/2F,45502,,,'')":404.9413,"BA-US^FE_ESTIMATE(CF_OP,MEAN,QTR_ROLL,2024/2F,45502,,,'')":-3984.6667,"BA-US^FE_ESTIMATE(NET_DEBT,MEAN,QTR_ROLL,2024/2F,45502,,,'')":44614.5,"BA-US^FE_ESTIMATE(DEBT,MEAN,QTR_ROLL,2024/2F,45502,,,'')":57940.0,"BA-US^FE_ESTIMATE(CASH_ST,MEAN,QTR_ROLL,2024/2F,45502,,,'')":12573.25,"BA-US^FE_ESTIMATE(DPS,MEAN,QTR_ROLL,2024/2F,45502,,,'')":0.0,"BA-US^FE_ESTIMATE(EPS_GAAP,MEAN,QTR_ROLL,2024/2F,45502,,,'')":-1.2990826,"BA-US^FE_ESTIMATE(NET_INC_REP,MEAN,QTR_ROLL,2024/2F,45502,,,'')":-797.75964,"BA-US^FE_ESTIMATE(PTX_INC_REP,MEAN,QTR_ROLL,2024/2F,45502,,,'')":null,"BA-US^FE_ESTIMATE(EBITDA_REP,MEAN,QTR_ROLL,2024/2F,45502,,,'')":55.853912,"BA-US^FE_ESTIMATE(EPS,MEAN,QTR_ROLL,2024/2F,45502,,,'')":-1.873561,"BA-US^FE_ESTIMATE(NET_INC,MEAN,QTR_ROLL,2024/2F,45502,,,'')":-870.19214,"BA-US^FE_VALUATION(TAX_RATE,MEAN,QTR_ROLL,2024/2F,45502,,,'')/100":0.0009045321,"BA-US^FE_ESTIMATE(INC_TAX,MEAN,QTR_ROLL,2024/2F,45502,,,'')":-89.38461,"BA-US^FE_ESTIMATE(PTX_INC,MEAN,QTR_ROLL,2024/2F,45502,,,'')":-988.1862,"BA-US^FE_ESTIMATE(INT_EXP,MEAN,QTR_ROLL,2024/2F,45502,,,'')":630.1,"BA-US^FE_ESTIMATE(EBIT,MEAN,QTR_ROLL,2024/2F,45502,,,'')":-703.7129,"BA-US^FE_ESTIMATE(DEP_AMORT_EXP,MEAN,QTR_ROLL,2024/2F,45502,,,'')":450.14285,"BA-US^FE_ESTIMATE(EBITDA,MEAN,QTR_ROLL,2024/2F,45502,,,'')":55.853912,"BA-US^FE_ESTIMATE(EBITDAR,MEAN,QTR_ROLL,2024/2F,45502,,,'')":null,"BA-US^FE_ESTIMATE(OPER_EXP,MEAN,QTR_ROLL,2024/2F,45502,,,'')":null,"BA-US^FE_ESTIMATE(RD_EXP,MEAN,QTR_ROLL,2024/2F,45502,,,'')":818.125,"BA-US^FE_ESTIMATE(G_A_EXP,MEAN,QTR_ROLL,2024/2F,45502,,,'')":1078.8,"BA-US^FE_ESTIMATE(SGA,MEAN,QTR_ROLL,2024/2F,45502,,,'')":1107.0,"BA-US^FE_VALUATION(GROSS_MARGIN,MEAN,QTR_ROLL,2024/2F,45502,,,'')/100":0.07872348,"BA-US^FE_ESTIMATE(GROSS_INC,MEAN,QTR_ROLL,2024/2F,45502,,,'')":1365.8334,"BA-US^FE_ESTIMATE(COS,MEAN,QTR_ROLL,2024/2F,45502,,,'')":15688.0,"BA-US^FE_ESTIMATE(SALES,MEAN,QTR_ROLL,2024/2F,45502,,,'')":17349.758,"BA-US^FE_ESTIMATE(FCFPS,MEAN,ANN_ROLL,2026,45559,,,'')":12.288204,"BA-US^FE_ESTIMATE(FCFPS,MEAN,ANN_ROLL,2025,45559,,,'')":7.553411,"BA-US^FE_ESTIMATE(FCFPS,MEAN,ANN_ROLL,2024,45559,,,'')":-14.002549,"BA-US^FE_ESTIMATE(FCFPS,MEAN,ANN_ROLL,2023,45559,,,'')":7.203665,"BA-US^FE_ESTIMATE(FCFPS,MEAN,ANN_ROLL,2022,45559,,,'')":4.023713,"BA-US^FE_ESTIMATE(FCFPS,MEAN,ANN_ROLL,2021,45559,,,'')":-6.8795238,"BA-US^FE_ESTIMATE(FCF,MEAN,ANN_ROLL,2026,45559,,,'')":8062.25,"BA-US^FE_ESTIMATE(FCF,MEAN,ANN_ROLL,2025,45559,,,'')":4944.718,"BA-US^FE_ESTIMATE(FCF,MEAN,ANN_ROLL,2024,45559,,,'')":-8349.815,"BA-US^FE_ESTIMATE(FCF,MEAN,ANN_ROLL,2023,45559,,,'')":4433.0,"BA-US^FE_ESTIMATE(FCF,MEAN,ANN_ROLL,2022,45559,,,'')":2290.0,"BA-US^FE_ESTIMATE(FCF,MEAN,ANN_ROLL,2021,45559,,,'')":-3560.0,"BA-US^FE_ESTIMATE(DPS,MEAN,ANN_ROLL,2026,45559,,,'')":0.41259903,"BA-US^FE_ESTIMATE(DPS,MEAN,ANN_ROLL,2025,45559,,,'')":0.041666668,"BA-US^FE_ESTIMATE(DPS,MEAN,ANN_ROLL,2024,45559,,,'')":0.0,"BA-US^FE_ESTIMATE(DPS,MEAN,ANN_ROLL,2023,45559,,,'')":0.0,"BA-US^FE_ESTIMATE(DPS,MEAN,ANN_ROLL,2022,45559,,,'')":0.0,"BA-US^FE_ESTIMATE(DPS,MEAN,ANN_ROLL,2021,45559,,,'')":0.0,"BA-US^FE_ESTIMATE(EPS_GAAP,MEAN,ANN_ROLL,2026,45559,,,'')":9.470878,"BA-US^FE_ESTIMATE(EPS_GAAP,MEAN,ANN_ROLL,2025,45559,,,'')":5.5246534,"BA-US^FE_ESTIMATE(EPS_GAAP,MEAN,ANN_ROLL,2024,45559,,,'')":-2.4841397,"BA-US^FE_ESTIMATE(EPS_GAAP,MEAN,ANN_ROLL,2023,45559,,,'')":-3.67,"BA-US^FE_ESTIMATE(EPS_GAAP,MEAN,ANN_ROLL,2022,45559,,,'')":-8.3,"BA-US^FE_ESTIMATE(EPS_GAAP,MEAN,ANN_ROLL,2021,45559,,,'')":-7.15,"BA-US^FE_ESTIMATE(NET_INC_REP,MEAN,ANN_ROLL,2026,45559,,,'')":5894.1694,"BA-US^FE_ESTIMATE(NET_INC_REP,MEAN,ANN_ROLL,2025,45559,,,'')":3470.3352,"BA-US^FE_ESTIMATE(NET_INC_REP,MEAN,ANN_ROLL,2024,45559,,,'')":-1491.4813,"BA-US^FE_ESTIMATE(NET_INC_REP,MEAN,ANN_ROLL,2023,45559,,,'')":-2222.0,"BA-US^FE_ESTIMATE(NET_INC_REP,MEAN,ANN_ROLL,2022,45559,,,'')":-4935.0,"BA-US^FE_ESTIMATE(NET_INC_REP,MEAN,ANN_ROLL,2021,45559,,,'')":-4202.0,"BA-US^FE_ESTIMATE(PTX_INC_REP,MEAN,ANN_ROLL,2026,45559,,,'')":4465.8174,"BA-US^FE_ESTIMATE(PTX_INC_REP,MEAN,ANN_ROLL,2025,45559,,,'')":2536.3337,"BA-US^FE_ESTIMATE(PTX_INC_REP,MEAN,ANN_ROLL,2024,45559,,,'')":null,"BA-US^FE_ESTIMATE(PTX_INC_REP,MEAN,ANN_ROLL,2023,45559,,,'')":-2005.0,"BA-US^FE_ESTIMATE(PTX_INC_REP,MEAN,ANN_ROLL,2022,45559,,,'')":-5022.0,"BA-US^FE_ESTIMATE(PTX_INC_REP,MEAN,ANN_ROLL,2021,45559,,,'')":-6158.0,"BA-US^FE_ESTIMATE(EBITDA_REP,MEAN,ANN_ROLL,2026,45559,,,'')":10736.721,"BA-US^FE_ESTIMATE(EBITDA_REP,MEAN,ANN_ROLL,2025,45559,,,'')":7654.442,"BA-US^FE_ESTIMATE(EBITDA_REP,MEAN,ANN_ROLL,2024,45559,,,'')":1929.9448,"BA-US^FE_ESTIMATE(EBITDA_REP,MEAN,ANN_ROLL,2023,45559,,,'')":1085.1666,"BA-US^FE_ESTIMATE(EBITDA_REP,MEAN,ANN_ROLL,2022,45559,,,'')":-1599.0416,"BA-US^FE_ESTIMATE(EBITDA_REP,MEAN,ANN_ROLL,2021,45559,,,'')":-747.6,"BA-US^FE_ESTIMATE(EPS,MEAN,ANN_ROLL,2026,45559,,,'')":7.6657195,"BA-US^FE_ESTIMATE(EPS,MEAN,ANN_ROLL,2025,45559,,,'')":3.6694887,"BA-US^FE_ESTIMATE(EPS,MEAN,ANN_ROLL,2024,45559,,,'')":-4.856969,"BA-US^FE_ESTIMATE(EPS,MEAN,ANN_ROLL,2023,45559,,,'')":-5.81,"BA-US^FE_ESTIMATE(EPS,MEAN,ANN_ROLL,2022,45559,,,'')":-11.06,"BA-US^FE_ESTIMATE(EPS,MEAN,ANN_ROLL,2021,45559,,,'')":-9.44,"BA-US^FE_ESTIMATE(NET_INC,MEAN,ANN_ROLL,2026,45559,,,'')":5691.3623,"BA-US^FE_ESTIMATE(NET_INC,MEAN,ANN_ROLL,2025,45559,,,'')":3328.162,"BA-US^FE_ESTIMATE(NET_INC,MEAN,ANN_ROLL,2024,45559,,,'')":-1673.6892,"BA-US^FE_ESTIMATE(NET_INC,MEAN,ANN_ROLL,2023,45559,,,'')":-2222.0,"BA-US^FE_ESTIMATE(NET_INC,MEAN,ANN_ROLL,2022,45559,,,'')":-4935.0,"BA-US^FE_ESTIMATE(NET_INC,MEAN,ANN_ROLL,2021,45559,,,'')":-4202.0,"BA-US^FE_VALUATION(TAX_RATE,MEAN,ANN_ROLL,2026,45559,,,'')/100":0.0013538888,"BA-US^FE_VALUATION(TAX_RATE,MEAN,ANN_ROLL,2025,45559,,,'')/100":0.0016962151,"BA-US^FE_VALUATION(TAX_RATE,MEAN,ANN_ROLL,2024,45559,,,'')/100":0.00038395426,"BA-US^FE_VALUATION(TAX_RATE,MEAN,ANN_ROLL,2023,45559,,,'')/100":-0.0012102099,"BA-US^FE_VALUATION(TAX_RATE,MEAN,ANN_ROLL,2022,45559,,,'')/100":3.8287817E-06,"BA-US^FE_VALUATION(TAX_RATE,MEAN,ANN_ROLL,2021,45559,,,'')/100":0.0014517867,"BA-US^FE_ESTIMATE(INC_TAX,MEAN,ANN_ROLL,2026,45559,,,'')":958.5657,"BA-US^FE_ESTIMATE(INC_TAX,MEAN,ANN_ROLL,2025,45559,,,'')":707.4167,"BA-US^FE_ESTIMATE(INC_TAX,MEAN,ANN_ROLL,2024,45559,,,'')":-66.71213,"BA-US^FE_ESTIMATE(INC_TAX,MEAN,ANN_ROLL,2023,45559,,,'')":232.16667,"BA-US^FE_ESTIMATE(INC_TAX,MEAN,ANN_ROLL,2022,45559,,,'')":-1.9166666,"BA-US^FE_ESTIMATE(INC_TAX,MEAN,ANN_ROLL,2021,45559,,,'')":-743.0,"BA-US^FE_ESTIMATE(PTX_INC,MEAN,ANN_ROLL,2026,45559,,,'')":7080.0913,"BA-US^FE_ESTIMATE(PTX_INC,MEAN,ANN_ROLL,2025,45559,,,'')":4170.56,"BA-US^FE_ESTIMATE(PTX_INC,MEAN,ANN_ROLL,2024,45559,,,'')":-1737.502,"BA-US^FE_ESTIMATE(PTX_INC,MEAN,ANN_ROLL,2023,45559,,,'')":-1918.4,"BA-US^FE_ESTIMATE(PTX_INC,MEAN,ANN_ROLL,2022,45559,,,'')":-5005.9443,"BA-US^FE_ESTIMATE(PTX_INC,MEAN,ANN_ROLL,2021,45559,,,'')":-5117.8315,"BA-US^FE_ESTIMATE(INT_EXP,MEAN,ANN_ROLL,2026,45559,,,'')":2345.7256,"BA-US^FE_ESTIMATE(INT_EXP,MEAN,ANN_ROLL,2025,45559,,,'')":2541.522,"BA-US^FE_ESTIMATE(INT_EXP,MEAN,ANN_ROLL,2024,45559,,,'')":2604.1252,"BA-US^FE_ESTIMATE(INT_EXP,MEAN,ANN_ROLL,2023,45559,,,'')":2459.0,"BA-US^FE_ESTIMATE(INT_EXP,MEAN,ANN_ROLL,2022,45559,,,'')":2533.0,"BA-US^FE_ESTIMATE(INT_EXP,MEAN,ANN_ROLL,2021,45559,,,'')":2682.0,"BA-US^FE_ESTIMATE(EBIT,MEAN,ANN_ROLL,2026,45559,,,'')":8648.26,"BA-US^FE_ESTIMATE(EBIT,MEAN,ANN_ROLL,2025,45559,,,'')":5858.377,"BA-US^FE_ESTIMATE(EBIT,MEAN,ANN_ROLL,2024,45559,,,'')":-185.8948,"BA-US^FE_ESTIMATE(EBIT,MEAN,ANN_ROLL,2023,45559,,,'')":-775.0,"BA-US^FE_ESTIMATE(EBIT,MEAN,ANN_ROLL,2022,45559,,,'')":-3547.0,"BA-US^FE_ESTIMATE(EBIT,MEAN,ANN_ROLL,2021,45559,,,'')":-2896.4656,"BA-US^FE_ESTIMATE(DEP_AMORT_EXP,MEAN,ANN_ROLL,2026,45559,,,'')":1855.5,"BA-US^FE_ESTIMATE(DEP_AMORT_EXP,MEAN,ANN_ROLL,2025,45559,,,'')":1844.5555,"BA-US^FE_ESTIMATE(DEP_AMORT_EXP,MEAN,ANN_ROLL,2024,45559,,,'')":1781.5555,"BA-US^FE_ESTIMATE(DEP_AMORT_EXP,MEAN,ANN_ROLL,2023,45559,,,'')":1861.0,"BA-US^FE_ESTIMATE(DEP_AMORT_EXP,MEAN,ANN_ROLL,2022,45559,,,'')":1951.7778,"BA-US^FE_ESTIMATE(DEP_AMORT_EXP,MEAN,ANN_ROLL,2021,45559,,,'')":2154.889,"BA-US^FE_ESTIMATE(EBITDAR,MEAN,ANN_ROLL,2026,45559,,,'')":null,"BA-US^FE_ESTIMATE(EBITDAR,MEAN,ANN_ROLL,2025,45559,,,'')":null,"BA-US^FE_ESTIMATE(EBITDAR,MEAN,ANN_ROLL,2024,45559,,,'')":null,"BA-US^FE_ESTIMATE(EBITDAR,MEAN,ANN_ROLL,2023,45559,,,'')":null,"BA-US^FE_ESTIMATE(EBITDAR,MEAN,ANN_ROLL,2022,45559,,,'')":null,"BA-US^FE_ESTIMATE(EBITDAR,MEAN,ANN_ROLL,2021,45559,,,'')":null,"BA-US^FE_ESTIMATE(OPER_EXP,MEAN,ANN_ROLL,2026,45559,,,'')":null,"BA-US^FE_ESTIMATE(OPER_EXP,MEAN,ANN_ROLL,2025,45559,,,'')":null,"BA-US^FE_ESTIMATE(OPER_EXP,MEAN,ANN_ROLL,2024,45559,,,'')":null,"BA-US^FE_ESTIMATE(OPER_EXP,MEAN,ANN_ROLL,2023,45559,,,'')":null,"BA-US^FE_ESTIMATE(OPER_EXP,MEAN,ANN_ROLL,2022,45559,,,'')":null,"BA-US^FE_ESTIMATE(OPER_EXP,MEAN,ANN_ROLL,2021,45559,,,'')":null,"BA-US^FE_ESTIMATE(RD_EXP,MEAN,ANN_ROLL,2026,45559,,,'')":3323.75,"BA-US^FE_ESTIMATE(RD_EXP,MEAN,ANN_ROLL,2025,45559,,,'')":3370.5715,"BA-US^FE_ESTIMATE(RD_EXP,MEAN,ANN_ROLL,2024,45559,,,'')":3396.7144,"BA-US^FE_ESTIMATE(RD_EXP,MEAN,ANN_ROLL,2023,45559,,,'')":3200.25,"BA-US^FE_ESTIMATE(RD_EXP,MEAN,ANN_ROLL,2022,45559,,,'')":2825.3333,"BA-US^FE_ESTIMATE(RD_EXP,MEAN,ANN_ROLL,2021,45559,,,'')":2249.0,"BA-US^FE_ESTIMATE(G_A_EXP,MEAN,ANN_ROLL,2026,45559,,,'')":5445.5,"BA-US^FE_ESTIMATE(G_A_EXP,MEAN,ANN_ROLL,2025,45559,,,'')":4610.25,"BA-US^FE_ESTIMATE(G_A_EXP,MEAN,ANN_ROLL,2024,45559,,,'')":4373.0,"BA-US^FE_ESTIMATE(G_A_EXP,MEAN,ANN_ROLL,2023,45559,,,'')":4654.0,"BA-US^FE_ESTIMATE(G_A_EXP,MEAN,ANN_ROLL,2022,45559,,,'')":4056.0,"BA-US^FE_ESTIMATE(G_A_EXP,MEAN,ANN_ROLL,2021,45559,,,'')":4157.0,"BA-US^FE_ESTIMATE(SGA,MEAN,ANN_ROLL,2026,45559,,,'')":5670.411,"BA-US^FE_ESTIMATE(SGA,MEAN,ANN_ROLL,2025,45559,,,'')":5401.311,"BA-US^FE_ESTIMATE(SGA,MEAN,ANN_ROLL,2024,45559,,,'')":4773.0347,"BA-US^FE_ESTIMATE(SGA,MEAN,ANN_ROLL,2023,45559,,,'')":5168.0,"BA-US^FE_ESTIMATE(SGA,MEAN,ANN_ROLL,2022,45559,,,'')":4187.0,"BA-US^FE_ESTIMATE(SGA,MEAN,ANN_ROLL,2021,45559,,,'')":4157.0,"BA-US^FE_VALUATION(GROSS_MARGIN,MEAN,ANN_ROLL,2026,45559,,,'')/100":0.17888378,"BA-US^FE_VALUATION(GROSS_MARGIN,MEAN,ANN_ROLL,2025,45559,,,'')/100":0.16484585,"BA-US^FE_VALUATION(GROSS_MARGIN,MEAN,ANN_ROLL,2024,45559,,,'')/100":0.11501843,"BA-US^FE_VALUATION(GROSS_MARGIN,MEAN,ANN_ROLL,2023,45559,,,'')/100":0.104326814,"BA-US^FE_VALUATION(GROSS_MARGIN,MEAN,ANN_ROLL,2022,45559,,,'')/100":0.05598427,"BA-US^FE_VALUATION(GROSS_MARGIN,MEAN,ANN_ROLL,2021,45559,,,'')/100":0.054560147,"BA-US^FE_ESTIMATE(GROSS_INC,MEAN,ANN_ROLL,2026,45559,,,'')":18554.0,"BA-US^FE_ESTIMATE(GROSS_INC,MEAN,ANN_ROLL,2025,45559,,,'')":15108.0,"BA-US^FE_ESTIMATE(GROSS_INC,MEAN,ANN_ROLL,2024,45559,,,'')":8648.857,"BA-US^FE_ESTIMATE(GROSS_INC,MEAN,ANN_ROLL,2023,45559,,,'')":8116.0,"BA-US^FE_ESTIMATE(GROSS_INC,MEAN,ANN_ROLL,2022,45559,,,'')":3729.0,"BA-US^FE_ESTIMATE(GROSS_INC,MEAN,ANN_ROLL,2021,45559,,,'')":3398.3333,"BA-US^FE_ESTIMATE(COS,MEAN,ANN_ROLL,2026,45559,,,'')":84564.23,"BA-US^FE_ESTIMATE(COS,MEAN,ANN_ROLL,2025,45559,,,'')":74657.26,"BA-US^FE_ESTIMATE(COS,MEAN,ANN_ROLL,2024,45559,,,'')":63425.36,"BA-US^FE_ESTIMATE(COS,MEAN,ANN_ROLL,2023,45559,,,'')":68810.37,"BA-US^FE_ESTIMATE(COS,MEAN,ANN_ROLL,2022,45559,,,'')":61865.25,"BA-US^FE_ESTIMATE(COS,MEAN,ANN_ROLL,2021,45559,,,'')":58749.145,"BA-US^FE_ESTIMATE(SALES,MEAN,ANN_ROLL,2026,45559,,,'')":103720.98,"BA-US^FE_ESTIMATE(SALES,MEAN,ANN_ROLL,2025,45559,,,'')":91649.26,"BA-US^FE_ESTIMATE(SALES,MEAN,ANN_ROLL,2024,45559,,,'')":75195.41,"BA-US^FE_ESTIMATE(SALES,MEAN,ANN_ROLL,2023,45559,,,'')":77794.0,"BA-US^FE_ESTIMATE(SALES,MEAN,ANN_ROLL,2022,45559,,,'')":66608.0,"BA-US^FE_ESTIMATE(SALES,MEAN,ANN_ROLL,2021,45559,,,'')":62286.0,"BA-US^FE_ESTIMATE(EBITDA,MEAN,ANN_ROLL,2021,45559,,,'')":-748.5376,"BA-US^FE_ESTIMATE(FCFPS,MEAN,QTR_ROLL,2024/3F,45559,,,'')":-5.9148736,"BA-US^FE_ESTIMATE(FCF,MEAN,QTR_ROLL,2024/3F,45559,,,'')":-3475.7893,"BA-US^FE_ESTIMATE(CAPEX,MEAN,QTR_ROLL,2024/3F,45559,,,'')":395.0806,"BA-US^FE_ESTIMATE(CF_OP,MEAN,QTR_ROLL,2024/3F,45559,,,'')":-2898.1667,"BA-US^FE_ESTIMATE(NET_DEBT,MEAN,QTR_ROLL,2024/3F,45559,,,'')":46184.5,"BA-US^FE_ESTIMATE(DEBT,MEAN,QTR_ROLL,2024/3F,45559,,,'')":57640.0,"BA-US^FE_ESTIMATE(CASH_ST,MEAN,QTR_ROLL,2024/3F,45559,,,'')":9555.5,"BA-US^FE_ESTIMATE(DPS,MEAN,QTR_ROLL,2024/3F,45559,,,'')":0.0,"BA-US^FE_ESTIMATE(EPS_GAAP,MEAN,QTR_ROLL,2024/3F,45559,,,'')":-0.31554186,"BA-US^FE_ESTIMATE(NET_INC_REP,MEAN,QTR_ROLL,2024/3F,45559,,,'')":-68.15433,"BA-US^FE_ESTIMATE(PTX_INC_REP,MEAN,QTR_ROLL,2024/3F,45559,,,'')":null,"BA-US^FE_ESTIMATE(EBITDA_REP,MEAN,QTR_ROLL,2024/3F,45559,,,'')":793.3283,"BA-US^FE_ESTIMATE(EPS,MEAN,QTR_ROLL,2024/3F,45559,,,'')":-1.0400534,"BA-US^FE_ESTIMATE(NET_INC,MEAN,QTR_ROLL,2024/3F,45559,,,'')":-137.55428,"BA-US^FE_VALUATION(TAX_RATE,MEAN,QTR_ROLL,2024/3F,45559,,,'')/100":0.0016456346,"BA-US^FE_ESTIMATE(INC_TAX,MEAN,QTR_ROLL,2024/3F,45559,,,'')":-24.583334,"BA-US^FE_ESTIMATE(PTX_INC,MEAN,QTR_ROLL,2024/3F,45559,,,'')":-149.38513,"BA-US^FE_ESTIMATE(INT_EXP,MEAN,QTR_ROLL,2024/3F,45559,,,'')":683.6667,"BA-US^FE_ESTIMATE(EBIT,MEAN,QTR_ROLL,2024/3F,45559,,,'')":213.30508,"BA-US^FE_ESTIMATE(DEP_AMORT_EXP,MEAN,QTR_ROLL,2024/3F,45559,,,'')":459.42856,"BA-US^FE_ESTIMATE(EBITDA,MEAN,QTR_ROLL,2024/3F,45559,,,'')":793.3283,"BA-US^FE_ESTIMATE(EBITDAR,MEAN,QTR_ROLL,2024/3F,45559,,,'')":null,"BA-US^FE_ESTIMATE(OPER_EXP,MEAN,QTR_ROLL,2024/3F,45559,,,'')":null,"BA-US^FE_ESTIMATE(RD_EXP,MEAN,QTR_ROLL,2024/3F,45559,,,'')":870.2857,"BA-US^FE_ESTIMATE(G_A_EXP,MEAN,QTR_ROLL,2024/3F,45559,,,'')":1036.75,"BA-US^FE_ESTIMATE(SGA,MEAN,QTR_ROLL,2024/3F,45559,,,'')":1228.3334,"BA-US^FE_VALUATION(GROSS_MARGIN,MEAN,QTR_ROLL,2024/3F,45559,,,'')/100":0.112099975,"BA-US^FE_ESTIMATE(GROSS_INC,MEAN,QTR_ROLL,2024/3F,45559,,,'')":2173.3333,"BA-US^FE_ESTIMATE(COS,MEAN,QTR_ROLL,2024/3F,45559,,,'')":15697.667,"BA-US^FE_ESTIMATE(SALES,MEAN,QTR_ROLL,2024/3F,45559,,,'')":19387.455,"BA-US^FE_ESTIMATE(FCFPS,MEAN,ANN_ROLL,2026,45574,,,'')":12.279204,"BA-US^FE_ESTIMATE(FCFPS,MEAN,ANN_ROLL,2025,45574,,,'')":7.5492444,"BA-US^FE_ESTIMATE(FCFPS,MEAN,ANN_ROLL,2024,45574,,,'')":-14.321715,"BA-US^FE_ESTIMATE(FCFPS,MEAN,ANN_ROLL,2023,45574,,,'')":7.203665,"BA-US^FE_ESTIMATE(FCFPS,MEAN,ANN_ROLL,2022,45574,,,'')":4.023713,"BA-US^FE_ESTIMATE(FCFPS,MEAN,ANN_ROLL,2021,45574,,,'')":-6.8795238,"BA-US^FE_ESTIMATE(FCF,MEAN,ANN_ROLL,2026,45574,,,'')":7991.255,"BA-US^FE_ESTIMATE(FCF,MEAN,ANN_ROLL,2025,45574,,,'')":4895.931,"BA-US^FE_ESTIMATE(FCF,MEAN,ANN_ROLL,2024,45574,,,'')":-8665.48,"BA-US^FE_ESTIMATE(FCF,MEAN,ANN_ROLL,2023,45574,,,'')":4433.0,"BA-US^FE_ESTIMATE(FCF,MEAN,ANN_ROLL,2022,45574,,,'')":2290.0,"BA-US^FE_ESTIMATE(FCF,MEAN,ANN_ROLL,2021,45574,,,'')":-3560.0,"BA-US^FE_ESTIMATE(DPS,MEAN,ANN_ROLL,2026,45574,,,'')":0.41259903,"BA-US^FE_ESTIMATE(DPS,MEAN,ANN_ROLL,2025,45574,,,'')":0.041666668,"BA-US^FE_ESTIMATE(DPS,MEAN,ANN_ROLL,2024,45574,,,'')":0.0,"BA-US^FE_ESTIMATE(DPS,MEAN,ANN_ROLL,2023,45574,,,'')":0.0,"BA-US^FE_ESTIMATE(DPS,MEAN,ANN_ROLL,2022,45574,,,'')":0.0,"BA-US^FE_ESTIMATE(DPS,MEAN,ANN_ROLL,2021,45574,,,'')":0.0,"BA-US^FE_ESTIMATE(EPS_GAAP,MEAN,ANN_ROLL,2026,45574,,,'')":9.239943,"BA-US^FE_ESTIMATE(EPS_GAAP,MEAN,ANN_ROLL,2025,45574,,,'')":5.2396736,"BA-US^FE_ESTIMATE(EPS_GAAP,MEAN,ANN_ROLL,2024,45574,,,'')":-2.997363,"BA-US^FE_ESTIMATE(EPS_GAAP,MEAN,ANN_ROLL,2023,45574,,,'')":-3.67,"BA-US^FE_ESTIMATE(EPS_GAAP,MEAN,ANN_ROLL,2022,45574,,,'')":-8.3,"BA-US^FE_ESTIMATE(EPS_GAAP,MEAN,ANN_ROLL,2021,45574,,,'')":-7.15,"BA-US^FE_ESTIMATE(NET_INC_REP,MEAN,ANN_ROLL,2026,45574,,,'')":5735.072,"BA-US^FE_ESTIMATE(NET_INC_REP,MEAN,ANN_ROLL,2025,45574,,,'')":3279.618,"BA-US^FE_ESTIMATE(NET_INC_REP,MEAN,ANN_ROLL,2024,45574,,,'')":-2031.3416,"BA-US^FE_ESTIMATE(NET_INC_REP,MEAN,ANN_ROLL,2023,45574,,,'')":-2222.0,"BA-US^FE_ESTIMATE(NET_INC_REP,MEAN,ANN_ROLL,2022,45574,,,'')":-4935.0,"BA-US^FE_ESTIMATE(NET_INC_REP,MEAN,ANN_ROLL,2021,45574,,,'')":-4202.0,"BA-US^FE_ESTIMATE(PTX_INC_REP,MEAN,ANN_ROLL,2026,45574,,,'')":4465.8174,"BA-US^FE_ESTIMATE(PTX_INC_REP,MEAN,ANN_ROLL,2025,45574,,,'')":2536.3337,"BA-US^FE_ESTIMATE(PTX_INC_REP,MEAN,ANN_ROLL,2024,45574,,,'')":null,"BA-US^FE_ESTIMATE(PTX_INC_REP,MEAN,ANN_ROLL,2023,45574,,,'')":-2005.0,"BA-US^FE_ESTIMATE(PTX_INC_REP,MEAN,ANN_ROLL,2022,45574,,,'')":-5022.0,"BA-US^FE_ESTIMATE(PTX_INC_REP,MEAN,ANN_ROLL,2021,45574,,,'')":-6158.0,"BA-US^FE_ESTIMATE(EBITDA_REP,MEAN,ANN_ROLL,2026,45574,,,'')":10556.955,"BA-US^FE_ESTIMATE(EBITDA_REP,MEAN,ANN_ROLL,2025,45574,,,'')":7436.394,"BA-US^FE_ESTIMATE(EBITDA_REP,MEAN,ANN_ROLL,2024,45574,,,'')":1639.0868,"BA-US^FE_ESTIMATE(EBITDA_REP,MEAN,ANN_ROLL,2023,45574,,,'')":1085.1666,"BA-US^FE_ESTIMATE(EBITDA_REP,MEAN,ANN_ROLL,2022,45574,,,'')":-1599.0416,"BA-US^FE_ESTIMATE(EBITDA_REP,MEAN,ANN_ROLL,2021,45574,,,'')":-747.6,"BA-US^FE_ESTIMATE(EPS,MEAN,ANN_ROLL,2026,45574,,,'')":7.394219,"BA-US^FE_ESTIMATE(EPS,MEAN,ANN_ROLL,2025,45574,,,'')":3.4449134,"BA-US^FE_ESTIMATE(EPS,MEAN,ANN_ROLL,2024,45574,,,'')":-5.5209227,"BA-US^FE_ESTIMATE(EPS,MEAN,ANN_ROLL,2023,45574,,,'')":-5.81,"BA-US^FE_ESTIMATE(EPS,MEAN,ANN_ROLL,2022,45574,,,'')":-11.06,"BA-US^FE_ESTIMATE(EPS,MEAN,ANN_ROLL,2021,45574,,,'')":-9.44,"BA-US^FE_ESTIMATE(NET_INC,MEAN,ANN_ROLL,2026,45574,,,'')":5556.7407,"BA-US^FE_ESTIMATE(NET_INC,MEAN,ANN_ROLL,2025,45574,,,'')":3154.7827,"BA-US^FE_ESTIMATE(NET_INC,MEAN,ANN_ROLL,2024,45574,,,'')":-2172.7534,"BA-US^FE_ESTIMATE(NET_INC,MEAN,ANN_ROLL,2023,45574,,,'')":-2222.0,"BA-US^FE_ESTIMATE(NET_INC,MEAN,ANN_ROLL,2022,45574,,,'')":-4935.0,"BA-US^FE_ESTIMATE(NET_INC,MEAN,ANN_ROLL,2021,45574,,,'')":-4202.0,"BA-US^FE_VALUATION(TAX_RATE,MEAN,ANN_ROLL,2026,45574,,,'')/100":0.0018570552,"BA-US^FE_VALUATION(TAX_RATE,MEAN,ANN_ROLL,2025,45574,,,'')/100":0.0018587852,"BA-US^FE_VALUATION(TAX_RATE,MEAN,ANN_ROLL,2024,45574,,,'')/100":0.00061324466,"BA-US^FE_VALUATION(TAX_RATE,MEAN,ANN_ROLL,2023,45574,,,'')/100":-0.0012102099,"BA-US^FE_VALUATION(TAX_RATE,MEAN,ANN_ROLL,2022,45574,,,'')/100":3.8287817E-06,"BA-US^FE_VALUATION(TAX_RATE,MEAN,ANN_ROLL,2021,45574,,,'')/100":0.0014517867,"BA-US^FE_ESTIMATE(INC_TAX,MEAN,ANN_ROLL,2026,45574,,,'')":1284.7706,"BA-US^FE_ESTIMATE(INC_TAX,MEAN,ANN_ROLL,2025,45574,,,'')":733.9231,"BA-US^FE_ESTIMATE(INC_TAX,MEAN,ANN_ROLL,2024,45574,,,'')":-134.27274,"BA-US^FE_ESTIMATE(INC_TAX,MEAN,ANN_ROLL,2023,45574,,,'')":232.16667,"BA-US^FE_ESTIMATE(INC_TAX,MEAN,ANN_ROLL,2022,45574,,,'')":-1.9166666,"BA-US^FE_ESTIMATE(INC_TAX,MEAN,ANN_ROLL,2021,45574,,,'')":-743.0,"BA-US^FE_ESTIMATE(PTX_INC,MEAN,ANN_ROLL,2026,45574,,,'')":6918.322,"BA-US^FE_ESTIMATE(PTX_INC,MEAN,ANN_ROLL,2025,45574,,,'')":3948.4019,"BA-US^FE_ESTIMATE(PTX_INC,MEAN,ANN_ROLL,2024,45574,,,'')":-2189.546,"BA-US^FE_ESTIMATE(PTX_INC,MEAN,ANN_ROLL,2023,45574,,,'')":-1918.4,"BA-US^FE_ESTIMATE(PTX_INC,MEAN,ANN_ROLL,2022,45574,,,'')":-5005.9443,"BA-US^FE_ESTIMATE(PTX_INC,MEAN,ANN_ROLL,2021,45574,,,'')":-5117.8315,"BA-US^FE_ESTIMATE(INT_EXP,MEAN,ANN_ROLL,2026,45574,,,'')":2319.479,"BA-US^FE_ESTIMATE(INT_EXP,MEAN,ANN_ROLL,2025,45574,,,'')":2543.1108,"BA-US^FE_ESTIMATE(INT_EXP,MEAN,ANN_ROLL,2024,45574,,,'')":2607.932,"BA-US^FE_ESTIMATE(INT_EXP,MEAN,ANN_ROLL,2023,45574,,,'')":2459.0,"BA-US^FE_ESTIMATE(INT_EXP,MEAN,ANN_ROLL,2022,45574,,,'')":2533.0,"BA-US^FE_ESTIMATE(INT_EXP,MEAN,ANN_ROLL,2021,45574,,,'')":2682.0,"BA-US^FE_ESTIMATE(EBIT,MEAN,ANN_ROLL,2026,45574,,,'')":8630.954,"BA-US^FE_ESTIMATE(EBIT,MEAN,ANN_ROLL,2025,45574,,,'')":5696.8193,"BA-US^FE_ESTIMATE(EBIT,MEAN,ANN_ROLL,2024,45574,,,'')":-505.4392,"BA-US^FE_ESTIMATE(EBIT,MEAN,ANN_ROLL,2023,45574,,,'')":-775.0,"BA-US^FE_ESTIMATE(EBIT,MEAN,ANN_ROLL,2022,45574,,,'')":-3547.0,"BA-US^FE_ESTIMATE(EBIT,MEAN,ANN_ROLL,2021,45574,,,'')":-2896.4656,"BA-US^FE_ESTIMATE(DEP_AMORT_EXP,MEAN,ANN_ROLL,2026,45574,,,'')":1855.5,"BA-US^FE_ESTIMATE(DEP_AMORT_EXP,MEAN,ANN_ROLL,2025,45574,,,'')":1844.5555,"BA-US^FE_ESTIMATE(DEP_AMORT_EXP,MEAN,ANN_ROLL,2024,45574,,,'')":1781.5555,"BA-US^FE_ESTIMATE(DEP_AMORT_EXP,MEAN,ANN_ROLL,2023,45574,,,'')":1861.0,"BA-US^FE_ESTIMATE(DEP_AMORT_EXP,MEAN,ANN_ROLL,2022,45574,,,'')":1951.7778,"BA-US^FE_ESTIMATE(DEP_AMORT_EXP,MEAN,ANN_ROLL,2021,45574,,,'')":2154.889,"BA-US^FE_ESTIMATE(EBITDAR,MEAN,ANN_ROLL,2026,45574,,,'')":null,"BA-US^FE_ESTIMATE(EBITDAR,MEAN,ANN_ROLL,2025,45574,,,'')":null,"BA-US^FE_ESTIMATE(EBITDAR,MEAN,ANN_ROLL,2024,45574,,,'')":null,"BA-US^FE_ESTIMATE(EBITDAR,MEAN,ANN_ROLL,2023,45574,,,'')":null,"BA-US^FE_ESTIMATE(EBITDAR,MEAN,ANN_ROLL,2022,45574,,,'')":null,"BA-US^FE_ESTIMATE(EBITDAR,MEAN,ANN_ROLL,2021,45574,,,'')":null,"BA-US^FE_ESTIMATE(OPER_EXP,MEAN,ANN_ROLL,2026,45574,,,'')":null,"BA-US^FE_ESTIMATE(OPER_EXP,MEAN,ANN_ROLL,2025,45574,,,'')":null,"BA-US^FE_ESTIMATE(OPER_EXP,MEAN,ANN_ROLL,2024,45574,,,'')":null,"BA-US^FE_ESTIMATE(OPER_EXP,MEAN,ANN_ROLL,2023,45574,,,'')":null,"BA-US^FE_ESTIMATE(OPER_EXP,MEAN,ANN_ROLL,2022,45574,,,'')":null,"BA-US^FE_ESTIMATE(OPER_EXP,MEAN,ANN_ROLL,2021,45574,,,'')":null,"BA-US^FE_ESTIMATE(RD_EXP,MEAN,ANN_ROLL,2026,45574,,,'')":3323.75,"BA-US^FE_ESTIMATE(RD_EXP,MEAN,ANN_ROLL,2025,45574,,,'')":3370.5715,"BA-US^FE_ESTIMATE(RD_EXP,MEAN,ANN_ROLL,2024,45574,,,'')":3396.7144,"BA-US^FE_ESTIMATE(RD_EXP,MEAN,ANN_ROLL,2023,45574,,,'')":3200.25,"BA-US^FE_ESTIMATE(RD_EXP,MEAN,ANN_ROLL,2022,45574,,,'')":2825.3333,"BA-US^FE_ESTIMATE(RD_EXP,MEAN,ANN_ROLL,2021,45574,,,'')":2249.0,"BA-US^FE_ESTIMATE(G_A_EXP,MEAN,ANN_ROLL,2026,45574,,,'')":5445.5,"BA-US^FE_ESTIMATE(G_A_EXP,MEAN,ANN_ROLL,2025,45574,,,'')":4610.25,"BA-US^FE_ESTIMATE(G_A_EXP,MEAN,ANN_ROLL,2024,45574,,,'')":4373.0,"BA-US^FE_ESTIMATE(G_A_EXP,MEAN,ANN_ROLL,2023,45574,,,'')":4654.0,"BA-US^FE_ESTIMATE(G_A_EXP,MEAN,ANN_ROLL,2022,45574,,,'')":4056.0,"BA-US^FE_ESTIMATE(G_A_EXP,MEAN,ANN_ROLL,2021,45574,,,'')":4157.0,"BA-US^FE_ESTIMATE(SGA,MEAN,ANN_ROLL,2026,45574,,,'')":6192.215,"BA-US^FE_ESTIMATE(SGA,MEAN,ANN_ROLL,2025,45574,,,'')":5818.889,"BA-US^FE_ESTIMATE(SGA,MEAN,ANN_ROLL,2024,45574,,,'')":5190.0435,"BA-US^FE_ESTIMATE(SGA,MEAN,ANN_ROLL,2023,45574,,,'')":5168.0,"BA-US^FE_ESTIMATE(SGA,MEAN,ANN_ROLL,2022,45574,,,'')":4187.0,"BA-US^FE_ESTIMATE(SGA,MEAN,ANN_ROLL,2021,45574,,,'')":4157.0,"BA-US^FE_VALUATION(GROSS_MARGIN,MEAN,ANN_ROLL,2026,45574,,,'')/100":0.19626275,"BA-US^FE_VALUATION(GROSS_MARGIN,MEAN,ANN_ROLL,2025,45574,,,'')/100":0.16739452,"BA-US^FE_VALUATION(GROSS_MARGIN,MEAN,ANN_ROLL,2024,45574,,,'')/100":0.11371748,"BA-US^FE_VALUATION(GROSS_MARGIN,MEAN,ANN_ROLL,2023,45574,,,'')/100":0.104326814,"BA-US^FE_VALUATION(GROSS_MARGIN,MEAN,ANN_ROLL,2022,45574,,,'')/100":0.05598427,"BA-US^FE_VALUATION(GROSS_MARGIN,MEAN,ANN_ROLL,2021,45574,,,'')/100":0.054560147,"BA-US^FE_ESTIMATE(GROSS_INC,MEAN,ANN_ROLL,2026,45574,,,'')":20137.0,"BA-US^FE_ESTIMATE(GROSS_INC,MEAN,ANN_ROLL,2025,45574,,,'')":15205.4,"BA-US^FE_ESTIMATE(GROSS_INC,MEAN,ANN_ROLL,2024,45574,,,'')":8361.4,"BA-US^FE_ESTIMATE(GROSS_INC,MEAN,ANN_ROLL,2023,45574,,,'')":8116.0,"BA-US^FE_ESTIMATE(GROSS_INC,MEAN,ANN_ROLL,2022,45574,,,'')":3729.0,"BA-US^FE_ESTIMATE(GROSS_INC,MEAN,ANN_ROLL,2021,45574,,,'')":3398.3333,"BA-US^FE_ESTIMATE(COS,MEAN,ANN_ROLL,2026,45574,,,'')":84564.23,"BA-US^FE_ESTIMATE(COS,MEAN,ANN_ROLL,2025,45574,,,'')":74657.26,"BA-US^FE_ESTIMATE(COS,MEAN,ANN_ROLL,2024,45574,,,'')":63425.36,"BA-US^FE_ESTIMATE(COS,MEAN,ANN_ROLL,2023,45574,,,'')":68810.37,"BA-US^FE_ESTIMATE(COS,MEAN,ANN_ROLL,2022,45574,,,'')":61865.25,"BA-US^FE_ESTIMATE(COS,MEAN,ANN_ROLL,2021,45574,,,'')":58749.145,"BA-US^FE_ESTIMATE(SALES,MEAN,ANN_ROLL,2026,45574,,,'')":102602.26,"BA-US^FE_ESTIMATE(SALES,MEAN,ANN_ROLL,2025,45574,,,'')":90835.71,"BA-US^FE_ESTIMATE(SALES,MEAN,ANN_ROLL,2024,45574,,,'')":73527.836,"BA-US^FE_ESTIMATE(SALES,MEAN,ANN_ROLL,2023,45574,,,'')":77794.0,"BA-US^FE_ESTIMATE(SALES,MEAN,ANN_ROLL,2022,45574,,,'')":66608.0,"BA-US^FE_ESTIMATE(SALES,MEAN,ANN_ROLL,2021,45574,,,'')":62286.0,"BA-US^FE_ESTIMATE(EBITDA,MEAN,ANN_ROLL,2021,45574,,,'')":-748.5376,"BA-US^FE_ESTIMATE(FCFPS,MEAN,ANN_ROLL,2026,45586,,,'')":10.776523,"BA-US^FE_ESTIMATE(FCFPS,MEAN,ANN_ROLL,2025,45586,,,'')":5.176928,"BA-US^FE_ESTIMATE(FCFPS,MEAN,ANN_ROLL,2024,45586,,,'')":-16.821625,"BA-US^FE_ESTIMATE(FCFPS,MEAN,ANN_ROLL,2023,45586,,,'')":7.203665,"BA-US^FE_ESTIMATE(FCFPS,MEAN,ANN_ROLL,2022,45586,,,'')":4.023713,"BA-US^FE_ESTIMATE(FCFPS,MEAN,ANN_ROLL,2021,45586,,,'')":-6.8795238,"BA-US^FE_ESTIMATE(FCF,MEAN,ANN_ROLL,2026,45586,,,'')":7205.6846,"BA-US^FE_ESTIMATE(FCF,MEAN,ANN_ROLL,2025,45586,,,'')":4582.501,"BA-US^FE_ESTIMATE(FCF,MEAN,ANN_ROLL,2024,45586,,,'')":-9509.686,"BA-US^FE_ESTIMATE(FCF,MEAN,ANN_ROLL,2023,45586,,,'')":4433.0,"BA-US^FE_ESTIMATE(FCF,MEAN,ANN_ROLL,2022,45586,,,'')":2290.0,"BA-US^FE_ESTIMATE(FCF,MEAN,ANN_ROLL,2021,45586,,,'')":-3560.0,"BA-US^FE_ESTIMATE(DPS,MEAN,ANN_ROLL,2026,45586,,,'')":0.41259903,"BA-US^FE_ESTIMATE(DPS,MEAN,ANN_ROLL,2025,45586,,,'')":0.041666668,"BA-US^FE_ESTIMATE(DPS,MEAN,ANN_ROLL,2024,45586,,,'')":0.0,"BA-US^FE_ESTIMATE(DPS,MEAN,ANN_ROLL,2023,45586,,,'')":0.0,"BA-US^FE_ESTIMATE(DPS,MEAN,ANN_ROLL,2022,45586,,,'')":0.0,"BA-US^FE_ESTIMATE(DPS,MEAN,ANN_ROLL,2021,45586,,,'')":0.0,"BA-US^FE_ESTIMATE(EPS_GAAP,MEAN,ANN_ROLL,2026,45586,,,'')":7.841566,"BA-US^FE_ESTIMATE(EPS_GAAP,MEAN,ANN_ROLL,2025,45586,,,'')":3.8880002,"BA-US^FE_ESTIMATE(EPS_GAAP,MEAN,ANN_ROLL,2024,45586,,,'')":-14.081876,"BA-US^FE_ESTIMATE(EPS_GAAP,MEAN,ANN_ROLL,2023,45586,,,'')":-3.67,"BA-US^FE_ESTIMATE(EPS_GAAP,MEAN,ANN_ROLL,2022,45586,,,'')":-8.3,"BA-US^FE_ESTIMATE(EPS_GAAP,MEAN,ANN_ROLL,2021,45586,,,'')":-7.15,"BA-US^FE_ESTIMATE(NET_INC_REP,MEAN,ANN_ROLL,2026,45586,,,'')":5125.82,"BA-US^FE_ESTIMATE(NET_INC_REP,MEAN,ANN_ROLL,2025,45586,,,'')":3055.6748,"BA-US^FE_ESTIMATE(NET_INC_REP,MEAN,ANN_ROLL,2024,45586,,,'')":-8050.481,"BA-US^FE_ESTIMATE(NET_INC_REP,MEAN,ANN_ROLL,2023,45586,,,'')":-2222.0,"BA-US^FE_ESTIMATE(NET_INC_REP,MEAN,ANN_ROLL,2022,45586,,,'')":-4935.0,"BA-US^FE_ESTIMATE(NET_INC_REP,MEAN,ANN_ROLL,2021,45586,,,'')":-4202.0,"BA-US^FE_ESTIMATE(PTX_INC_REP,MEAN,ANN_ROLL,2026,45586,,,'')":3273.0,"BA-US^FE_ESTIMATE(PTX_INC_REP,MEAN,ANN_ROLL,2025,45586,,,'')":768.0,"BA-US^FE_ESTIMATE(PTX_INC_REP,MEAN,ANN_ROLL,2024,45586,,,'')":null,"BA-US^FE_ESTIMATE(PTX_INC_REP,MEAN,ANN_ROLL,2023,45586,,,'')":-2005.0,"BA-US^FE_ESTIMATE(PTX_INC_REP,MEAN,ANN_ROLL,2022,45586,,,'')":-5022.0,"BA-US^FE_ESTIMATE(PTX_INC_REP,MEAN,ANN_ROLL,2021,45586,,,'')":-6158.0,"BA-US^FE_ESTIMATE(EBITDA_REP,MEAN,ANN_ROLL,2026,45586,,,'')":10069.974,"BA-US^FE_ESTIMATE(EBITDA_REP,MEAN,ANN_ROLL,2025,45586,,,'')":6817.012,"BA-US^FE_ESTIMATE(EBITDA_REP,MEAN,ANN_ROLL,2024,45586,,,'')":-4431.5513,"BA-US^FE_ESTIMATE(EBITDA_REP,MEAN,ANN_ROLL,2023,45586,,,'')":1085.1666,"BA-US^FE_ESTIMATE(EBITDA_REP,MEAN,ANN_ROLL,2022,45586,,,'')":-1599.0416,"BA-US^FE_ESTIMATE(EBITDA_REP,MEAN,ANN_ROLL,2021,45586,,,'')":-747.6,"BA-US^FE_ESTIMATE(EPS,MEAN,ANN_ROLL,2026,45586,,,'')":6.5347457,"BA-US^FE_ESTIMATE(EPS,MEAN,ANN_ROLL,2025,45586,,,'')":2.6126292,"BA-US^FE_ESTIMATE(EPS,MEAN,ANN_ROLL,2024,45586,,,'')":-15.367871,"BA-US^FE_ESTIMATE(EPS,MEAN,ANN_ROLL,2023,45586,,,'')":-5.81,"BA-US^FE_ESTIMATE(EPS,MEAN,ANN_ROLL,2022,45586,,,'')":-11.06,"BA-US^FE_ESTIMATE(EPS,MEAN,ANN_ROLL,2021,45586,,,'')":-9.44,"BA-US^FE_ESTIMATE(NET_INC,MEAN,ANN_ROLL,2026,45586,,,'')":5035.74,"BA-US^FE_ESTIMATE(NET_INC,MEAN,ANN_ROLL,2025,45586,,,'')":3006.5232,"BA-US^FE_ESTIMATE(NET_INC,MEAN,ANN_ROLL,2024,45586,,,'')":-8169.8413,"BA-US^FE_ESTIMATE(NET_INC,MEAN,ANN_ROLL,2023,45586,,,'')":-2222.0,"BA-US^FE_ESTIMATE(NET_INC,MEAN,ANN_ROLL,2022,45586,,,'')":-4935.0,"BA-US^FE_ESTIMATE(NET_INC,MEAN,ANN_ROLL,2021,45586,,,'')":-4202.0,"BA-US^FE_VALUATION(TAX_RATE,MEAN,ANN_ROLL,2026,45586,,,'')/100":0.0017407467,"BA-US^FE_VALUATION(TAX_RATE,MEAN,ANN_ROLL,2025,45586,,,'')/100":0.0015941795,"BA-US^FE_VALUATION(TAX_RATE,MEAN,ANN_ROLL,2024,45586,,,'')/100":0.00032318252,"BA-US^FE_VALUATION(TAX_RATE,MEAN,ANN_ROLL,2023,45586,,,'')/100":-0.0012102099,"BA-US^FE_VALUATION(TAX_RATE,MEAN,ANN_ROLL,2022,45586,,,'')/100":3.8287817E-06,"BA-US^FE_VALUATION(TAX_RATE,MEAN,ANN_ROLL,2021,45586,,,'')/100":0.0014517867,"BA-US^FE_ESTIMATE(INC_TAX,MEAN,ANN_ROLL,2026,45586,,,'')":1052.0,"BA-US^FE_ESTIMATE(INC_TAX,MEAN,ANN_ROLL,2025,45586,,,'')":595.38464,"BA-US^FE_ESTIMATE(INC_TAX,MEAN,ANN_ROLL,2024,45586,,,'')":-274.84616,"BA-US^FE_ESTIMATE(INC_TAX,MEAN,ANN_ROLL,2023,45586,,,'')":232.16667,"BA-US^FE_ESTIMATE(INC_TAX,MEAN,ANN_ROLL,2022,45586,,,'')":-1.9166666,"BA-US^FE_ESTIMATE(INC_TAX,MEAN,ANN_ROLL,2021,45586,,,'')":-743.0,"BA-US^FE_ESTIMATE(PTX_INC,MEAN,ANN_ROLL,2026,45586,,,'')":6043.384,"BA-US^FE_ESTIMATE(PTX_INC,MEAN,ANN_ROLL,2025,45586,,,'')":3734.74,"BA-US^FE_ESTIMATE(PTX_INC,MEAN,ANN_ROLL,2024,45586,,,'')":-8504.363,"BA-US^FE_ESTIMATE(PTX_INC,MEAN,ANN_ROLL,2023,45586,,,'')":-1918.4,"BA-US^FE_ESTIMATE(PTX_INC,MEAN,ANN_ROLL,2022,45586,,,'')":-5005.9443,"BA-US^FE_ESTIMATE(PTX_INC,MEAN,ANN_ROLL,2021,45586,,,'')":-5117.8315,"BA-US^FE_ESTIMATE(INT_EXP,MEAN,ANN_ROLL,2026,45586,,,'')":2447.1318,"BA-US^FE_ESTIMATE(INT_EXP,MEAN,ANN_ROLL,2025,45586,,,'')":2605.724,"BA-US^FE_ESTIMATE(INT_EXP,MEAN,ANN_ROLL,2024,45586,,,'')":2599.023,"BA-US^FE_ESTIMATE(INT_EXP,MEAN,ANN_ROLL,2023,45586,,,'')":2459.0,"BA-US^FE_ESTIMATE(INT_EXP,MEAN,ANN_ROLL,2022,45586,,,'')":2533.0,"BA-US^FE_ESTIMATE(INT_EXP,MEAN,ANN_ROLL,2021,45586,,,'')":2682.0,"BA-US^FE_ESTIMATE(EBIT,MEAN,ANN_ROLL,2026,45586,,,'')":7773.254,"BA-US^FE_ESTIMATE(EBIT,MEAN,ANN_ROLL,2025,45586,,,'')":4956.597,"BA-US^FE_ESTIMATE(EBIT,MEAN,ANN_ROLL,2024,45586,,,'')":-4966.0557,"BA-US^FE_ESTIMATE(EBIT,MEAN,ANN_ROLL,2023,45586,,,'')":-775.0,"BA-US^FE_ESTIMATE(EBIT,MEAN,ANN_ROLL,2022,45586,,,'')":-3547.0,"BA-US^FE_ESTIMATE(EBIT,MEAN,ANN_ROLL,2021,45586,,,'')":-2896.4656,"BA-US^FE_ESTIMATE(DEP_AMORT_EXP,MEAN,ANN_ROLL,2026,45586,,,'')":1974.5714,"BA-US^FE_ESTIMATE(DEP_AMORT_EXP,MEAN,ANN_ROLL,2025,45586,,,'')":1867.1111,"BA-US^FE_ESTIMATE(DEP_AMORT_EXP,MEAN,ANN_ROLL,2024,45586,,,'')":1769.8889,"BA-US^FE_ESTIMATE(DEP_AMORT_EXP,MEAN,ANN_ROLL,2023,45586,,,'')":1861.0,"BA-US^FE_ESTIMATE(DEP_AMORT_EXP,MEAN,ANN_ROLL,2022,45586,,,'')":1951.7778,"BA-US^FE_ESTIMATE(DEP_AMORT_EXP,MEAN,ANN_ROLL,2021,45586,,,'')":2154.889,"BA-US^FE_ESTIMATE(EBITDAR,MEAN,ANN_ROLL,2026,45586,,,'')":null,"BA-US^FE_ESTIMATE(EBITDAR,MEAN,ANN_ROLL,2025,45586,,,'')":null,"BA-US^FE_ESTIMATE(EBITDAR,MEAN,ANN_ROLL,2024,45586,,,'')":null,"BA-US^FE_ESTIMATE(EBITDAR,MEAN,ANN_ROLL,2023,45586,,,'')":null,"BA-US^FE_ESTIMATE(EBITDAR,MEAN,ANN_ROLL,2022,45586,,,'')":null,"BA-US^FE_ESTIMATE(EBITDAR,MEAN,ANN_ROLL,2021,45586,,,'')":null,"BA-US^FE_ESTIMATE(OPER_EXP,MEAN,ANN_ROLL,2026,45586,,,'')":null,"BA-US^FE_ESTIMATE(OPER_EXP,MEAN,ANN_ROLL,2025,45586,,,'')":null,"BA-US^FE_ESTIMATE(OPER_EXP,MEAN,ANN_ROLL,2024,45586,,,'')":null,"BA-US^FE_ESTIMATE(OPER_EXP,MEAN,ANN_ROLL,2023,45586,,,'')":null,"BA-US^FE_ESTIMATE(OPER_EXP,MEAN,ANN_ROLL,2022,45586,,,'')":null,"BA-US^FE_ESTIMATE(OPER_EXP,MEAN,ANN_ROLL,2021,45586,,,'')":null,"BA-US^FE_ESTIMATE(RD_EXP,MEAN,ANN_ROLL,2026,45586,,,'')":3344.4,"BA-US^FE_ESTIMATE(RD_EXP,MEAN,ANN_ROLL,2025,45586,,,'')":3361.4285,"BA-US^FE_ESTIMATE(RD_EXP,MEAN,ANN_ROLL,2024,45586,,,'')":3366.7144,"BA-US^FE_ESTIMATE(RD_EXP,MEAN,ANN_ROLL,2023,45586,,,'')":3200.25,"BA-US^FE_ESTIMATE(RD_EXP,MEAN,ANN_ROLL,2022,45586,,,'')":2825.3333,"BA-US^FE_ESTIMATE(RD_EXP,MEAN,ANN_ROLL,2021,45586,,,'')":2249.0,"BA-US^FE_ESTIMATE(G_A_EXP,MEAN,ANN_ROLL,2026,45586,,,'')":5227.6665,"BA-US^FE_ESTIMATE(G_A_EXP,MEAN,ANN_ROLL,2025,45586,,,'')":4677.0,"BA-US^FE_ESTIMATE(G_A_EXP,MEAN,ANN_ROLL,2024,45586,,,'')":4376.25,"BA-US^FE_ESTIMATE(G_A_EXP,MEAN,ANN_ROLL,2023,45586,,,'')":4654.0,"BA-US^FE_ESTIMATE(G_A_EXP,MEAN,ANN_ROLL,2022,45586,,,'')":4056.0,"BA-US^FE_ESTIMATE(G_A_EXP,MEAN,ANN_ROLL,2021,45586,,,'')":4157.0,"BA-US^FE_ESTIMATE(SGA,MEAN,ANN_ROLL,2026,45586,,,'')":6068.8633,"BA-US^FE_ESTIMATE(SGA,MEAN,ANN_ROLL,2025,45586,,,'')":5650.2744,"BA-US^FE_ESTIMATE(SGA,MEAN,ANN_ROLL,2024,45586,,,'')":5109.953,"BA-US^FE_ESTIMATE(SGA,MEAN,ANN_ROLL,2023,45586,,,'')":5168.0,"BA-US^FE_ESTIMATE(SGA,MEAN,ANN_ROLL,2022,45586,,,'')":4187.0,"BA-US^FE_ESTIMATE(SGA,MEAN,ANN_ROLL,2021,45586,,,'')":4157.0,"BA-US^FE_VALUATION(GROSS_MARGIN,MEAN,ANN_ROLL,2026,45586,,,'')/100":0.18169935,"BA-US^FE_VALUATION(GROSS_MARGIN,MEAN,ANN_ROLL,2025,45586,,,'')/100":0.16961709,"BA-US^FE_VALUATION(GROSS_MARGIN,MEAN,ANN_ROLL,2024,45586,,,'')/100":0.044515714,"BA-US^FE_VALUATION(GROSS_MARGIN,MEAN,ANN_ROLL,2023,45586,,,'')/100":0.104326814,"BA-US^FE_VALUATION(GROSS_MARGIN,MEAN,ANN_ROLL,2022,45586,,,'')/100":0.05598427,"BA-US^FE_VALUATION(GROSS_MARGIN,MEAN,ANN_ROLL,2021,45586,,,'')/100":0.054560147,"BA-US^FE_ESTIMATE(GROSS_INC,MEAN,ANN_ROLL,2026,45586,,,'')":18071.5,"BA-US^FE_ESTIMATE(GROSS_INC,MEAN,ANN_ROLL,2025,45586,,,'')":15041.4,"BA-US^FE_ESTIMATE(GROSS_INC,MEAN,ANN_ROLL,2024,45586,,,'')":3121.4,"BA-US^FE_ESTIMATE(GROSS_INC,MEAN,ANN_ROLL,2023,45586,,,'')":8116.0,"BA-US^FE_ESTIMATE(GROSS_INC,MEAN,ANN_ROLL,2022,45586,,,'')":3729.0,"BA-US^FE_ESTIMATE(GROSS_INC,MEAN,ANN_ROLL,2021,45586,,,'')":3398.3333,"BA-US^FE_ESTIMATE(COS,MEAN,ANN_ROLL,2026,45586,,,'')":80722.766,"BA-US^FE_ESTIMATE(COS,MEAN,ANN_ROLL,2025,45586,,,'')":72980.38,"BA-US^FE_ESTIMATE(COS,MEAN,ANN_ROLL,2024,45586,,,'')":66898.58,"BA-US^FE_ESTIMATE(COS,MEAN,ANN_ROLL,2023,45586,,,'')":68810.37,"BA-US^FE_ESTIMATE(COS,MEAN,ANN_ROLL,2022,45586,,,'')":61865.25,"BA-US^FE_ESTIMATE(COS,MEAN,ANN_ROLL,2021,45586,,,'')":58749.145,"BA-US^FE_ESTIMATE(SALES,MEAN,ANN_ROLL,2026,45586,,,'')":99458.25,"BA-US^FE_ESTIMATE(SALES,MEAN,ANN_ROLL,2025,45586,,,'')":88678.57,"BA-US^FE_ESTIMATE(SALES,MEAN,ANN_ROLL,2024,45586,,,'')":70119.055,"BA-US^FE_ESTIMATE(SALES,MEAN,ANN_ROLL,2023,45586,,,'')":77794.0,"BA-US^FE_ESTIMATE(SALES,MEAN,ANN_ROLL,2022,45586,,,'')":66608.0,"BA-US^FE_ESTIMATE(SALES,MEAN,ANN_ROLL,2021,45586,,,'')":62286.0,"BA-US^FE_ESTIMATE(EBITDA,MEAN,ANN_ROLL,2021,45586,,,'')":-748.5376,"BA-US^FE_ESTIMATE(FCFPS,MEAN,QTR_ROLL,2024/3F,45586,,,'')":-2.8467991,"BA-US^FE_ESTIMATE(FCF,MEAN,QTR_ROLL,2024/3F,45586,,,'')":-2412.4163,"BA-US^FE_ESTIMATE(CAPEX,MEAN,QTR_ROLL,2024/3F,45586,,,'')":387.57507,"BA-US^FE_ESTIMATE(CF_OP,MEAN,QTR_ROLL,2024/3F,45586,,,'')":-1354.0,"BA-US^FE_ESTIMATE(NET_DEBT,MEAN,QTR_ROLL,2024/3F,45586,,,'')":47233.5,"BA-US^FE_ESTIMATE(DEBT,MEAN,QTR_ROLL,2024/3F,45586,,,'')":58313.5,"BA-US^FE_ESTIMATE(CASH_ST,MEAN,QTR_ROLL,2024/3F,45586,,,'')":9303.5,"BA-US^FE_ESTIMATE(DPS,MEAN,QTR_ROLL,2024/3F,45586,,,'')":0.0,"BA-US^FE_ESTIMATE(EPS_GAAP,MEAN,QTR_ROLL,2024/3F,45586,,,'')":-9.970955,"BA-US^FE_ESTIMATE(NET_INC_REP,MEAN,QTR_ROLL,2024/3F,45586,,,'')":-6093.6206,"BA-US^FE_ESTIMATE(PTX_INC_REP,MEAN,QTR_ROLL,2024/3F,45586,,,'')":null,"BA-US^FE_ESTIMATE(EBITDA_REP,MEAN,QTR_ROLL,2024/3F,45586,,,'')":-4798.536,"BA-US^FE_ESTIMATE(EPS,MEAN,QTR_ROLL,2024/3F,45586,,,'')":-10.354553,"BA-US^FE_ESTIMATE(NET_INC,MEAN,QTR_ROLL,2024/3F,45586,,,'')":-6122.5327,"BA-US^FE_VALUATION(TAX_RATE,MEAN,QTR_ROLL,2024/3F,45586,,,'')/100":0.000275483,"BA-US^FE_ESTIMATE(INC_TAX,MEAN,QTR_ROLL,2024/3F,45586,,,'')":-164.23077,"BA-US^FE_ESTIMATE(PTX_INC,MEAN,QTR_ROLL,2024/3F,45586,,,'')":-5961.5576,"BA-US^FE_ESTIMATE(INT_EXP,MEAN,QTR_ROLL,2024/3F,45586,,,'')":680.1,"BA-US^FE_ESTIMATE(EBIT,MEAN,QTR_ROLL,2024/3F,45586,,,'')":-4337.886,"BA-US^FE_ESTIMATE(DEP_AMORT_EXP,MEAN,QTR_ROLL,2024/3F,45586,,,'')":451.57144,"BA-US^FE_ESTIMATE(EBITDA,MEAN,QTR_ROLL,2024/3F,45586,,,'')":-4798.536,"BA-US^FE_ESTIMATE(EBITDAR,MEAN,QTR_ROLL,2024/3F,45586,,,'')":null,"BA-US^FE_ESTIMATE(OPER_EXP,MEAN,QTR_ROLL,2024/3F,45586,,,'')":null,"BA-US^FE_ESTIMATE(RD_EXP,MEAN,QTR_ROLL,2024/3F,45586,,,'')":871.4286,"BA-US^FE_ESTIMATE(G_A_EXP,MEAN,QTR_ROLL,2024/3F,45586,,,'')":1108.25,"BA-US^FE_ESTIMATE(SGA,MEAN,QTR_ROLL,2024/3F,45586,,,'')":1220.0,"BA-US^FE_VALUATION(GROSS_MARGIN,MEAN,QTR_ROLL,2024/3F,45586,,,'')/100":-0.13290168,"BA-US^FE_ESTIMATE(GROSS_INC,MEAN,QTR_ROLL,2024/3F,45586,,,'')":-2367.6,"BA-US^FE_ESTIMATE(COS,MEAN,QTR_ROLL,2024/3F,45586,,,'')":20485.166,"BA-US^FE_ESTIMATE(SALES,MEAN,QTR_ROLL,2024/3F,45586,,,'')":17814.674,"BA-US^FE_ESTIMATE(FCFPS,MEAN,ANN_ROLL,2026,45622,,,'')":7.4456654,"BA-US^FE_ESTIMATE(FCFPS,MEAN,ANN_ROLL,2025,45622,,,'')":-4.1037836,"BA-US^FE_ESTIMATE(FCFPS,MEAN,ANN_ROLL,2024,45622,,,'')":-21.895132,"BA-US^FE_ESTIMATE(FCFPS,MEAN,ANN_ROLL,2023,45622,,,'')":7.203665,"BA-US^FE_ESTIMATE(FCFPS,MEAN,ANN_ROLL,2022,45622,,,'')":4.023713,"BA-US^FE_ESTIMATE(FCFPS,MEAN,ANN_ROLL,2021,45622,,,'')":-6.8795238,"BA-US^FE_ESTIMATE(FCF,MEAN,ANN_ROLL,2026,45622,,,'')":5511.584,"BA-US^FE_ESTIMATE(FCF,MEAN,ANN_ROLL,2025,45622,,,'')":-3153.7217,"BA-US^FE_ESTIMATE(FCF,MEAN,ANN_ROLL,2024,45622,,,'')":-14102.031,"BA-US^FE_ESTIMATE(FCF,MEAN,ANN_ROLL,2023,45622,,,'')":4433.0,"BA-US^FE_ESTIMATE(FCF,MEAN,ANN_ROLL,2022,45622,,,'')":2290.0,"BA-US^FE_ESTIMATE(FCF,MEAN,ANN_ROLL,2021,45622,,,'')":-3560.0,"BA-US^FE_ESTIMATE(DPS,MEAN,ANN_ROLL,2026,45622,,,'')":0.33657175,"BA-US^FE_ESTIMATE(DPS,MEAN,ANN_ROLL,2025,45622,,,'')":0.0375,"BA-US^FE_ESTIMATE(DPS,MEAN,ANN_ROLL,2024,45622,,,'')":0.0,"BA-US^FE_ESTIMATE(DPS,MEAN,ANN_ROLL,2023,45622,,,'')":0.0,"BA-US^FE_ESTIMATE(DPS,MEAN,ANN_ROLL,2022,45622,,,'')":0.0,"BA-US^FE_ESTIMATE(DPS,MEAN,ANN_ROLL,2021,45622,,,'')":0.0,"BA-US^FE_ESTIMATE(EPS_GAAP,MEAN,ANN_ROLL,2026,45622,,,'')":5.977596,"BA-US^FE_ESTIMATE(EPS_GAAP,MEAN,ANN_ROLL,2025,45622,,,'')":2.4685528,"BA-US^FE_ESTIMATE(EPS_GAAP,MEAN,ANN_ROLL,2024,45622,,,'')":-14.091243,"BA-US^FE_ESTIMATE(EPS_GAAP,MEAN,ANN_ROLL,2023,45622,,,'')":-3.67,"BA-US^FE_ESTIMATE(EPS_GAAP,MEAN,ANN_ROLL,2022,45622,,,'')":-8.3,"BA-US^FE_ESTIMATE(EPS_GAAP,MEAN,ANN_ROLL,2021,45622,,,'')":-7.15,"BA-US^FE_ESTIMATE(NET_INC_REP,MEAN,ANN_ROLL,2026,45622,,,'')":4278.391,"BA-US^FE_ESTIMATE(NET_INC_REP,MEAN,ANN_ROLL,2025,45622,,,'')":2214.572,"BA-US^FE_ESTIMATE(NET_INC_REP,MEAN,ANN_ROLL,2024,45622,,,'')":-8866.906,"BA-US^FE_ESTIMATE(NET_INC_REP,MEAN,ANN_ROLL,2023,45622,,,'')":-2222.0,"BA-US^FE_ESTIMATE(NET_INC_REP,MEAN,ANN_ROLL,2022,45622,,,'')":-4935.0,"BA-US^FE_ESTIMATE(NET_INC_REP,MEAN,ANN_ROLL,2021,45622,,,'')":-4202.0,"BA-US^FE_ESTIMATE(PTX_INC_REP,MEAN,ANN_ROLL,2026,45622,,,'')":1197.0,"BA-US^FE_ESTIMATE(PTX_INC_REP,MEAN,ANN_ROLL,2025,45622,,,'')":-881.0,"BA-US^FE_ESTIMATE(PTX_INC_REP,MEAN,ANN_ROLL,2024,45622,,,'')":-9168.0,"BA-US^FE_ESTIMATE(PTX_INC_REP,MEAN,ANN_ROLL,2023,45622,,,'')":-2005.0,"BA-US^FE_ESTIMATE(PTX_INC_REP,MEAN,ANN_ROLL,2022,45622,,,'')":-5022.0,"BA-US^FE_ESTIMATE(PTX_INC_REP,MEAN,ANN_ROLL,2021,45622,,,'')":-6158.0,"BA-US^FE_ESTIMATE(EBITDA_REP,MEAN,ANN_ROLL,2026,45622,,,'')":9265.334,"BA-US^FE_ESTIMATE(EBITDA_REP,MEAN,ANN_ROLL,2025,45622,,,'')":5493.195,"BA-US^FE_ESTIMATE(EBITDA_REP,MEAN,ANN_ROLL,2024,45622,,,'')":-5651.835,"BA-US^FE_ESTIMATE(EBITDA_REP,MEAN,ANN_ROLL,2023,45622,,,'')":1085.1666,"BA-US^FE_ESTIMATE(EBITDA_REP,MEAN,ANN_ROLL,2022,45622,,,'')":-1599.0416,"BA-US^FE_ESTIMATE(EBITDA_REP,MEAN,ANN_ROLL,2021,45622,,,'')":-747.6,"BA-US^FE_ESTIMATE(EPS,MEAN,ANN_ROLL,2026,45622,,,'')":4.506122,"BA-US^FE_ESTIMATE(EPS,MEAN,ANN_ROLL,2025,45622,,,'')":1.2653266,"BA-US^FE_ESTIMATE(EPS,MEAN,ANN_ROLL,2024,45622,,,'')":-15.976161,"BA-US^FE_ESTIMATE(EPS,MEAN,ANN_ROLL,2023,45622,,,'')":-5.81,"BA-US^FE_ESTIMATE(EPS,MEAN,ANN_ROLL,2022,45622,,,'')":-11.06,"BA-US^FE_ESTIMATE(EPS,MEAN,ANN_ROLL,2021,45622,,,'')":-9.44,"BA-US^FE_ESTIMATE(NET_INC,MEAN,ANN_ROLL,2026,45622,,,'')":4190.7246,"BA-US^FE_ESTIMATE(NET_INC,MEAN,ANN_ROLL,2025,45622,,,'')":2156.921,"BA-US^FE_ESTIMATE(NET_INC,MEAN,ANN_ROLL,2024,45622,,,'')":-8915.362,"BA-US^FE_ESTIMATE(NET_INC,MEAN,ANN_ROLL,2023,45622,,,'')":-2222.0,"BA-US^FE_ESTIMATE(NET_INC,MEAN,ANN_ROLL,2022,45622,,,'')":-4935.0,"BA-US^FE_ESTIMATE(NET_INC,MEAN,ANN_ROLL,2021,45622,,,'')":-4202.0,"BA-US^FE_VALUATION(TAX_RATE,MEAN,ANN_ROLL,2026,45622,,,'')/100":0.0017059941,"BA-US^FE_VALUATION(TAX_RATE,MEAN,ANN_ROLL,2025,45622,,,'')/100":0.0012891903,"BA-US^FE_VALUATION(TAX_RATE,MEAN,ANN_ROLL,2024,45622,,,'')/100":0.0003022952,"BA-US^FE_VALUATION(TAX_RATE,MEAN,ANN_ROLL,2023,45622,,,'')/100":-0.0012102099,"BA-US^FE_VALUATION(TAX_RATE,MEAN,ANN_ROLL,2022,45622,,,'')/100":3.8287817E-06,"BA-US^FE_VALUATION(TAX_RATE,MEAN,ANN_ROLL,2021,45622,,,'')/100":0.0014517867,"BA-US^FE_ESTIMATE(INC_TAX,MEAN,ANN_ROLL,2026,45622,,,'')":882.44446,"BA-US^FE_ESTIMATE(INC_TAX,MEAN,ANN_ROLL,2025,45622,,,'')":368.92307,"BA-US^FE_ESTIMATE(INC_TAX,MEAN,ANN_ROLL,2024,45622,,,'')":-276.15384,"BA-US^FE_ESTIMATE(INC_TAX,MEAN,ANN_ROLL,2023,45622,,,'')":232.16667,"BA-US^FE_ESTIMATE(INC_TAX,MEAN,ANN_ROLL,2022,45622,,,'')":-1.9166666,"BA-US^FE_ESTIMATE(INC_TAX,MEAN,ANN_ROLL,2021,45622,,,'')":-743.0,"BA-US^FE_ESTIMATE(PTX_INC,MEAN,ANN_ROLL,2026,45622,,,'')":5172.6113,"BA-US^FE_ESTIMATE(PTX_INC,MEAN,ANN_ROLL,2025,45622,,,'')":2861.6653,"BA-US^FE_ESTIMATE(PTX_INC,MEAN,ANN_ROLL,2024,45622,,,'')":-9135.237,"BA-US^FE_ESTIMATE(PTX_INC,MEAN,ANN_ROLL,2023,45622,,,'')":-1918.4,"BA-US^FE_ESTIMATE(PTX_INC,MEAN,ANN_ROLL,2022,45622,,,'')":-5005.9443,"BA-US^FE_ESTIMATE(PTX_INC,MEAN,ANN_ROLL,2021,45622,,,'')":-5117.8315,"BA-US^FE_ESTIMATE(INT_EXP,MEAN,ANN_ROLL,2026,45622,,,'')":2492.6333,"BA-US^FE_ESTIMATE(INT_EXP,MEAN,ANN_ROLL,2025,45622,,,'')":2718.4404,"BA-US^FE_ESTIMATE(INT_EXP,MEAN,ANN_ROLL,2024,45622,,,'')":2666.057,"BA-US^FE_ESTIMATE(INT_EXP,MEAN,ANN_ROLL,2023,45622,,,'')":2459.0,"BA-US^FE_ESTIMATE(INT_EXP,MEAN,ANN_ROLL,2022,45622,,,'')":2533.0,"BA-US^FE_ESTIMATE(INT_EXP,MEAN,ANN_ROLL,2021,45622,,,'')":2682.0,"BA-US^FE_ESTIMATE(EBIT,MEAN,ANN_ROLL,2026,45622,,,'')":7143.258,"BA-US^FE_ESTIMATE(EBIT,MEAN,ANN_ROLL,2025,45622,,,'')":4840.516,"BA-US^FE_ESTIMATE(EBIT,MEAN,ANN_ROLL,2024,45622,,,'')":-7182.386,"BA-US^FE_ESTIMATE(EBIT,MEAN,ANN_ROLL,2023,45622,,,'')":-775.0,"BA-US^FE_ESTIMATE(EBIT,MEAN,ANN_ROLL,2022,45622,,,'')":-3547.0,"BA-US^FE_ESTIMATE(EBIT,MEAN,ANN_ROLL,2021,45622,,,'')":-2896.4656,"BA-US^FE_ESTIMATE(DEP_AMORT_EXP,MEAN,ANN_ROLL,2026,45622,,,'')":1924.625,"BA-US^FE_ESTIMATE(DEP_AMORT_EXP,MEAN,ANN_ROLL,2025,45622,,,'')":1835.1111,"BA-US^FE_ESTIMATE(DEP_AMORT_EXP,MEAN,ANN_ROLL,2024,45622,,,'')":1778.3334,"BA-US^FE_ESTIMATE(DEP_AMORT_EXP,MEAN,ANN_ROLL,2023,45622,,,'')":1861.0,"BA-US^FE_ESTIMATE(DEP_AMORT_EXP,MEAN,ANN_ROLL,2022,45622,,,'')":1951.7778,"BA-US^FE_ESTIMATE(DEP_AMORT_EXP,MEAN,ANN_ROLL,2021,45622,,,'')":2154.889,"BA-US^FE_ESTIMATE(EBITDAR,MEAN,ANN_ROLL,2026,45622,,,'')":null,"BA-US^FE_ESTIMATE(EBITDAR,MEAN,ANN_ROLL,2025,45622,,,'')":null,"BA-US^FE_ESTIMATE(EBITDAR,MEAN,ANN_ROLL,2024,45622,,,'')":null,"BA-US^FE_ESTIMATE(EBITDAR,MEAN,ANN_ROLL,2023,45622,,,'')":null,"BA-US^FE_ESTIMATE(EBITDAR,MEAN,ANN_ROLL,2022,45622,,,'')":null,"BA-US^FE_ESTIMATE(EBITDAR,MEAN,ANN_ROLL,2021,45622,,,'')":null,"BA-US^FE_ESTIMATE(OPER_EXP,MEAN,ANN_ROLL,2026,45622,,,'')":null,"BA-US^FE_ESTIMATE(OPER_EXP,MEAN,ANN_ROLL,2025,45622,,,'')":null,"BA-US^FE_ESTIMATE(OPER_EXP,MEAN,ANN_ROLL,2024,45622,,,'')":null,"BA-US^FE_ESTIMATE(OPER_EXP,MEAN,ANN_ROLL,2023,45622,,,'')":null,"BA-US^FE_ESTIMATE(OPER_EXP,MEAN,ANN_ROLL,2022,45622,,,'')":null,"BA-US^FE_ESTIMATE(OPER_EXP,MEAN,ANN_ROLL,2021,45622,,,'')":null,"BA-US^FE_ESTIMATE(RD_EXP,MEAN,ANN_ROLL,2026,45622,,,'')":3817.4,"BA-US^FE_ESTIMATE(RD_EXP,MEAN,ANN_ROLL,2025,45622,,,'')":3996.1667,"BA-US^FE_ESTIMATE(RD_EXP,MEAN,ANN_ROLL,2024,45622,,,'')":3945.5,"BA-US^FE_ESTIMATE(RD_EXP,MEAN,ANN_ROLL,2023,45622,,,'')":3200.25,"BA-US^FE_ESTIMATE(RD_EXP,MEAN,ANN_ROLL,2022,45622,,,'')":2825.3333,"BA-US^FE_ESTIMATE(RD_EXP,MEAN,ANN_ROLL,2021,45622,,,'')":2249.0,"BA-US^FE_ESTIMATE(G_A_EXP,MEAN,ANN_ROLL,2026,45622,,,'')":5749.25,"BA-US^FE_ESTIMATE(G_A_EXP,MEAN,ANN_ROLL,2025,45622,,,'')":5065.5,"BA-US^FE_ESTIMATE(G_A_EXP,MEAN,ANN_ROLL,2024,45622,,,'')":4592.75,"BA-US^FE_ESTIMATE(G_A_EXP,MEAN,ANN_ROLL,2023,45622,,,'')":4654.0,"BA-US^FE_ESTIMATE(G_A_EXP,MEAN,ANN_ROLL,2022,45622,,,'')":4056.0,"BA-US^FE_ESTIMATE(G_A_EXP,MEAN,ANN_ROLL,2021,45622,,,'')":4157.0,"BA-US^FE_ESTIMATE(SGA,MEAN,ANN_ROLL,2026,45622,,,'')":6005.5903,"BA-US^FE_ESTIMATE(SGA,MEAN,ANN_ROLL,2025,45622,,,'')":5541.5557,"BA-US^FE_ESTIMATE(SGA,MEAN,ANN_ROLL,2024,45622,,,'')":4783.861,"BA-US^FE_ESTIMATE(SGA,MEAN,ANN_ROLL,2023,45622,,,'')":5168.0,"BA-US^FE_ESTIMATE(SGA,MEAN,ANN_ROLL,2022,45622,,,'')":4187.0,"BA-US^FE_ESTIMATE(SGA,MEAN,ANN_ROLL,2021,45622,,,'')":4157.0,"BA-US^FE_VALUATION(GROSS_MARGIN,MEAN,ANN_ROLL,2026,45622,,,'')/100":0.16848221,"BA-US^FE_VALUATION(GROSS_MARGIN,MEAN,ANN_ROLL,2025,45622,,,'')/100":0.16014472,"BA-US^FE_VALUATION(GROSS_MARGIN,MEAN,ANN_ROLL,2024,45622,,,'')/100":0.017514208,"BA-US^FE_VALUATION(GROSS_MARGIN,MEAN,ANN_ROLL,2023,45622,,,'')/100":0.104326814,"BA-US^FE_VALUATION(GROSS_MARGIN,MEAN,ANN_ROLL,2022,45622,,,'')/100":0.05598427,"BA-US^FE_VALUATION(GROSS_MARGIN,MEAN,ANN_ROLL,2021,45622,,,'')/100":0.054560147,"BA-US^FE_ESTIMATE(GROSS_INC,MEAN,ANN_ROLL,2026,45622,,,'')":16519.666,"BA-US^FE_ESTIMATE(GROSS_INC,MEAN,ANN_ROLL,2025,45622,,,'')":13751.2,"BA-US^FE_ESTIMATE(GROSS_INC,MEAN,ANN_ROLL,2024,45622,,,'')":1202.0,"BA-US^FE_ESTIMATE(GROSS_INC,MEAN,ANN_ROLL,2023,45622,,,'')":8116.0,"BA-US^FE_ESTIMATE(GROSS_INC,MEAN,ANN_ROLL,2022,45622,,,'')":3729.0,"BA-US^FE_ESTIMATE(GROSS_INC,MEAN,ANN_ROLL,2021,45622,,,'')":3398.3333,"BA-US^FE_ESTIMATE(COS,MEAN,ANN_ROLL,2026,45622,,,'')":79376.96,"BA-US^FE_ESTIMATE(COS,MEAN,ANN_ROLL,2025,45622,,,'')":69488.75,"BA-US^FE_ESTIMATE(COS,MEAN,ANN_ROLL,2024,45622,,,'')":65292.29,"BA-US^FE_ESTIMATE(COS,MEAN,ANN_ROLL,2023,45622,,,'')":68810.37,"BA-US^FE_ESTIMATE(COS,MEAN,ANN_ROLL,2022,45622,,,'')":61865.25,"BA-US^FE_ESTIMATE(COS,MEAN,ANN_ROLL,2021,45622,,,'')":58749.145,"BA-US^FE_ESTIMATE(SALES,MEAN,ANN_ROLL,2026,45622,,,'')":98049.92,"BA-US^FE_ESTIMATE(SALES,MEAN,ANN_ROLL,2025,45622,,,'')":85867.34,"BA-US^FE_ESTIMATE(SALES,MEAN,ANN_ROLL,2024,45622,,,'')":68629.99,"BA-US^FE_ESTIMATE(SALES,MEAN,ANN_ROLL,2023,45622,,,'')":77794.0,"BA-US^FE_ESTIMATE(SALES,MEAN,ANN_ROLL,2022,45622,,,'')":66608.0,"BA-US^FE_ESTIMATE(SALES,MEAN,ANN_ROLL,2021,45622,,,'')":62286.0,"BA-US^FE_ESTIMATE(EBITDA,MEAN,ANN_ROLL,2021,45622,,,'')":-748.5376,"BA-US^FE_ESTIMATE(FCFPS,MEAN,ANN_ROLL,2026,45623,,,'')":7.4456654,"BA-US^FE_ESTIMATE(FCFPS,MEAN,ANN_ROLL,2025,45623,,,'')":-4.1037836,"BA-US^FE_ESTIMATE(FCFPS,MEAN,ANN_ROLL,2024,45623,,,'')":-21.895132,"BA-US^FE_ESTIMATE(FCFPS,MEAN,ANN_ROLL,2023,45623,,,'')":7.203665,"BA-US^FE_ESTIMATE(FCFPS,MEAN,ANN_ROLL,2022,45623,,,'')":4.023713,"BA-US^FE_ESTIMATE(FCFPS,MEAN,ANN_ROLL,2021,45623,,,'')":-6.8795238,"BA-US^FE_ESTIMATE(FCF,MEAN,ANN_ROLL,2026,45623,,,'')":5511.584,"BA-US^FE_ESTIMATE(FCF,MEAN,ANN_ROLL,2025,45623,,,'')":-3153.7217,"BA-US^FE_ESTIMATE(FCF,MEAN,ANN_ROLL,2024,45623,,,'')":-14102.031,"BA-US^FE_ESTIMATE(FCF,MEAN,ANN_ROLL,2023,45623,,,'')":4433.0,"BA-US^FE_ESTIMATE(FCF,MEAN,ANN_ROLL,2022,45623,,,'')":2290.0,"BA-US^FE_ESTIMATE(FCF,MEAN,ANN_ROLL,2021,45623,,,'')":-3560.0,"BA-US^FE_ESTIMATE(DPS,MEAN,ANN_ROLL,2026,45623,,,'')":0.33657175,"BA-US^FE_ESTIMATE(DPS,MEAN,ANN_ROLL,2025,45623,,,'')":0.0375,"BA-US^FE_ESTIMATE(DPS,MEAN,ANN_ROLL,2024,45623,,,'')":0.0,"BA-US^FE_ESTIMATE(DPS,MEAN,ANN_ROLL,2023,45623,,,'')":0.0,"BA-US^FE_ESTIMATE(DPS,MEAN,ANN_ROLL,2022,45623,,,'')":0.0,"BA-US^FE_ESTIMATE(DPS,MEAN,ANN_ROLL,2021,45623,,,'')":0.0,"BA-US^FE_ESTIMATE(EPS_GAAP,MEAN,ANN_ROLL,2026,45623,,,'')":5.977596,"BA-US^FE_ESTIMATE(EPS_GAAP,MEAN,ANN_ROLL,2025,45623,,,'')":2.4685528,"BA-US^FE_ESTIMATE(EPS_GAAP,MEAN,ANN_ROLL,2024,45623,,,'')":-14.091243,"BA-US^FE_ESTIMATE(EPS_GAAP,MEAN,ANN_ROLL,2023,45623,,,'')":-3.67,"BA-US^FE_ESTIMATE(EPS_GAAP,MEAN,ANN_ROLL,2022,45623,,,'')":-8.3,"BA-US^FE_ESTIMATE(EPS_GAAP,MEAN,ANN_ROLL,2021,45623,,,'')":-7.15,"BA-US^FE_ESTIMATE(NET_INC_REP,MEAN,ANN_ROLL,2026,45623,,,'')":4278.391,"BA-US^FE_ESTIMATE(NET_INC_REP,MEAN,ANN_ROLL,2025,45623,,,'')":2214.572,"BA-US^FE_ESTIMATE(NET_INC_REP,MEAN,ANN_ROLL,2024,45623,,,'')":-8866.906,"BA-US^FE_ESTIMATE(NET_INC_REP,MEAN,ANN_ROLL,2023,45623,,,'')":-2222.0,"BA-US^FE_ESTIMATE(NET_INC_REP,MEAN,ANN_ROLL,2022,45623,,,'')":-4935.0,"BA-US^FE_ESTIMATE(NET_INC_REP,MEAN,ANN_ROLL,2021,45623,,,'')":-4202.0,"BA-US^FE_ESTIMATE(PTX_INC_REP,MEAN,ANN_ROLL,2026,45623,,,'')":1197.0,"BA-US^FE_ESTIMATE(PTX_INC_REP,MEAN,ANN_ROLL,2025,45623,,,'')":-881.0,"BA-US^FE_ESTIMATE(PTX_INC_REP,MEAN,ANN_ROLL,2024,45623,,,'')":-9168.0,"BA-US^FE_ESTIMATE(PTX_INC_REP,MEAN,ANN_ROLL,2023,45623,,,'')":-2005.0,"BA-US^FE_ESTIMATE(PTX_INC_REP,MEAN,ANN_ROLL,2022,45623,,,'')":-5022.0,"BA-US^FE_ESTIMATE(PTX_INC_REP,MEAN,ANN_ROLL,2021,45623,,,'')":-6158.0,"BA-US^FE_ESTIMATE(EBITDA_REP,MEAN,ANN_ROLL,2026,45623,,,'')":9265.334,"BA-US^FE_ESTIMATE(EBITDA_REP,MEAN,ANN_ROLL,2025,45623,,,'')":5493.195,"BA-US^FE_ESTIMATE(EBITDA_REP,MEAN,ANN_ROLL,2024,45623,,,'')":-5651.835,"BA-US^FE_ESTIMATE(EBITDA_REP,MEAN,ANN_ROLL,2023,45623,,,'')":1085.1666,"BA-US^FE_ESTIMATE(EBITDA_REP,MEAN,ANN_ROLL,2022,45623,,,'')":-1599.0416,"BA-US^FE_ESTIMATE(EBITDA_REP,MEAN,ANN_ROLL,2021,45623,,,'')":-747.6,"BA-US^FE_ESTIMATE(EPS,MEAN,ANN_ROLL,2026,45623,,,'')":4.506122,"BA-US^FE_ESTIMATE(EPS,MEAN,ANN_ROLL,2025,45623,,,'')":1.2653266,"BA-US^FE_ESTIMATE(EPS,MEAN,ANN_ROLL,2024,45623,,,'')":-15.976161,"BA-US^FE_ESTIMATE(EPS,MEAN,ANN_ROLL,2023,45623,,,'')":-5.81,"BA-US^FE_ESTIMATE(EPS,MEAN,ANN_ROLL,2022,45623,,,'')":-11.06,"BA-US^FE_ESTIMATE(EPS,MEAN,ANN_ROLL,2021,45623,,,'')":-9.44,"BA-US^FE_ESTIMATE(NET_INC,MEAN,ANN_ROLL,2026,45623,,,'')":4190.7246,"BA-US^FE_ESTIMATE(NET_INC,MEAN,ANN_ROLL,2025,45623,,,'')":2156.921,"BA-US^FE_ESTIMATE(NET_INC,MEAN,ANN_ROLL,2024,45623,,,'')":-8915.362,"BA-US^FE_ESTIMATE(NET_INC,MEAN,ANN_ROLL,2023,45623,,,'')":-2222.0,"BA-US^FE_ESTIMATE(NET_INC,MEAN,ANN_ROLL,2022,45623,,,'')":-4935.0,"BA-US^FE_ESTIMATE(NET_INC,MEAN,ANN_ROLL,2021,45623,,,'')":-4202.0,"BA-US^FE_VALUATION(TAX_RATE,MEAN,ANN_ROLL,2026,45623,,,'')/100":0.0017059941,"BA-US^FE_VALUATION(TAX_RATE,MEAN,ANN_ROLL,2025,45623,,,'')/100":0.0012891903,"BA-US^FE_VALUATION(TAX_RATE,MEAN,ANN_ROLL,2024,45623,,,'')/100":0.0003022952,"BA-US^FE_VALUATION(TAX_RATE,MEAN,ANN_ROLL,2023,45623,,,'')/100":-0.0012102099,"BA-US^FE_VALUATION(TAX_RATE,MEAN,ANN_ROLL,2022,45623,,,'')/100":3.8287817E-06,"BA-US^FE_VALUATION(TAX_RATE,MEAN,ANN_ROLL,2021,45623,,,'')/100":0.0014517867,"BA-US^FE_ESTIMATE(INC_TAX,MEAN,ANN_ROLL,2026,45623,,,'')":882.44446,"BA-US^FE_ESTIMATE(INC_TAX,MEAN,ANN_ROLL,2025,45623,,,'')":368.92307,"BA-US^FE_ESTIMATE(INC_TAX,MEAN,ANN_ROLL,2024,45623,,,'')":-276.15384,"BA-US^FE_ESTIMATE(INC_TAX,MEAN,ANN_ROLL,2023,45623,,,'')":232.16667,"BA-US^FE_ESTIMATE(INC_TAX,MEAN,ANN_ROLL,2022,45623,,,'')":-1.9166666,"BA-US^FE_ESTIMATE(INC_TAX,MEAN,ANN_ROLL,2021,45623,,,'')":-743.0,"BA-US^FE_ESTIMATE(PTX_INC,MEAN,ANN_ROLL,2026,45623,,,'')":5172.6113,"BA-US^FE_ESTIMATE(PTX_INC,MEAN,ANN_ROLL,2025,45623,,,'')":2861.6653,"BA-US^FE_ESTIMATE(PTX_INC,MEAN,ANN_ROLL,2024,45623,,,'')":-9135.237,"BA-US^FE_ESTIMATE(PTX_INC,MEAN,ANN_ROLL,2023,45623,,,'')":-1918.4,"BA-US^FE_ESTIMATE(PTX_INC,MEAN,ANN_ROLL,2022,45623,,,'')":-5005.9443,"BA-US^FE_ESTIMATE(PTX_INC,MEAN,ANN_ROLL,2021,45623,,,'')":-5117.8315,"BA-US^FE_ESTIMATE(INT_EXP,MEAN,ANN_ROLL,2026,45623,,,'')":2492.6333,"BA-US^FE_ESTIMATE(INT_EXP,MEAN,ANN_ROLL,2025,45623,,,'')":2718.4404,"BA-US^FE_ESTIMATE(INT_EXP,MEAN,ANN_ROLL,2024,45623,,,'')":2666.057,"BA-US^FE_ESTIMATE(INT_EXP,MEAN,ANN_ROLL,2023,45623,,,'')":2459.0,"BA-US^FE_ESTIMATE(INT_EXP,MEAN,ANN_ROLL,2022,45623,,,'')":2533.0,"BA-US^FE_ESTIMATE(INT_EXP,MEAN,ANN_ROLL,2021,45623,,,'')":2682.0,"BA-US^FE_ESTIMATE(EBIT,MEAN,ANN_ROLL,2026,45623,,,'')":7143.258,"BA-US^FE_ESTIMATE(EBIT,MEAN,ANN_ROLL,2025,45623,,,'')":4840.516,"BA-US^FE_ESTIMATE(EBIT,MEAN,ANN_ROLL,2024,45623,,,'')":-7182.386,"BA-US^FE_ESTIMATE(EBIT,MEAN,ANN_ROLL,2023,45623,,,'')":-775.0,"BA-US^FE_ESTIMATE(EBIT,MEAN,ANN_ROLL,2022,45623,,,'')":-3547.0,"BA-US^FE_ESTIMATE(EBIT,MEAN,ANN_ROLL,2021,45623,,,'')":-2896.4656,"BA-US^FE_ESTIMATE(DEP_AMORT_EXP,MEAN,ANN_ROLL,2026,45623,,,'')":1924.625,"BA-US^FE_ESTIMATE(DEP_AMORT_EXP,MEAN,ANN_ROLL,2025,45623,,,'')":1835.1111,"BA-US^FE_ESTIMATE(DEP_AMORT_EXP,MEAN,ANN_ROLL,2024,45623,,,'')":1778.3334,"BA-US^FE_ESTIMATE(DEP_AMORT_EXP,MEAN,ANN_ROLL,2023,45623,,,'')":1861.0,"BA-US^FE_ESTIMATE(DEP_AMORT_EXP,MEAN,ANN_ROLL,2022,45623,,,'')":1951.7778,"BA-US^FE_ESTIMATE(DEP_AMORT_EXP,MEAN,ANN_ROLL,2021,45623,,,'')":2154.889,"BA-US^FE_ESTIMATE(EBITDAR,MEAN,ANN_ROLL,2026,45623,,,'')":null,"BA-US^FE_ESTIMATE(EBITDAR,MEAN,ANN_ROLL,2025,45623,,,'')":null,"BA-US^FE_ESTIMATE(EBITDAR,MEAN,ANN_ROLL,2024,45623,,,'')":null,"BA-US^FE_ESTIMATE(EBITDAR,MEAN,ANN_ROLL,2023,45623,,,'')":null,"BA-US^FE_ESTIMATE(EBITDAR,MEAN,ANN_ROLL,2022,45623,,,'')":null,"BA-US^FE_ESTIMATE(EBITDAR,MEAN,ANN_ROLL,2021,45623,,,'')":null,"BA-US^FE_ESTIMATE(OPER_EXP,MEAN,ANN_ROLL,2026,45623,,,'')":null,"BA-US^FE_ESTIMATE(OPER_EXP,MEAN,ANN_ROLL,2025,45623,,,'')":null,"BA-US^FE_ESTIMATE(OPER_EXP,MEAN,ANN_ROLL,2024,45623,,,'')":null,"BA-US^FE_ESTIMATE(OPER_EXP,MEAN,ANN_ROLL,2023,45623,,,'')":null,"BA-US^FE_ESTIMATE(OPER_EXP,MEAN,ANN_ROLL,2022,45623,,,'')":null,"BA-US^FE_ESTIMATE(OPER_EXP,MEAN,ANN_ROLL,2021,45623,,,'')":null,"BA-US^FE_ESTIMATE(RD_EXP,MEAN,ANN_ROLL,2026,45623,,,'')":3817.4,"BA-US^FE_ESTIMATE(RD_EXP,MEAN,ANN_ROLL,2025,45623,,,'')":3996.1667,"BA-US^FE_ESTIMATE(RD_EXP,MEAN,ANN_ROLL,2024,45623,,,'')":3945.5,"BA-US^FE_ESTIMATE(RD_EXP,MEAN,ANN_ROLL,2023,45623,,,'')":3200.25,"BA-US^FE_ESTIMATE(RD_EXP,MEAN,ANN_ROLL,2022,45623,,,'')":2825.3333,"BA-US^FE_ESTIMATE(RD_EXP,MEAN,ANN_ROLL,2021,45623,,,'')":2249.0,"BA-US^FE_ESTIMATE(G_A_EXP,MEAN,ANN_ROLL,2026,45623,,,'')":5749.25,"BA-US^FE_ESTIMATE(G_A_EXP,MEAN,ANN_ROLL,2025,45623,,,'')":5065.5,"BA-US^FE_ESTIMATE(G_A_EXP,MEAN,ANN_ROLL,2024,45623,,,'')":4592.75,"BA-US^FE_ESTIMATE(G_A_EXP,MEAN,ANN_ROLL,2023,45623,,,'')":4654.0,"BA-US^FE_ESTIMATE(G_A_EXP,MEAN,ANN_ROLL,2022,45623,,,'')":4056.0,"BA-US^FE_ESTIMATE(G_A_EXP,MEAN,ANN_ROLL,2021,45623,,,'')":4157.0,"BA-US^FE_ESTIMATE(SGA,MEAN,ANN_ROLL,2026,45623,,,'')":6005.5903,"BA-US^FE_ESTIMATE(SGA,MEAN,ANN_ROLL,2025,45623,,,'')":5541.5557,"BA-US^FE_ESTIMATE(SGA,MEAN,ANN_ROLL,2024,45623,,,'')":4783.861,"BA-US^FE_ESTIMATE(SGA,MEAN,ANN_ROLL,2023,45623,,,'')":5168.0,"BA-US^FE_ESTIMATE(SGA,MEAN,ANN_ROLL,2022,45623,,,'')":4187.0,"BA-US^FE_ESTIMATE(SGA,MEAN,ANN_ROLL,2021,45623,,,'')":4157.0,"BA-US^FE_VALUATION(GROSS_MARGIN,MEAN,ANN_ROLL,2026,45623,,,'')/100":0.16848221,"BA-US^FE_VALUATION(GROSS_MARGIN,MEAN,ANN_ROLL,2025,45623,,,'')/100":0.16014472,"BA-US^FE_VALUATION(GROSS_MARGIN,MEAN,ANN_ROLL,2024,45623,,,'')/100":0.017514208,"BA-US^FE_VALUATION(GROSS_MARGIN,MEAN,ANN_ROLL,2023,45623,,,'')/100":0.104326814,"BA-US^FE_VALUATION(GROSS_MARGIN,MEAN,ANN_ROLL,2022,45623,,,'')/100":0.05598427,"BA-US^FE_VALUATION(GROSS_MARGIN,MEAN,ANN_ROLL,2021,45623,,,'')/100":0.054560147,"BA-US^FE_ESTIMATE(GROSS_INC,MEAN,ANN_ROLL,2026,45623,,,'')":16519.666,"BA-US^FE_ESTIMATE(GROSS_INC,MEAN,ANN_ROLL,2025,45623,,,'')":13751.2,"BA-US^FE_ESTIMATE(GROSS_INC,MEAN,ANN_ROLL,2024,45623,,,'')":1202.0,"BA-US^FE_ESTIMATE(GROSS_INC,MEAN,ANN_ROLL,2023,45623,,,'')":8116.0,"BA-US^FE_ESTIMATE(GROSS_INC,MEAN,ANN_ROLL,2022,45623,,,'')":3729.0,"BA-US^FE_ESTIMATE(GROSS_INC,MEAN,ANN_ROLL,2021,45623,,,'')":3398.3333,"BA-US^FE_ESTIMATE(COS,MEAN,ANN_ROLL,2026,45623,,,'')":79376.96,"BA-US^FE_ESTIMATE(COS,MEAN,ANN_ROLL,2025,45623,,,'')":69488.75,"BA-US^FE_ESTIMATE(COS,MEAN,ANN_ROLL,2024,45623,,,'')":65292.29,"BA-US^FE_ESTIMATE(COS,MEAN,ANN_ROLL,2023,45623,,,'')":68810.37,"BA-US^FE_ESTIMATE(COS,MEAN,ANN_ROLL,2022,45623,,,'')":61865.25,"BA-US^FE_ESTIMATE(COS,MEAN,ANN_ROLL,2021,45623,,,'')":58749.145,"BA-US^FE_ESTIMATE(SALES,MEAN,ANN_ROLL,2026,45623,,,'')":98049.92,"BA-US^FE_ESTIMATE(SALES,MEAN,ANN_ROLL,2025,45623,,,'')":85867.34,"BA-US^FE_ESTIMATE(SALES,MEAN,ANN_ROLL,2024,45623,,,'')":68629.99,"BA-US^FE_ESTIMATE(SALES,MEAN,ANN_ROLL,2023,45623,,,'')":77794.0,"BA-US^FE_ESTIMATE(SALES,MEAN,ANN_ROLL,2022,45623,,,'')":66608.0,"BA-US^FE_ESTIMATE(SALES,MEAN,ANN_ROLL,2021,45623,,,'')":62286.0,"BA-US^FE_ESTIMATE(EBITDA,MEAN,ANN_ROLL,2021,45623,,,'')":-748.5376,"BA-US^FE_ESTIMATE(FCFPS,MEAN,ANN_ROLL,2026,45629,,,'')":7.4456654,"BA-US^FE_ESTIMATE(FCFPS,MEAN,ANN_ROLL,2025,45629,,,'')":-4.1037836,"BA-US^FE_ESTIMATE(FCFPS,MEAN,ANN_ROLL,2024,45629,,,'')":-21.895132,"BA-US^FE_ESTIMATE(FCFPS,MEAN,ANN_ROLL,2023,45629,,,'')":7.203665,"BA-US^FE_ESTIMATE(FCFPS,MEAN,ANN_ROLL,2022,45629,,,'')":4.023713,"BA-US^FE_ESTIMATE(FCFPS,MEAN,ANN_ROLL,2021,45629,,,'')":-6.8795238,"BA-US^FE_ESTIMATE(FCF,MEAN,ANN_ROLL,2026,45629,,,'')":5511.584,"BA-US^FE_ESTIMATE(FCF,MEAN,ANN_ROLL,2025,45629,,,'')":-3153.7217,"BA-US^FE_ESTIMATE(FCF,MEAN,ANN_ROLL,2024,45629,,,'')":-14102.031,"BA-US^FE_ESTIMATE(FCF,MEAN,ANN_ROLL,2023,45629,,,'')":4433.0,"BA-US^FE_ESTIMATE(FCF,MEAN,ANN_ROLL,2022,45629,,,'')":2290.0,"BA-US^FE_ESTIMATE(FCF,MEAN,ANN_ROLL,2021,45629,,,'')":-3560.0,"BA-US^FE_ESTIMATE(DPS,MEAN,ANN_ROLL,2026,45629,,,'')":0.33657175,"BA-US^FE_ESTIMATE(DPS,MEAN,ANN_ROLL,2025,45629,,,'')":0.0375,"BA-US^FE_ESTIMATE(DPS,MEAN,ANN_ROLL,2024,45629,,,'')":0.0,"BA-US^FE_ESTIMATE(DPS,MEAN,ANN_ROLL,2023,45629,,,'')":0.0,"BA-US^FE_ESTIMATE(DPS,MEAN,ANN_ROLL,2022,45629,,,'')":0.0,"BA-US^FE_ESTIMATE(DPS,MEAN,ANN_ROLL,2021,45629,,,'')":0.0,"BA-US^FE_ESTIMATE(EPS_GAAP,MEAN,ANN_ROLL,2026,45629,,,'')":5.977596,"BA-US^FE_ESTIMATE(EPS_GAAP,MEAN,ANN_ROLL,2025,45629,,,'')":2.059878,"BA-US^FE_ESTIMATE(EPS_GAAP,MEAN,ANN_ROLL,2024,45629,,,'')":-14.091243,"BA-US^FE_ESTIMATE(EPS_GAAP,MEAN,ANN_ROLL,2023,45629,,,'')":-3.67,"BA-US^FE_ESTIMATE(EPS_GAAP,MEAN,ANN_ROLL,2022,45629,,,'')":-8.3,"BA-US^FE_ESTIMATE(EPS_GAAP,MEAN,ANN_ROLL,2021,45629,,,'')":-7.15,"BA-US^FE_ESTIMATE(NET_INC_REP,MEAN,ANN_ROLL,2026,45629,,,'')":4278.391,"BA-US^FE_ESTIMATE(NET_INC_REP,MEAN,ANN_ROLL,2025,45629,,,'')":1995.0006,"BA-US^FE_ESTIMATE(NET_INC_REP,MEAN,ANN_ROLL,2024,45629,,,'')":-8866.906,"BA-US^FE_ESTIMATE(NET_INC_REP,MEAN,ANN_ROLL,2023,45629,,,'')":-2222.0,"BA-US^FE_ESTIMATE(NET_INC_REP,MEAN,ANN_ROLL,2022,45629,,,'')":-4935.0,"BA-US^FE_ESTIMATE(NET_INC_REP,MEAN,ANN_ROLL,2021,45629,,,'')":-4202.0,"BA-US^FE_ESTIMATE(PTX_INC_REP,MEAN,ANN_ROLL,2026,45629,,,'')":1197.0,"BA-US^FE_ESTIMATE(PTX_INC_REP,MEAN,ANN_ROLL,2025,45629,,,'')":-881.0,"BA-US^FE_ESTIMATE(PTX_INC_REP,MEAN,ANN_ROLL,2024,45629,,,'')":-9168.0,"BA-US^FE_ESTIMATE(PTX_INC_REP,MEAN,ANN_ROLL,2023,45629,,,'')":-2005.0,"BA-US^FE_ESTIMATE(PTX_INC_REP,MEAN,ANN_ROLL,2022,45629,,,'')":-5022.0,"BA-US^FE_ESTIMATE(PTX_INC_REP,MEAN,ANN_ROLL,2021,45629,,,'')":-6158.0,"BA-US^FE_ESTIMATE(EBITDA_REP,MEAN,ANN_ROLL,2026,45629,,,'')":9265.334,"BA-US^FE_ESTIMATE(EBITDA_REP,MEAN,ANN_ROLL,2025,45629,,,'')":5493.195,"BA-US^FE_ESTIMATE(EBITDA_REP,MEAN,ANN_ROLL,2024,45629,,,'')":-5651.835,"BA-US^FE_ESTIMATE(EBITDA_REP,MEAN,ANN_ROLL,2023,45629,,,'')":1085.1666,"BA-US^FE_ESTIMATE(EBITDA_REP,MEAN,ANN_ROLL,2022,45629,,,'')":-1599.0416,"BA-US^FE_ESTIMATE(EBITDA_REP,MEAN,ANN_ROLL,2021,45629,,,'')":-747.6,"BA-US^FE_ESTIMATE(EPS,MEAN,ANN_ROLL,2026,45629,,,'')":4.506122,"BA-US^FE_ESTIMATE(EPS,MEAN,ANN_ROLL,2025,45629,,,'')":1.2653266,"BA-US^FE_ESTIMATE(EPS,MEAN,ANN_ROLL,2024,45629,,,'')":-16.008839,"BA-US^FE_ESTIMATE(EPS,MEAN,ANN_ROLL,2023,45629,,,'')":-5.81,"BA-US^FE_ESTIMATE(EPS,MEAN,ANN_ROLL,2022,45629,,,'')":-11.06,"BA-US^FE_ESTIMATE(EPS,MEAN,ANN_ROLL,2021,45629,,,'')":-9.44,"BA-US^FE_ESTIMATE(NET_INC,MEAN,ANN_ROLL,2026,45629,,,'')":4190.7246,"BA-US^FE_ESTIMATE(NET_INC,MEAN,ANN_ROLL,2025,45629,,,'')":1948.9153,"BA-US^FE_ESTIMATE(NET_INC,MEAN,ANN_ROLL,2024,45629,,,'')":-8915.362,"BA-US^FE_ESTIMATE(NET_INC,MEAN,ANN_ROLL,2023,45629,,,'')":-2222.0,"BA-US^FE_ESTIMATE(NET_INC,MEAN,ANN_ROLL,2022,45629,,,'')":-4935.0,"BA-US^FE_ESTIMATE(NET_INC,MEAN,ANN_ROLL,2021,45629,,,'')":-4202.0,"BA-US^FE_VALUATION(TAX_RATE,MEAN,ANN_ROLL,2026,45629,,,'')/100":0.0017059941,"BA-US^FE_VALUATION(TAX_RATE,MEAN,ANN_ROLL,2025,45629,,,'')/100":0.0010424489,"BA-US^FE_VALUATION(TAX_RATE,MEAN,ANN_ROLL,2024,45629,,,'')/100":0.0003022952,"BA-US^FE_VALUATION(TAX_RATE,MEAN,ANN_ROLL,2023,45629,,,'')/100":-0.0012102099,"BA-US^FE_VALUATION(TAX_RATE,MEAN,ANN_ROLL,2022,45629,,,'')/100":3.8287817E-06,"BA-US^FE_VALUATION(TAX_RATE,MEAN,ANN_ROLL,2021,45629,,,'')/100":0.0014517867,"BA-US^FE_ESTIMATE(INC_TAX,MEAN,ANN_ROLL,2026,45629,,,'')":882.44446,"BA-US^FE_ESTIMATE(INC_TAX,MEAN,ANN_ROLL,2025,45629,,,'')":265.5,"BA-US^FE_ESTIMATE(INC_TAX,MEAN,ANN_ROLL,2024,45629,,,'')":-276.15384,"BA-US^FE_ESTIMATE(INC_TAX,MEAN,ANN_ROLL,2023,45629,,,'')":232.16667,"BA-US^FE_ESTIMATE(INC_TAX,MEAN,ANN_ROLL,2022,45629,,,'')":-1.9166666,"BA-US^FE_ESTIMATE(INC_TAX,MEAN,ANN_ROLL,2021,45629,,,'')":-743.0,"BA-US^FE_ESTIMATE(PTX_INC,MEAN,ANN_ROLL,2026,45629,,,'')":5172.6113,"BA-US^FE_ESTIMATE(PTX_INC,MEAN,ANN_ROLL,2025,45629,,,'')":2546.8875,"BA-US^FE_ESTIMATE(PTX_INC,MEAN,ANN_ROLL,2024,45629,,,'')":-9135.237,"BA-US^FE_ESTIMATE(PTX_INC,MEAN,ANN_ROLL,2023,45629,,,'')":-1918.4,"BA-US^FE_ESTIMATE(PTX_INC,MEAN,ANN_ROLL,2022,45629,,,'')":-5005.9443,"BA-US^FE_ESTIMATE(PTX_INC,MEAN,ANN_ROLL,2021,45629,,,'')":-5117.8315,"BA-US^FE_ESTIMATE(INT_EXP,MEAN,ANN_ROLL,2026,45629,,,'')":2492.6333,"BA-US^FE_ESTIMATE(INT_EXP,MEAN,ANN_ROLL,2025,45629,,,'')":2797.7844,"BA-US^FE_ESTIMATE(INT_EXP,MEAN,ANN_ROLL,2024,45629,,,'')":2666.057,"BA-US^FE_ESTIMATE(INT_EXP,MEAN,ANN_ROLL,2023,45629,,,'')":2459.0,"BA-US^FE_ESTIMATE(INT_EXP,MEAN,ANN_ROLL,2022,45629,,,'')":2533.0,"BA-US^FE_ESTIMATE(INT_EXP,MEAN,ANN_ROLL,2021,45629,,,'')":2682.0,"BA-US^FE_ESTIMATE(EBIT,MEAN,ANN_ROLL,2026,45629,,,'')":7143.258,"BA-US^FE_ESTIMATE(EBIT,MEAN,ANN_ROLL,2025,45629,,,'')":4659.864,"BA-US^FE_ESTIMATE(EBIT,MEAN,ANN_ROLL,2024,45629,,,'')":-7182.386,"BA-US^FE_ESTIMATE(EBIT,MEAN,ANN_ROLL,2023,45629,,,'')":-775.0,"BA-US^FE_ESTIMATE(EBIT,MEAN,ANN_ROLL,2022,45629,,,'')":-3547.0,"BA-US^FE_ESTIMATE(EBIT,MEAN,ANN_ROLL,2021,45629,,,'')":-2896.4656,"BA-US^FE_ESTIMATE(DEP_AMORT_EXP,MEAN,ANN_ROLL,2026,45629,,,'')":1924.625,"BA-US^FE_ESTIMATE(DEP_AMORT_EXP,MEAN,ANN_ROLL,2025,45629,,,'')":1835.1111,"BA-US^FE_ESTIMATE(DEP_AMORT_EXP,MEAN,ANN_ROLL,2024,45629,,,'')":1778.3334,"BA-US^FE_ESTIMATE(DEP_AMORT_EXP,MEAN,ANN_ROLL,2023,45629,,,'')":1861.0,"BA-US^FE_ESTIMATE(DEP_AMORT_EXP,MEAN,ANN_ROLL,2022,45629,,,'')":1951.7778,"BA-US^FE_ESTIMATE(DEP_AMORT_EXP,MEAN,ANN_ROLL,2021,45629,,,'')":2154.889,"BA-US^FE_ESTIMATE(EBITDAR,MEAN,ANN_ROLL,2026,45629,,,'')":null,"BA-US^FE_ESTIMATE(EBITDAR,MEAN,ANN_ROLL,2025,45629,,,'')":null,"BA-US^FE_ESTIMATE(EBITDAR,MEAN,ANN_ROLL,2024,45629,,,'')":null,"BA-US^FE_ESTIMATE(EBITDAR,MEAN,ANN_ROLL,2023,45629,,,'')":null,"BA-US^FE_ESTIMATE(EBITDAR,MEAN,ANN_ROLL,2022,45629,,,'')":null,"BA-US^FE_ESTIMATE(EBITDAR,MEAN,ANN_ROLL,2021,45629,,,'')":null,"BA-US^FE_ESTIMATE(OPER_EXP,MEAN,ANN_ROLL,2026,45629,,,'')":null,"BA-US^FE_ESTIMATE(OPER_EXP,MEAN,ANN_ROLL,2025,45629,,,'')":null,"BA-US^FE_ESTIMATE(OPER_EXP,MEAN,ANN_ROLL,2024,45629,,,'')":null,"BA-US^FE_ESTIMATE(OPER_EXP,MEAN,ANN_ROLL,2023,45629,,,'')":null,"BA-US^FE_ESTIMATE(OPER_EXP,MEAN,ANN_ROLL,2022,45629,,,'')":null,"BA-US^FE_ESTIMATE(OPER_EXP,MEAN,ANN_ROLL,2021,45629,,,'')":null,"BA-US^FE_ESTIMATE(RD_EXP,MEAN,ANN_ROLL,2026,45629,,,'')":3817.4,"BA-US^FE_ESTIMATE(RD_EXP,MEAN,ANN_ROLL,2025,45629,,,'')":4099.6,"BA-US^FE_ESTIMATE(RD_EXP,MEAN,ANN_ROLL,2024,45629,,,'')":3945.5,"BA-US^FE_ESTIMATE(RD_EXP,MEAN,ANN_ROLL,2023,45629,,,'')":3200.25,"BA-US^FE_ESTIMATE(RD_EXP,MEAN,ANN_ROLL,2022,45629,,,'')":2825.3333,"BA-US^FE_ESTIMATE(RD_EXP,MEAN,ANN_ROLL,2021,45629,,,'')":2249.0,"BA-US^FE_ESTIMATE(G_A_EXP,MEAN,ANN_ROLL,2026,45629,,,'')":5749.25,"BA-US^FE_ESTIMATE(G_A_EXP,MEAN,ANN_ROLL,2025,45629,,,'')":5065.5,"BA-US^FE_ESTIMATE(G_A_EXP,MEAN,ANN_ROLL,2024,45629,,,'')":4592.75,"BA-US^FE_ESTIMATE(G_A_EXP,MEAN,ANN_ROLL,2023,45629,,,'')":4654.0,"BA-US^FE_ESTIMATE(G_A_EXP,MEAN,ANN_ROLL,2022,45629,,,'')":4056.0,"BA-US^FE_ESTIMATE(G_A_EXP,MEAN,ANN_ROLL,2021,45629,,,'')":4157.0,"BA-US^FE_ESTIMATE(SGA,MEAN,ANN_ROLL,2026,45629,,,'')":6005.5903,"BA-US^FE_ESTIMATE(SGA,MEAN,ANN_ROLL,2025,45629,,,'')":5439.074,"BA-US^FE_ESTIMATE(SGA,MEAN,ANN_ROLL,2024,45629,,,'')":4783.861,"BA-US^FE_ESTIMATE(SGA,MEAN,ANN_ROLL,2023,45629,,,'')":5168.0,"BA-US^FE_ESTIMATE(SGA,MEAN,ANN_ROLL,2022,45629,,,'')":4187.0,"BA-US^FE_ESTIMATE(SGA,MEAN,ANN_ROLL,2021,45629,,,'')":4157.0,"BA-US^FE_VALUATION(GROSS_MARGIN,MEAN,ANN_ROLL,2026,45629,,,'')/100":0.16848221,"BA-US^FE_VALUATION(GROSS_MARGIN,MEAN,ANN_ROLL,2025,45629,,,'')/100":0.15238334,"BA-US^FE_VALUATION(GROSS_MARGIN,MEAN,ANN_ROLL,2024,45629,,,'')/100":0.017514203,"BA-US^FE_VALUATION(GROSS_MARGIN,MEAN,ANN_ROLL,2023,45629,,,'')/100":0.104326814,"BA-US^FE_VALUATION(GROSS_MARGIN,MEAN,ANN_ROLL,2022,45629,,,'')/100":0.05598427,"BA-US^FE_VALUATION(GROSS_MARGIN,MEAN,ANN_ROLL,2021,45629,,,'')/100":0.054560147,"BA-US^FE_ESTIMATE(GROSS_INC,MEAN,ANN_ROLL,2026,45629,,,'')":16519.666,"BA-US^FE_ESTIMATE(GROSS_INC,MEAN,ANN_ROLL,2025,45629,,,'')":13084.75,"BA-US^FE_ESTIMATE(GROSS_INC,MEAN,ANN_ROLL,2024,45629,,,'')":1202.0,"BA-US^FE_ESTIMATE(GROSS_INC,MEAN,ANN_ROLL,2023,45629,,,'')":8116.0,"BA-US^FE_ESTIMATE(GROSS_INC,MEAN,ANN_ROLL,2022,45629,,,'')":3729.0,"BA-US^FE_ESTIMATE(GROSS_INC,MEAN,ANN_ROLL,2021,45629,,,'')":3398.3333,"BA-US^FE_ESTIMATE(COS,MEAN,ANN_ROLL,2026,45629,,,'')":79376.96,"BA-US^FE_ESTIMATE(COS,MEAN,ANN_ROLL,2025,45629,,,'')":69573.05,"BA-US^FE_ESTIMATE(COS,MEAN,ANN_ROLL,2024,45629,,,'')":65292.29,"BA-US^FE_ESTIMATE(COS,MEAN,ANN_ROLL,2023,45629,,,'')":68810.37,"BA-US^FE_ESTIMATE(COS,MEAN,ANN_ROLL,2022,45629,,,'')":61865.25,"BA-US^FE_ESTIMATE(COS,MEAN,ANN_ROLL,2021,45629,,,'')":58749.145,"BA-US^FE_ESTIMATE(SALES,MEAN,ANN_ROLL,2026,45629,,,'')":98049.92,"BA-US^FE_ESTIMATE(SALES,MEAN,ANN_ROLL,2025,45629,,,'')":85867.33,"BA-US^FE_ESTIMATE(SALES,MEAN,ANN_ROLL,2024,45629,,,'')":68630.016,"BA-US^FE_ESTIMATE(SALES,MEAN,ANN_ROLL,2023,45629,,,'')":77794.0,"BA-US^FE_ESTIMATE(SALES,MEAN,ANN_ROLL,2022,45629,,,'')":66608.0,"BA-US^FE_ESTIMATE(SALES,MEAN,ANN_ROLL,2021,45629,,,'')":62286.0,"BA-US^FE_ESTIMATE(EBITDA,MEAN,ANN_ROLL,2021,45629,,,'')":-748.5376,"BA-US^FE_ESTIMATE(FCFPS,MEAN,ANN_ROLL,2026,45630,,,'')":7.4456654,"BA-US^FE_ESTIMATE(FCFPS,MEAN,ANN_ROLL,2025,45630,,,'')":-4.1037836,"BA-US^FE_ESTIMATE(FCFPS,MEAN,ANN_ROLL,2024,45630,,,'')":-21.895132,"BA-US^FE_ESTIMATE(FCFPS,MEAN,ANN_ROLL,2023,45630,,,'')":7.203665,"BA-US^FE_ESTIMATE(FCFPS,MEAN,ANN_ROLL,2022,45630,,,'')":4.023713,"BA-US^FE_ESTIMATE(FCFPS,MEAN,ANN_ROLL,2021,45630,,,'')":-6.8795238,"BA-US^FE_ESTIMATE(FCF,MEAN,ANN_ROLL,2026,45630,,,'')":5511.584,"BA-US^FE_ESTIMATE(FCF,MEAN,ANN_ROLL,2025,45630,,,'')":-3153.7217,"BA-US^FE_ESTIMATE(FCF,MEAN,ANN_ROLL,2024,45630,,,'')":-14102.031,"BA-US^FE_ESTIMATE(FCF,MEAN,ANN_ROLL,2023,45630,,,'')":4433.0,"BA-US^FE_ESTIMATE(FCF,MEAN,ANN_ROLL,2022,45630,,,'')":2290.0,"BA-US^FE_ESTIMATE(FCF,MEAN,ANN_ROLL,2021,45630,,,'')":-3560.0,"BA-US^FE_ESTIMATE(DPS,MEAN,ANN_ROLL,2026,45630,,,'')":0.33657175,"BA-US^FE_ESTIMATE(DPS,MEAN,ANN_ROLL,2025,45630,,,'')":0.0375,"BA-US^FE_ESTIMATE(DPS,MEAN,ANN_ROLL,2024,45630,,,'')":0.0,"BA-US^FE_ESTIMATE(DPS,MEAN,ANN_ROLL,2023,45630,,,'')":0.0,"BA-US^FE_ESTIMATE(DPS,MEAN,ANN_ROLL,2022,45630,,,'')":0.0,"BA-US^FE_ESTIMATE(DPS,MEAN,ANN_ROLL,2021,45630,,,'')":0.0,"BA-US^FE_ESTIMATE(EPS_GAAP,MEAN,ANN_ROLL,2026,45630,,,'')":5.977596,"BA-US^FE_ESTIMATE(EPS_GAAP,MEAN,ANN_ROLL,2025,45630,,,'')":2.059878,"BA-US^FE_ESTIMATE(EPS_GAAP,MEAN,ANN_ROLL,2024,45630,,,'')":-14.091243,"BA-US^FE_ESTIMATE(EPS_GAAP,MEAN,ANN_ROLL,2023,45630,,,'')":-3.67,"BA-US^FE_ESTIMATE(EPS_GAAP,MEAN,ANN_ROLL,2022,45630,,,'')":-8.3,"BA-US^FE_ESTIMATE(EPS_GAAP,MEAN,ANN_ROLL,2021,45630,,,'')":-7.15,"BA-US^FE_ESTIMATE(NET_INC_REP,MEAN,ANN_ROLL,2026,45630,,,'')":4278.391,"BA-US^FE_ESTIMATE(NET_INC_REP,MEAN,ANN_ROLL,2025,45630,,,'')":1995.0006,"BA-US^FE_ESTIMATE(NET_INC_REP,MEAN,ANN_ROLL,2024,45630,,,'')":-8866.906,"BA-US^FE_ESTIMATE(NET_INC_REP,MEAN,ANN_ROLL,2023,45630,,,'')":-2222.0,"BA-US^FE_ESTIMATE(NET_INC_REP,MEAN,ANN_ROLL,2022,45630,,,'')":-4935.0,"BA-US^FE_ESTIMATE(NET_INC_REP,MEAN,ANN_ROLL,2021,45630,,,'')":-4202.0,"BA-US^FE_ESTIMATE(PTX_INC_REP,MEAN,ANN_ROLL,2026,45630,,,'')":1197.0,"BA-US^FE_ESTIMATE(PTX_INC_REP,MEAN,ANN_ROLL,2025,45630,,,'')":-881.0,"BA-US^FE_ESTIMATE(PTX_INC_REP,MEAN,ANN_ROLL,2024,45630,,,'')":-9168.0,"BA-US^FE_ESTIMATE(PTX_INC_REP,MEAN,ANN_ROLL,2023,45630,,,'')":-2005.0,"BA-US^FE_ESTIMATE(PTX_INC_REP,MEAN,ANN_ROLL,2022,45630,,,'')":-5022.0,"BA-US^FE_ESTIMATE(PTX_INC_REP,MEAN,ANN_ROLL,2021,45630,,,'')":-6158.0,"BA-US^FE_ESTIMATE(EBITDA_REP,MEAN,ANN_ROLL,2026,45630,,,'')":9265.334,"BA-US^FE_ESTIMATE(EBITDA_REP,MEAN,ANN_ROLL,2025,45630,,,'')":5493.195,"BA-US^FE_ESTIMATE(EBITDA_REP,MEAN,ANN_ROLL,2024,45630,,,'')":-5651.835,"BA-US^FE_ESTIMATE(EBITDA_REP,MEAN,ANN_ROLL,2023,45630,,,'')":1085.1666,"BA-US^FE_ESTIMATE(EBITDA_REP,MEAN,ANN_ROLL,2022,45630,,,'')":-1599.0416,"BA-US^FE_ESTIMATE(EBITDA_REP,MEAN,ANN_ROLL,2021,45630,,,'')":-747.6,"BA-US^FE_ESTIMATE(EPS,MEAN,ANN_ROLL,2026,45630,,,'')":4.506122,"BA-US^FE_ESTIMATE(EPS,MEAN,ANN_ROLL,2025,45630,,,'')":1.2653266,"BA-US^FE_ESTIMATE(EPS,MEAN,ANN_ROLL,2024,45630,,,'')":-16.008839,"BA-US^FE_ESTIMATE(EPS,MEAN,ANN_ROLL,2023,45630,,,'')":-5.81,"BA-US^FE_ESTIMATE(EPS,MEAN,ANN_ROLL,2022,45630,,,'')":-11.06,"BA-US^FE_ESTIMATE(EPS,MEAN,ANN_ROLL,2021,45630,,,'')":-9.44,"BA-US^FE_ESTIMATE(NET_INC,MEAN,ANN_ROLL,2026,45630,,,'')":4190.7246,"BA-US^FE_ESTIMATE(NET_INC,MEAN,ANN_ROLL,2025,45630,,,'')":1948.9153,"BA-US^FE_ESTIMATE(NET_INC,MEAN,ANN_ROLL,2024,45630,,,'')":-8915.362,"BA-US^FE_ESTIMATE(NET_INC,MEAN,ANN_ROLL,2023,45630,,,'')":-2222.0,"BA-US^FE_ESTIMATE(NET_INC,MEAN,ANN_ROLL,2022,45630,,,'')":-4935.0,"BA-US^FE_ESTIMATE(NET_INC,MEAN,ANN_ROLL,2021,45630,,,'')":-4202.0,"BA-US^FE_VALUATION(TAX_RATE,MEAN,ANN_ROLL,2026,45630,,,'')/100":0.0017059941,"BA-US^FE_VALUATION(TAX_RATE,MEAN,ANN_ROLL,2025,45630,,,'')/100":0.0010424489,"BA-US^FE_VALUATION(TAX_RATE,MEAN,ANN_ROLL,2024,45630,,,'')/100":0.0003022952,"BA-US^FE_VALUATION(TAX_RATE,MEAN,ANN_ROLL,2023,45630,,,'')/100":-0.0012102099,"BA-US^FE_VALUATION(TAX_RATE,MEAN,ANN_ROLL,2022,45630,,,'')/100":3.8287817E-06,"BA-US^FE_VALUATION(TAX_RATE,MEAN,ANN_ROLL,2021,45630,,,'')/100":0.0014517867,"BA-US^FE_ESTIMATE(INC_TAX,MEAN,ANN_ROLL,2026,45630,,,'')":882.44446,"BA-US^FE_ESTIMATE(INC_TAX,MEAN,ANN_ROLL,2025,45630,,,'')":265.5,"BA-US^FE_ESTIMATE(INC_TAX,MEAN,ANN_ROLL,2024,45630,,,'')":-276.15384,"BA-US^FE_ESTIMATE(INC_TAX,MEAN,ANN_ROLL,2023,45630,,,'')":232.16667,"BA-US^FE_ESTIMATE(INC_TAX,MEAN,ANN_ROLL,2022,45630,,,'')":-1.9166666,"BA-US^FE_ESTIMATE(INC_TAX,MEAN,ANN_ROLL,2021,45630,,,'')":-743.0,"BA-US^FE_ESTIMATE(PTX_INC,MEAN,ANN_ROLL,2026,45630,,,'')":5172.6113,"BA-US^FE_ESTIMATE(PTX_INC,MEAN,ANN_ROLL,2025,45630,,,'')":2546.8875,"BA-US^FE_ESTIMATE(PTX_INC,MEAN,ANN_ROLL,2024,45630,,,'')":-9135.237,"BA-US^FE_ESTIMATE(PTX_INC,MEAN,ANN_ROLL,2023,45630,,,'')":-1918.4,"BA-US^FE_ESTIMATE(PTX_INC,MEAN,ANN_ROLL,2022,45630,,,'')":-5005.9443,"BA-US^FE_ESTIMATE(PTX_INC,MEAN,ANN_ROLL,2021,45630,,,'')":-5117.8315,"BA-US^FE_ESTIMATE(INT_EXP,MEAN,ANN_ROLL,2026,45630,,,'')":2492.6333,"BA-US^FE_ESTIMATE(INT_EXP,MEAN,ANN_ROLL,2025,45630,,,'')":2797.7844,"BA-US^FE_ESTIMATE(INT_EXP,MEAN,ANN_ROLL,2024,45630,,,'')":2666.057,"BA-US^FE_ESTIMATE(INT_EXP,MEAN,ANN_ROLL,2023,45630,,,'')":2459.0,"BA-US^FE_ESTIMATE(INT_EXP,MEAN,ANN_ROLL,2022,45630,,,'')":2533.0,"BA-US^FE_ESTIMATE(INT_EXP,MEAN,ANN_ROLL,2021,45630,,,'')":2682.0,"BA-US^FE_ESTIMATE(EBIT,MEAN,ANN_ROLL,2026,45630,,,'')":7143.258,"BA-US^FE_ESTIMATE(EBIT,MEAN,ANN_ROLL,2025,45630,,,'')":4659.864,"BA-US^FE_ESTIMATE(EBIT,MEAN,ANN_ROLL,2024,45630,,,'')":-7182.386,"BA-US^FE_ESTIMATE(EBIT,MEAN,ANN_ROLL,2023,45630,,,'')":-775.0,"BA-US^FE_ESTIMATE(EBIT,MEAN,ANN_ROLL,2022,45630,,,'')":-3547.0,"BA-US^FE_ESTIMATE(EBIT,MEAN,ANN_ROLL,2021,45630,,,'')":-2896.4656,"BA-US^FE_ESTIMATE(DEP_AMORT_EXP,MEAN,ANN_ROLL,2026,45630,,,'')":1924.625,"BA-US^FE_ESTIMATE(DEP_AMORT_EXP,MEAN,ANN_ROLL,2025,45630,,,'')":1835.1111,"BA-US^FE_ESTIMATE(DEP_AMORT_EXP,MEAN,ANN_ROLL,2024,45630,,,'')":1778.3334,"BA-US^FE_ESTIMATE(DEP_AMORT_EXP,MEAN,ANN_ROLL,2023,45630,,,'')":1861.0,"BA-US^FE_ESTIMATE(DEP_AMORT_EXP,MEAN,ANN_ROLL,2022,45630,,,'')":1951.7778,"BA-US^FE_ESTIMATE(DEP_AMORT_EXP,MEAN,ANN_ROLL,2021,45630,,,'')":2154.889,"BA-US^FE_ESTIMATE(EBITDAR,MEAN,ANN_ROLL,2026,45630,,,'')":null,"BA-US^FE_ESTIMATE(EBITDAR,MEAN,ANN_ROLL,2025,45630,,,'')":null,"BA-US^FE_ESTIMATE(EBITDAR,MEAN,ANN_ROLL,2024,45630,,,'')":null,"BA-US^FE_ESTIMATE(EBITDAR,MEAN,ANN_ROLL,2023,45630,,,'')":null,"BA-US^FE_ESTIMATE(EBITDAR,MEAN,ANN_ROLL,2022,45630,,,'')":null,"BA-US^FE_ESTIMATE(EBITDAR,MEAN,ANN_ROLL,2021,45630,,,'')":null,"BA-US^FE_ESTIMATE(OPER_EXP,MEAN,ANN_ROLL,2026,45630,,,'')":null,"BA-US^FE_ESTIMATE(OPER_EXP,MEAN,ANN_ROLL,2025,45630,,,'')":null,"BA-US^FE_ESTIMATE(OPER_EXP,MEAN,ANN_ROLL,2024,45630,,,'')":null,"BA-US^FE_ESTIMATE(OPER_EXP,MEAN,ANN_ROLL,2023,45630,,,'')":null,"BA-US^FE_ESTIMATE(OPER_EXP,MEAN,ANN_ROLL,2022,45630,,,'')":null,"BA-US^FE_ESTIMATE(OPER_EXP,MEAN,ANN_ROLL,2021,45630,,,'')":null,"BA-US^FE_ESTIMATE(RD_EXP,MEAN,ANN_ROLL,2026,45630,,,'')":3817.4,"BA-US^FE_ESTIMATE(RD_EXP,MEAN,ANN_ROLL,2025,45630,,,'')":4099.6,"BA-US^FE_ESTIMATE(RD_EXP,MEAN,ANN_ROLL,2024,45630,,,'')":3945.5,"BA-US^FE_ESTIMATE(RD_EXP,MEAN,ANN_ROLL,2023,45630,,,'')":3200.25,"BA-US^FE_ESTIMATE(RD_EXP,MEAN,ANN_ROLL,2022,45630,,,'')":2825.3333,"BA-US^FE_ESTIMATE(RD_EXP,MEAN,ANN_ROLL,2021,45630,,,'')":2249.0,"BA-US^FE_ESTIMATE(G_A_EXP,MEAN,ANN_ROLL,2026,45630,,,'')":5749.25,"BA-US^FE_ESTIMATE(G_A_EXP,MEAN,ANN_ROLL,2025,45630,,,'')":5065.5,"BA-US^FE_ESTIMATE(G_A_EXP,MEAN,ANN_ROLL,2024,45630,,,'')":4592.75,"BA-US^FE_ESTIMATE(G_A_EXP,MEAN,ANN_ROLL,2023,45630,,,'')":4654.0,"BA-US^FE_ESTIMATE(G_A_EXP,MEAN,ANN_ROLL,2022,45630,,,'')":4056.0,"BA-US^FE_ESTIMATE(G_A_EXP,MEAN,ANN_ROLL,2021,45630,,,'')":4157.0,"BA-US^FE_ESTIMATE(SGA,MEAN,ANN_ROLL,2026,45630,,,'')":6005.5903,"BA-US^FE_ESTIMATE(SGA,MEAN,ANN_ROLL,2025,45630,,,'')":5439.074,"BA-US^FE_ESTIMATE(SGA,MEAN,ANN_ROLL,2024,45630,,,'')":4783.861,"BA-US^FE_ESTIMATE(SGA,MEAN,ANN_ROLL,2023,45630,,,'')":5168.0,"BA-US^FE_ESTIMATE(SGA,MEAN,ANN_ROLL,2022,45630,,,'')":4187.0,"BA-US^FE_ESTIMATE(SGA,MEAN,ANN_ROLL,2021,45630,,,'')":4157.0,"BA-US^FE_VALUATION(GROSS_MARGIN,MEAN,ANN_ROLL,2026,45630,,,'')/100":0.16848221,"BA-US^FE_VALUATION(GROSS_MARGIN,MEAN,ANN_ROLL,2025,45630,,,'')/100":0.15238334,"BA-US^FE_VALUATION(GROSS_MARGIN,MEAN,ANN_ROLL,2024,45630,,,'')/100":0.017514203,"BA-US^FE_VALUATION(GROSS_MARGIN,MEAN,ANN_ROLL,2023,45630,,,'')/100":0.104326814,"BA-US^FE_VALUATION(GROSS_MARGIN,MEAN,ANN_ROLL,2022,45630,,,'')/100":0.05598427,"BA-US^FE_VALUATION(GROSS_MARGIN,MEAN,ANN_ROLL,2021,45630,,,'')/100":0.054560147,"BA-US^FE_ESTIMATE(GROSS_INC,MEAN,ANN_ROLL,2026,45630,,,'')":16519.666,"BA-US^FE_ESTIMATE(GROSS_INC,MEAN,ANN_ROLL,2025,45630,,,'')":13084.75,"BA-US^FE_ESTIMATE(GROSS_INC,MEAN,ANN_ROLL,2024,45630,,,'')":1202.0,"BA-US^FE_ESTIMATE(GROSS_INC,MEAN,ANN_ROLL,2023,45630,,,'')":8116.0,"BA-US^FE_ESTIMATE(GROSS_INC,MEAN,ANN_ROLL,2022,45630,,,'')":3729.0,"BA-US^FE_ESTIMATE(GROSS_INC,MEAN,ANN_ROLL,2021,45630,,,'')":3398.3333,"BA-US^FE_ESTIMATE(COS,MEAN,ANN_ROLL,2026,45630,,,'')":79376.96,"BA-US^FE_ESTIMATE(COS,MEAN,ANN_ROLL,2025,45630,,,'')":69573.05,"BA-US^FE_ESTIMATE(COS,MEAN,ANN_ROLL,2024,45630,,,'')":65292.29,"BA-US^FE_ESTIMATE(COS,MEAN,ANN_ROLL,2023,45630,,,'')":68810.37,"BA-US^FE_ESTIMATE(COS,MEAN,ANN_ROLL,2022,45630,,,'')":61865.25,"BA-US^FE_ESTIMATE(COS,MEAN,ANN_ROLL,2021,45630,,,'')":58749.145,"BA-US^FE_ESTIMATE(SALES,MEAN,ANN_ROLL,2026,45630,,,'')":98049.92,"BA-US^FE_ESTIMATE(SALES,MEAN,ANN_ROLL,2025,45630,,,'')":85867.33,"BA-US^FE_ESTIMATE(SALES,MEAN,ANN_ROLL,2024,45630,,,'')":68630.016,"BA-US^FE_ESTIMATE(SALES,MEAN,ANN_ROLL,2023,45630,,,'')":77794.0,"BA-US^FE_ESTIMATE(SALES,MEAN,ANN_ROLL,2022,45630,,,'')":66608.0,"BA-US^FE_ESTIMATE(SALES,MEAN,ANN_ROLL,2021,45630,,,'')":62286.0,"BA-US^FE_ESTIMATE(EBITDA,MEAN,ANN_ROLL,2021,45630,,,'')":-748.5376,"BA-US^FE_ESTIMATE(FCFPS,MEAN,ANN_ROLL,2027,45671,,,'')":11.4075,"BA-US^FE_ESTIMATE(FCFPS,MEAN,ANN_ROLL,2026,45671,,,'')":7.4764676,"BA-US^FE_ESTIMATE(FCFPS,MEAN,ANN_ROLL,2025,45671,,,'')":-4.280906,"BA-US^FE_ESTIMATE(FCFPS,MEAN,ANN_ROLL,2024,45671,,,'')":-22.014864,"BA-US^FE_ESTIMATE(FCFPS,MEAN,ANN_ROLL,2023,45671,,,'')":7.203665,"BA-US^FE_ESTIMATE(FCFPS,MEAN,ANN_ROLL,2022,45671,,,'')":4.023713,"BA-US^FE_ESTIMATE(FCFPS,MEAN,ANN_ROLL,2021,45671,,,'')":-6.8795238,"BA-US^FE_ESTIMATE(FCF,MEAN,ANN_ROLL,2027,45671,,,'')":8932.592,"BA-US^FE_ESTIMATE(FCF,MEAN,ANN_ROLL,2026,45671,,,'')":5403.883,"BA-US^FE_ESTIMATE(FCF,MEAN,ANN_ROLL,2025,45671,,,'')":-3562.4658,"BA-US^FE_ESTIMATE(FCF,MEAN,ANN_ROLL,2024,45671,,,'')":-14070.638,"BA-US^FE_ESTIMATE(FCF,MEAN,ANN_ROLL,2023,45671,,,'')":4433.0,"BA-US^FE_ESTIMATE(FCF,MEAN,ANN_ROLL,2022,45671,,,'')":2290.0,"BA-US^FE_ESTIMATE(FCF,MEAN,ANN_ROLL,2021,45671,,,'')":-3560.0,"BA-US^FE_ESTIMATE(DPS,MEAN,ANN_ROLL,2027,45671,,,'')":0.45938104,"BA-US^FE_ESTIMATE(DPS,MEAN,ANN_ROLL,2026,45671,,,'')":0.33657175,"BA-US^FE_ESTIMATE(DPS,MEAN,ANN_ROLL,2025,45671,,,'')":0.0375,"BA-US^FE_ESTIMATE(DPS,MEAN,ANN_ROLL,2024,45671,,,'')":0.0,"BA-US^FE_ESTIMATE(DPS,MEAN,ANN_ROLL,2023,45671,,,'')":0.0,"BA-US^FE_ESTIMATE(DPS,MEAN,ANN_ROLL,2022,45671,,,'')":0.0,"BA-US^FE_ESTIMATE(DPS,MEAN,ANN_ROLL,2021,45671,,,'')":0.0,"BA-US^FE_ESTIMATE(EPS_GAAP,MEAN,ANN_ROLL,2027,45671,,,'')":8.372289,"BA-US^FE_ESTIMATE(EPS_GAAP,MEAN,ANN_ROLL,2026,45671,,,'')":5.71696,"BA-US^FE_ESTIMATE(EPS_GAAP,MEAN,ANN_ROLL,2025,45671,,,'')":2.4641116,"BA-US^FE_ESTIMATE(EPS_GAAP,MEAN,ANN_ROLL,2024,45671,,,'')":-14.218053,"BA-US^FE_ESTIMATE(EPS_GAAP,MEAN,ANN_ROLL,2023,45671,,,'')":-3.67,"BA-US^FE_ESTIMATE(EPS_GAAP,MEAN,ANN_ROLL,2022,45671,,,'')":-8.3,"BA-US^FE_ESTIMATE(EPS_GAAP,MEAN,ANN_ROLL,2021,45671,,,'')":-7.15,"BA-US^FE_ESTIMATE(NET_INC_REP,MEAN,ANN_ROLL,2027,45671,,,'')":6556.871,"BA-US^FE_ESTIMATE(NET_INC_REP,MEAN,ANN_ROLL,2026,45671,,,'')":4243.0195,"BA-US^FE_ESTIMATE(NET_INC_REP,MEAN,ANN_ROLL,2025,45671,,,'')":1820.3739,"BA-US^FE_ESTIMATE(NET_INC_REP,MEAN,ANN_ROLL,2024,45671,,,'')":-8940.977,"BA-US^FE_ESTIMATE(NET_INC_REP,MEAN,ANN_ROLL,2023,45671,,,'')":-2222.0,"BA-US^FE_ESTIMATE(NET_INC_REP,MEAN,ANN_ROLL,2022,45671,,,'')":-4935.0,"BA-US^FE_ESTIMATE(NET_INC_REP,MEAN,ANN_ROLL,2021,45671,,,'')":-4202.0,"BA-US^FE_ESTIMATE(PTX_INC_REP,MEAN,ANN_ROLL,2027,45671,,,'')":null,"BA-US^FE_ESTIMATE(PTX_INC_REP,MEAN,ANN_ROLL,2026,45671,,,'')":1197.0,"BA-US^FE_ESTIMATE(PTX_INC_REP,MEAN,ANN_ROLL,2025,45671,,,'')":-881.0,"BA-US^FE_ESTIMATE(PTX_INC_REP,MEAN,ANN_ROLL,2024,45671,,,'')":-9168.0,"BA-US^FE_ESTIMATE(PTX_INC_REP,MEAN,ANN_ROLL,2023,45671,,,'')":-2005.0,"BA-US^FE_ESTIMATE(PTX_INC_REP,MEAN,ANN_ROLL,2022,45671,,,'')":-5022.0,"BA-US^FE_ESTIMATE(PTX_INC_REP,MEAN,ANN_ROLL,2021,45671,,,'')":-6158.0,"BA-US^FE_ESTIMATE(EBITDA_REP,MEAN,ANN_ROLL,2027,45671,,,'')":12312.756,"BA-US^FE_ESTIMATE(EBITDA_REP,MEAN,ANN_ROLL,2026,45671,,,'')":9134.819,"BA-US^FE_ESTIMATE(EBITDA_REP,MEAN,ANN_ROLL,2025,45671,,,'')":5409.062,"BA-US^FE_ESTIMATE(EBITDA_REP,MEAN,ANN_ROLL,2024,45671,,,'')":-5698.2515,"BA-US^FE_ESTIMATE(EBITDA_REP,MEAN,ANN_ROLL,2023,45671,,,'')":1085.1666,"BA-US^FE_ESTIMATE(EBITDA_REP,MEAN,ANN_ROLL,2022,45671,,,'')":-1599.0416,"BA-US^FE_ESTIMATE(EBITDA_REP,MEAN,ANN_ROLL,2021,45671,,,'')":-747.6,"BA-US^FE_ESTIMATE(EPS,MEAN,ANN_ROLL,2027,45671,,,'')":6.7072024,"BA-US^FE_ESTIMATE(EPS,MEAN,ANN_ROLL,2026,45671,,,'')":4.4822693,"BA-US^FE_ESTIMATE(EPS,MEAN,ANN_ROLL,2025,45671,,,'')":1.0746117,"BA-US^FE_ESTIMATE(EPS,MEAN,ANN_ROLL,2024,45671,,,'')":-16.027304,"BA-US^FE_ESTIMATE(EPS,MEAN,ANN_ROLL,2023,45671,,,'')":-5.81,"BA-US^FE_ESTIMATE(EPS,MEAN,ANN_ROLL,2022,45671,,,'')":-11.06,"BA-US^FE_ESTIMATE(EPS,MEAN,ANN_ROLL,2021,45671,,,'')":-9.44,"BA-US^FE_ESTIMATE(NET_INC,MEAN,ANN_ROLL,2027,45671,,,'')":6403.887,"BA-US^FE_ESTIMATE(NET_INC,MEAN,ANN_ROLL,2026,45671,,,'')":4163.043,"BA-US^FE_ESTIMATE(NET_INC,MEAN,ANN_ROLL,2025,45671,,,'')":1790.9634,"BA-US^FE_ESTIMATE(NET_INC,MEAN,ANN_ROLL,2024,45671,,,'')":-8984.105,"BA-US^FE_ESTIMATE(NET_INC,MEAN,ANN_ROLL,2023,45671,,,'')":-2222.0,"BA-US^FE_ESTIMATE(NET_INC,MEAN,ANN_ROLL,2022,45671,,,'')":-4935.0,"BA-US^FE_ESTIMATE(NET_INC,MEAN,ANN_ROLL,2021,45671,,,'')":-4202.0,"BA-US^FE_VALUATION(TAX_RATE,MEAN,ANN_ROLL,2027,45671,,,'')/100":0.0018188729,"BA-US^FE_VALUATION(TAX_RATE,MEAN,ANN_ROLL,2026,45671,,,'')/100":0.0015931064,"BA-US^FE_VALUATION(TAX_RATE,MEAN,ANN_ROLL,2025,45671,,,'')/100":0.00071924867,"BA-US^FE_VALUATION(TAX_RATE,MEAN,ANN_ROLL,2024,45671,,,'')/100":0.00028622572,"BA-US^FE_VALUATION(TAX_RATE,MEAN,ANN_ROLL,2023,45671,,,'')/100":-0.0012102099,"BA-US^FE_VALUATION(TAX_RATE,MEAN,ANN_ROLL,2022,45671,,,'')/100":3.8287817E-06,"BA-US^FE_VALUATION(TAX_RATE,MEAN,ANN_ROLL,2021,45671,,,'')/100":0.0014517867,"BA-US^FE_ESTIMATE(INC_TAX,MEAN,ANN_ROLL,2027,45671,,,'')":1449.5,"BA-US^FE_ESTIMATE(INC_TAX,MEAN,ANN_ROLL,2026,45671,,,'')":818.3333,"BA-US^FE_ESTIMATE(INC_TAX,MEAN,ANN_ROLL,2025,45671,,,'')":170.15384,"BA-US^FE_ESTIMATE(INC_TAX,MEAN,ANN_ROLL,2024,45671,,,'')":-263.92307,"BA-US^FE_ESTIMATE(INC_TAX,MEAN,ANN_ROLL,2023,45671,,,'')":232.16667,"BA-US^FE_ESTIMATE(INC_TAX,MEAN,ANN_ROLL,2022,45671,,,'')":-1.9166666,"BA-US^FE_ESTIMATE(INC_TAX,MEAN,ANN_ROLL,2021,45671,,,'')":-743.0,"BA-US^FE_ESTIMATE(PTX_INC,MEAN,ANN_ROLL,2027,45671,,,'')":7969.221,"BA-US^FE_ESTIMATE(PTX_INC,MEAN,ANN_ROLL,2026,45671,,,'')":5136.715,"BA-US^FE_ESTIMATE(PTX_INC,MEAN,ANN_ROLL,2025,45671,,,'')":2365.7166,"BA-US^FE_ESTIMATE(PTX_INC,MEAN,ANN_ROLL,2024,45671,,,'')":-9220.802,"BA-US^FE_ESTIMATE(PTX_INC,MEAN,ANN_ROLL,2023,45671,,,'')":-1918.4,"BA-US^FE_ESTIMATE(PTX_INC,MEAN,ANN_ROLL,2022,45671,,,'')":-5005.9443,"BA-US^FE_ESTIMATE(PTX_INC,MEAN,ANN_ROLL,2021,45671,,,'')":-5117.8315,"BA-US^FE_ESTIMATE(INT_EXP,MEAN,ANN_ROLL,2027,45671,,,'')":2398.75,"BA-US^FE_ESTIMATE(INT_EXP,MEAN,ANN_ROLL,2026,45671,,,'')":2613.4111,"BA-US^FE_ESTIMATE(INT_EXP,MEAN,ANN_ROLL,2025,45671,,,'')":2850.2585,"BA-US^FE_ESTIMATE(INT_EXP,MEAN,ANN_ROLL,2024,45671,,,'')":2702.3296,"BA-US^FE_ESTIMATE(INT_EXP,MEAN,ANN_ROLL,2023,45671,,,'')":2459.0,"BA-US^FE_ESTIMATE(INT_EXP,MEAN,ANN_ROLL,2022,45671,,,'')":2533.0,"BA-US^FE_ESTIMATE(INT_EXP,MEAN,ANN_ROLL,2021,45671,,,'')":2682.0,"BA-US^FE_ESTIMATE(EBIT,MEAN,ANN_ROLL,2027,45671,,,'')":8941.482,"BA-US^FE_ESTIMATE(EBIT,MEAN,ANN_ROLL,2026,45671,,,'')":6942.811,"BA-US^FE_ESTIMATE(EBIT,MEAN,ANN_ROLL,2025,45671,,,'')":4459.01,"BA-US^FE_ESTIMATE(EBIT,MEAN,ANN_ROLL,2024,45671,,,'')":-7449.9155,"BA-US^FE_ESTIMATE(EBIT,MEAN,ANN_ROLL,2023,45671,,,'')":-775.0,"BA-US^FE_ESTIMATE(EBIT,MEAN,ANN_ROLL,2022,45671,,,'')":-3547.0,"BA-US^FE_ESTIMATE(EBIT,MEAN,ANN_ROLL,2021,45671,,,'')":-2896.4656,"BA-US^FE_ESTIMATE(DEP_AMORT_EXP,MEAN,ANN_ROLL,2027,45671,,,'')":2016.5,"BA-US^FE_ESTIMATE(DEP_AMORT_EXP,MEAN,ANN_ROLL,2026,45671,,,'')":1943.1111,"BA-US^FE_ESTIMATE(DEP_AMORT_EXP,MEAN,ANN_ROLL,2025,45671,,,'')":1851.3,"BA-US^FE_ESTIMATE(DEP_AMORT_EXP,MEAN,ANN_ROLL,2024,45671,,,'')":1801.1,"BA-US^FE_ESTIMATE(DEP_AMORT_EXP,MEAN,ANN_ROLL,2023,45671,,,'')":1861.0,"BA-US^FE_ESTIMATE(DEP_AMORT_EXP,MEAN,ANN_ROLL,2022,45671,,,'')":1951.7778,"BA-US^FE_ESTIMATE(DEP_AMORT_EXP,MEAN,ANN_ROLL,2021,45671,,,'')":2154.889,"BA-US^FE_ESTIMATE(EBITDAR,MEAN,ANN_ROLL,2027,45671,,,'')":null,"BA-US^FE_ESTIMATE(EBITDAR,MEAN,ANN_ROLL,2026,45671,,,'')":null,"BA-US^FE_ESTIMATE(EBITDAR,MEAN,ANN_ROLL,2025,45671,,,'')":null,"BA-US^FE_ESTIMATE(EBITDAR,MEAN,ANN_ROLL,2024,45671,,,'')":null,"BA-US^FE_ESTIMATE(EBITDAR,MEAN,ANN_ROLL,2023,45671,,,'')":null,"BA-US^FE_ESTIMATE(EBITDAR,MEAN,ANN_ROLL,2022,45671,,,'')":null,"BA-US^FE_ESTIMATE(EBITDAR,MEAN,ANN_ROLL,2021,45671,,,'')":null,"BA-US^FE_ESTIMATE(OPER_EXP,MEAN,ANN_ROLL,2027,45671,,,'')":null,"BA-US^FE_ESTIMATE(OPER_EXP,MEAN,ANN_ROLL,2026,45671,,,'')":null,"BA-US^FE_ESTIMATE(OPER_EXP,MEAN,ANN_ROLL,2025,45671,,,'')":null,"BA-US^FE_ESTIMATE(OPER_EXP,MEAN,ANN_ROLL,2024,45671,,,'')":null,"BA-US^FE_ESTIMATE(OPER_EXP,MEAN,ANN_ROLL,2023,45671,,,'')":null,"BA-US^FE_ESTIMATE(OPER_EXP,MEAN,ANN_ROLL,2022,45671,,,'')":null,"BA-US^FE_ESTIMATE(OPER_EXP,MEAN,ANN_ROLL,2021,45671,,,'')":null,"BA-US^FE_ESTIMATE(RD_EXP,MEAN,ANN_ROLL,2027,45671,,,'')":3860.6667,"BA-US^FE_ESTIMATE(RD_EXP,MEAN,ANN_ROLL,2026,45671,,,'')":3817.4,"BA-US^FE_ESTIMATE(RD_EXP,MEAN,ANN_ROLL,2025,45671,,,'')":3996.1667,"BA-US^FE_ESTIMATE(RD_EXP,MEAN,ANN_ROLL,2024,45671,,,'')":3946.3333,"BA-US^FE_ESTIMATE(RD_EXP,MEAN,ANN_ROLL,2023,45671,,,'')":3200.25,"BA-US^FE_ESTIMATE(RD_EXP,MEAN,ANN_ROLL,2022,45671,,,'')":2825.3333,"BA-US^FE_ESTIMATE(RD_EXP,MEAN,ANN_ROLL,2021,45671,,,'')":2249.0,"BA-US^FE_ESTIMATE(G_A_EXP,MEAN,ANN_ROLL,2027,45671,,,'')":6997.0,"BA-US^FE_ESTIMATE(G_A_EXP,MEAN,ANN_ROLL,2026,45671,,,'')":5505.4,"BA-US^FE_ESTIMATE(G_A_EXP,MEAN,ANN_ROLL,2025,45671,,,'')":4944.8,"BA-US^FE_ESTIMATE(G_A_EXP,MEAN,ANN_ROLL,2024,45671,,,'')":4584.2,"BA-US^FE_ESTIMATE(G_A_EXP,MEAN,ANN_ROLL,2023,45671,,,'')":4654.0,"BA-US^FE_ESTIMATE(G_A_EXP,MEAN,ANN_ROLL,2022,45671,,,'')":4056.0,"BA-US^FE_ESTIMATE(G_A_EXP,MEAN,ANN_ROLL,2021,45671,,,'')":4157.0,"BA-US^FE_ESTIMATE(SGA,MEAN,ANN_ROLL,2027,45671,,,'')":6430.5,"BA-US^FE_ESTIMATE(SGA,MEAN,ANN_ROLL,2026,45671,,,'')":6041.9233,"BA-US^FE_ESTIMATE(SGA,MEAN,ANN_ROLL,2025,45671,,,'')":5469.0557,"BA-US^FE_ESTIMATE(SGA,MEAN,ANN_ROLL,2024,45671,,,'')":4660.861,"BA-US^FE_ESTIMATE(SGA,MEAN,ANN_ROLL,2023,45671,,,'')":5168.0,"BA-US^FE_ESTIMATE(SGA,MEAN,ANN_ROLL,2022,45671,,,'')":4187.0,"BA-US^FE_ESTIMATE(SGA,MEAN,ANN_ROLL,2021,45671,,,'')":4157.0,"BA-US^FE_VALUATION(GROSS_MARGIN,MEAN,ANN_ROLL,2027,45671,,,'')/100":0.211421,"BA-US^FE_VALUATION(GROSS_MARGIN,MEAN,ANN_ROLL,2026,45671,,,'')/100":0.16859172,"BA-US^FE_VALUATION(GROSS_MARGIN,MEAN,ANN_ROLL,2025,45671,,,'')/100":0.15339765,"BA-US^FE_VALUATION(GROSS_MARGIN,MEAN,ANN_ROLL,2024,45671,,,'')/100":0.014984168,"BA-US^FE_VALUATION(GROSS_MARGIN,MEAN,ANN_ROLL,2023,45671,,,'')/100":0.104326814,"BA-US^FE_VALUATION(GROSS_MARGIN,MEAN,ANN_ROLL,2022,45671,,,'')/100":0.05598427,"BA-US^FE_VALUATION(GROSS_MARGIN,MEAN,ANN_ROLL,2021,45671,,,'')/100":0.054560147,"BA-US^FE_ESTIMATE(GROSS_INC,MEAN,ANN_ROLL,2027,45671,,,'')":23004.0,"BA-US^FE_ESTIMATE(GROSS_INC,MEAN,ANN_ROLL,2026,45671,,,'')":16438.0,"BA-US^FE_ESTIMATE(GROSS_INC,MEAN,ANN_ROLL,2025,45671,,,'')":13025.833,"BA-US^FE_ESTIMATE(GROSS_INC,MEAN,ANN_ROLL,2024,45671,,,'')":1024.5,"BA-US^FE_ESTIMATE(GROSS_INC,MEAN,ANN_ROLL,2023,45671,,,'')":8116.0,"BA-US^FE_ESTIMATE(GROSS_INC,MEAN,ANN_ROLL,2022,45671,,,'')":3729.0,"BA-US^FE_ESTIMATE(GROSS_INC,MEAN,ANN_ROLL,2021,45671,,,'')":3398.3333,"BA-US^FE_ESTIMATE(COS,MEAN,ANN_ROLL,2027,45671,,,'')":89404.0,"BA-US^FE_ESTIMATE(COS,MEAN,ANN_ROLL,2026,45671,,,'')":79719.97,"BA-US^FE_ESTIMATE(COS,MEAN,ANN_ROLL,2025,45671,,,'')":69165.66,"BA-US^FE_ESTIMATE(COS,MEAN,ANN_ROLL,2024,45671,,,'')":64741.13,"BA-US^FE_ESTIMATE(COS,MEAN,ANN_ROLL,2023,45671,,,'')":68810.37,"BA-US^FE_ESTIMATE(COS,MEAN,ANN_ROLL,2022,45671,,,'')":61865.25,"BA-US^FE_ESTIMATE(COS,MEAN,ANN_ROLL,2021,45671,,,'')":58749.145,"BA-US^FE_ESTIMATE(SALES,MEAN,ANN_ROLL,2027,45671,,,'')":108806.6,"BA-US^FE_ESTIMATE(SALES,MEAN,ANN_ROLL,2026,45671,,,'')":97501.82,"BA-US^FE_ESTIMATE(SALES,MEAN,ANN_ROLL,2025,45671,,,'')":84915.47,"BA-US^FE_ESTIMATE(SALES,MEAN,ANN_ROLL,2024,45671,,,'')":68372.164,"BA-US^FE_ESTIMATE(SALES,MEAN,ANN_ROLL,2023,45671,,,'')":77794.0,"BA-US^FE_ESTIMATE(SALES,MEAN,ANN_ROLL,2022,45671,,,'')":66608.0,"BA-US^FE_ESTIMATE(SALES,MEAN,ANN_ROLL,2021,45671,,,'')":62286.0,"BA-US^FE_ESTIMATE(EBITDA,MEAN,ANN_ROLL,2021,45671,,,'')":-748.5376,"BA-US^FE_ESTIMATE(FCFPS,MEAN,QTR_ROLL,2024/4F,45671,,,'')":-6.102207,"BA-US^FE_ESTIMATE(FCF,MEAN,QTR_ROLL,2024/4F,45671,,,'')":-3936.8167,"BA-US^FE_ESTIMATE(CAPEX,MEAN,QTR_ROLL,2024/4F,45671,,,'')":454.6059,"BA-US^FE_ESTIMATE(CF_OP,MEAN,QTR_ROLL,2024/4F,45671,,,'')":-3388.3333,"BA-US^FE_ESTIMATE(NET_DEBT,MEAN,QTR_ROLL,2024/4F,45671,,,'')":33519.0,"BA-US^FE_ESTIMATE(DEBT,MEAN,QTR_ROLL,2024/4F,45671,,,'')":57350.0,"BA-US^FE_ESTIMATE(CASH_ST,MEAN,QTR_ROLL,2024/4F,45671,,,'')":23046.25,"BA-US^FE_ESTIMATE(DPS,MEAN,QTR_ROLL,2024/4F,45671,,,'')":0.0,"BA-US^FE_ESTIMATE(EPS_GAAP,MEAN,QTR_ROLL,2024/4F,45671,,,'')":-1.5274951,"BA-US^FE_ESTIMATE(NET_INC_REP,MEAN,QTR_ROLL,2024/4F,45671,,,'')":-1061.369,"BA-US^FE_ESTIMATE(PTX_INC_REP,MEAN,QTR_ROLL,2024/4F,45671,,,'')":-1051.0,"BA-US^FE_ESTIMATE(EBITDA_REP,MEAN,QTR_ROLL,2024/4F,45671,,,'')":-6.769589,"BA-US^FE_ESTIMATE(EPS,MEAN,QTR_ROLL,2024/4F,45671,,,'')":-1.7750224,"BA-US^FE_ESTIMATE(NET_INC,MEAN,QTR_ROLL,2024/4F,45671,,,'')":-1056.508,"BA-US^FE_VALUATION(TAX_RATE,MEAN,QTR_ROLL,2024/4F,45671,,,'')/100":0.0010666845,"BA-US^FE_ESTIMATE(INC_TAX,MEAN,QTR_ROLL,2024/4F,45671,,,'')":-121.083336,"BA-US^FE_ESTIMATE(PTX_INC,MEAN,QTR_ROLL,2024/4F,45671,,,'')":-1135.1373,"BA-US^FE_ESTIMATE(INT_EXP,MEAN,QTR_ROLL,2024/4F,45671,,,'')":733.8889,"BA-US^FE_ESTIMATE(EBIT,MEAN,QTR_ROLL,2024/4F,45671,,,'')":-538.4641,"BA-US^FE_ESTIMATE(DEP_AMORT_EXP,MEAN,QTR_ROLL,2024/4F,45671,,,'')":496.85715,"BA-US^FE_ESTIMATE(EBITDA,MEAN,QTR_ROLL,2024/4F,45671,,,'')":-6.769589,"BA-US^FE_ESTIMATE(EBITDAR,MEAN,QTR_ROLL,2024/4F,45671,,,'')":null,"BA-US^FE_ESTIMATE(OPER_EXP,MEAN,QTR_ROLL,2024/4F,45671,,,'')":null,"BA-US^FE_ESTIMATE(RD_EXP,MEAN,QTR_ROLL,2024/4F,45671,,,'')":1014.1667,"BA-US^FE_ESTIMATE(G_A_EXP,MEAN,QTR_ROLL,2024/4F,45671,,,'')":952.5,"BA-US^FE_ESTIMATE(SGA,MEAN,QTR_ROLL,2024/4F,45671,,,'')":1046.3334,"BA-US^FE_VALUATION(GROSS_MARGIN,MEAN,QTR_ROLL,2024/4F,45671,,,'')/100":0.07803247,"BA-US^FE_ESTIMATE(GROSS_INC,MEAN,QTR_ROLL,2024/4F,45671,,,'')":1329.6,"BA-US^FE_ESTIMATE(COS,MEAN,QTR_ROLL,2024/4F,45671,,,'')":14301.167,"BA-US^FE_ESTIMATE(SALES,MEAN,QTR_ROLL,2024/4F,45671,,,'')":17039.06,"BA-US^FE_ESTIMATE(FCFPS,MEAN,QTR_ROLL,2024/4F,45681,,,'')":-5.8356414,"BA-US^FE_ESTIMATE(FCF,MEAN,QTR_ROLL,2024/4F,45681,,,'')":-4303.786,"BA-US^FE_ESTIMATE(CAPEX,MEAN,QTR_ROLL,2024/4F,45681,,,'')":456.39706,"BA-US^FE_ESTIMATE(CF_OP,MEAN,QTR_ROLL,2024/4F,45681,,,'')":-3923.0,"BA-US^FE_ESTIMATE(NET_DEBT,MEAN,QTR_ROLL,2024/4F,45681,,,'')":33450.0,"BA-US^FE_ESTIMATE(DEBT,MEAN,QTR_ROLL,2024/4F,45681,,,'')":57350.0,"BA-US^FE_ESTIMATE(CASH_ST,MEAN,QTR_ROLL,2024/4F,45681,,,'')":23080.75,"BA-US^FE_ESTIMATE(DPS,MEAN,QTR_ROLL,2024/4F,45681,,,'')":0.01584555,"BA-US^FE_ESTIMATE(EPS_GAAP,MEAN,QTR_ROLL,2024/4F,45681,,,'')":-1.8101618,"BA-US^FE_ESTIMATE(NET_INC_REP,MEAN,QTR_ROLL,2024/4F,45681,,,'')":-1529.6829,"BA-US^FE_ESTIMATE(PTX_INC_REP,MEAN,QTR_ROLL,2024/4F,45681,,,'')":-4266.0,"BA-US^FE_ESTIMATE(EBITDA_REP,MEAN,QTR_ROLL,2024/4F,45681,,,'')":-453.49545,"BA-US^FE_ESTIMATE(EPS,MEAN,QTR_ROLL,2024/4F,45681,,,'')":-2.540481,"BA-US^FE_ESTIMATE(NET_INC,MEAN,QTR_ROLL,2024/4F,45681,,,'')":-1690.8369,"BA-US^FE_VALUATION(TAX_RATE,MEAN,QTR_ROLL,2024/4F,45681,,,'')/100":0.000996827,"BA-US^FE_ESTIMATE(INC_TAX,MEAN,QTR_ROLL,2024/4F,45681,,,'')":-179.33333,"BA-US^FE_ESTIMATE(PTX_INC,MEAN,QTR_ROLL,2024/4F,45681,,,'')":-1799.0416,"BA-US^FE_ESTIMATE(INT_EXP,MEAN,QTR_ROLL,2024/4F,45681,,,'')":733.8889,"BA-US^FE_ESTIMATE(EBIT,MEAN,QTR_ROLL,2024/4F,45681,,,'')":-1149.802,"BA-US^FE_ESTIMATE(DEP_AMORT_EXP,MEAN,QTR_ROLL,2024/4F,45681,,,'')":496.42856,"BA-US^FE_ESTIMATE(EBITDA,MEAN,QTR_ROLL,2024/4F,45681,,,'')":-453.49545,"BA-US^FE_ESTIMATE(EBITDAR,MEAN,QTR_ROLL,2024/4F,45681,,,'')":null,"BA-US^FE_ESTIMATE(OPER_EXP,MEAN,QTR_ROLL,2024/4F,45681,,,'')":null,"BA-US^FE_ESTIMATE(RD_EXP,MEAN,QTR_ROLL,2024/4F,45681,,,'')":1020.3333,"BA-US^FE_ESTIMATE(G_A_EXP,MEAN,QTR_ROLL,2024/4F,45681,,,'')":952.0,"BA-US^FE_ESTIMATE(SGA,MEAN,QTR_ROLL,2024/4F,45681,,,'')":1007.0,"BA-US^FE_VALUATION(GROSS_MARGIN,MEAN,QTR_ROLL,2024/4F,45681,,,'')/100":0.08073261,"BA-US^FE_ESTIMATE(GROSS_INC,MEAN,QTR_ROLL,2024/4F,45681,,,'')":1329.6,"BA-US^FE_ESTIMATE(COS,MEAN,QTR_ROLL,2024/4F,45681,,,'')":14573.333,"BA-US^FE_ESTIMATE(SALES,MEAN,QTR_ROLL,2024/4F,45681,,,'')":16469.184,"BA-US^FE_ESTIMATE(FCFPS,MEAN,ANN_ROLL,2027,45681,,,'')":11.4475,"BA-US^FE_ESTIMATE(FCFPS,MEAN,ANN_ROLL,2026,45681,,,'')":7.540634,"BA-US^FE_ESTIMATE(FCFPS,MEAN,ANN_ROLL,2025,45681,,,'')":-4.647573,"BA-US^FE_ESTIMATE(FCFPS,MEAN,ANN_ROLL,2024,45681,,,'')":-22.06568,"BA-US^FE_ESTIMATE(FCFPS,MEAN,ANN_ROLL,2023,45681,,,'')":7.203665,"BA-US^FE_ESTIMATE(FCFPS,MEAN,ANN_ROLL,2022,45681,,,'')":4.023713,"BA-US^FE_ESTIMATE(FCFPS,MEAN,ANN_ROLL,2021,45681,,,'')":-6.8795238,"BA-US^FE_ESTIMATE(FCF,MEAN,ANN_ROLL,2027,45681,,,'')":9008.48,"BA-US^FE_ESTIMATE(FCF,MEAN,ANN_ROLL,2026,45681,,,'')":5462.5293,"BA-US^FE_ESTIMATE(FCF,MEAN,ANN_ROLL,2025,45681,,,'')":-3785.4612,"BA-US^FE_ESTIMATE(FCF,MEAN,ANN_ROLL,2024,45681,,,'')":-14113.165,"BA-US^FE_ESTIMATE(FCF,MEAN,ANN_ROLL,2023,45681,,,'')":4433.0,"BA-US^FE_ESTIMATE(FCF,MEAN,ANN_ROLL,2022,45681,,,'')":2290.0,"BA-US^FE_ESTIMATE(FCF,MEAN,ANN_ROLL,2021,45681,,,'')":-3560.0,"BA-US^FE_ESTIMATE(DPS,MEAN,ANN_ROLL,2027,45681,,,'')":0.45938104,"BA-US^FE_ESTIMATE(DPS,MEAN,ANN_ROLL,2026,45681,,,'')":0.19192,"BA-US^FE_ESTIMATE(DPS,MEAN,ANN_ROLL,2025,45681,,,'')":0.07156923,"BA-US^FE_ESTIMATE(DPS,MEAN,ANN_ROLL,2024,45681,,,'')":0.009901813,"BA-US^FE_ESTIMATE(DPS,MEAN,ANN_ROLL,2023,45681,,,'')":0.0,"BA-US^FE_ESTIMATE(DPS,MEAN,ANN_ROLL,2022,45681,,,'')":0.0,"BA-US^FE_ESTIMATE(DPS,MEAN,ANN_ROLL,2021,45681,,,'')":0.0,"BA-US^FE_ESTIMATE(EPS_GAAP,MEAN,ANN_ROLL,2027,45681,,,'')":8.784503,"BA-US^FE_ESTIMATE(EPS_GAAP,MEAN,ANN_ROLL,2026,45681,,,'')":5.9157743,"BA-US^FE_ESTIMATE(EPS_GAAP,MEAN,ANN_ROLL,2025,45681,,,'')":2.02994,"BA-US^FE_ESTIMATE(EPS_GAAP,MEAN,ANN_ROLL,2024,45681,,,'')":-14.506178,"BA-US^FE_ESTIMATE(EPS_GAAP,MEAN,ANN_ROLL,2023,45681,,,'')":-3.67,"BA-US^FE_ESTIMATE(EPS_GAAP,MEAN,ANN_ROLL,2022,45681,,,'')":-8.3,"BA-US^FE_ESTIMATE(EPS_GAAP,MEAN,ANN_ROLL,2021,45681,,,'')":-7.15,"BA-US^FE_ESTIMATE(NET_INC_REP,MEAN,ANN_ROLL,2027,45681,,,'')":6922.512,"BA-US^FE_ESTIMATE(NET_INC_REP,MEAN,ANN_ROLL,2026,45681,,,'')":4649.463,"BA-US^FE_ESTIMATE(NET_INC_REP,MEAN,ANN_ROLL,2025,45681,,,'')":1862.7576,"BA-US^FE_ESTIMATE(NET_INC_REP,MEAN,ANN_ROLL,2024,45681,,,'')":-9377.167,"BA-US^FE_ESTIMATE(NET_INC_REP,MEAN,ANN_ROLL,2023,45681,,,'')":-2222.0,"BA-US^FE_ESTIMATE(NET_INC_REP,MEAN,ANN_ROLL,2022,45681,,,'')":-4935.0,"BA-US^FE_ESTIMATE(NET_INC_REP,MEAN,ANN_ROLL,2021,45681,,,'')":-4202.0,"BA-US^FE_ESTIMATE(PTX_INC_REP,MEAN,ANN_ROLL,2027,45681,,,'')":null,"BA-US^FE_ESTIMATE(PTX_INC_REP,MEAN,ANN_ROLL,2026,45681,,,'')":1196.0,"BA-US^FE_ESTIMATE(PTX_INC_REP,MEAN,ANN_ROLL,2025,45681,,,'')":-816.0,"BA-US^FE_ESTIMATE(PTX_INC_REP,MEAN,ANN_ROLL,2024,45681,,,'')":-12383.0,"BA-US^FE_ESTIMATE(PTX_INC_REP,MEAN,ANN_ROLL,2023,45681,,,'')":-2005.0,"BA-US^FE_ESTIMATE(PTX_INC_REP,MEAN,ANN_ROLL,2022,45681,,,'')":-5022.0,"BA-US^FE_ESTIMATE(PTX_INC_REP,MEAN,ANN_ROLL,2021,45681,,,'')":-6158.0,"BA-US^FE_ESTIMATE(EBITDA_REP,MEAN,ANN_ROLL,2027,45681,,,'')":12448.63,"BA-US^FE_ESTIMATE(EBITDA_REP,MEAN,ANN_ROLL,2026,45681,,,'')":9123.925,"BA-US^FE_ESTIMATE(EBITDA_REP,MEAN,ANN_ROLL,2025,45681,,,'')":5387.0425,"BA-US^FE_ESTIMATE(EBITDA_REP,MEAN,ANN_ROLL,2024,45681,,,'')":-6360.326,"BA-US^FE_ESTIMATE(EBITDA_REP,MEAN,ANN_ROLL,2023,45681,,,'')":1085.1666,"BA-US^FE_ESTIMATE(EBITDA_REP,MEAN,ANN_ROLL,2022,45681,,,'')":-1599.0416,"BA-US^FE_ESTIMATE(EBITDA_REP,MEAN,ANN_ROLL,2021,45681,,,'')":-747.6,"BA-US^FE_ESTIMATE(EPS,MEAN,ANN_ROLL,2027,45681,,,'')":7.112587,"BA-US^FE_ESTIMATE(EPS,MEAN,ANN_ROLL,2026,45681,,,'')":4.7645354,"BA-US^FE_ESTIMATE(EPS,MEAN,ANN_ROLL,2025,45681,,,'')":1.0289268,"BA-US^FE_ESTIMATE(EPS,MEAN,ANN_ROLL,2024,45681,,,'')":-16.757008,"BA-US^FE_ESTIMATE(EPS,MEAN,ANN_ROLL,2023,45681,,,'')":-5.81,"BA-US^FE_ESTIMATE(EPS,MEAN,ANN_ROLL,2022,45681,,,'')":-11.06,"BA-US^FE_ESTIMATE(EPS,MEAN,ANN_ROLL,2021,45681,,,'')":-9.44,"BA-US^FE_ESTIMATE(NET_INC,MEAN,ANN_ROLL,2027,45681,,,'')":6745.9,"BA-US^FE_ESTIMATE(NET_INC,MEAN,ANN_ROLL,2026,45681,,,'')":4508.568,"BA-US^FE_ESTIMATE(NET_INC,MEAN,ANN_ROLL,2025,45681,,,'')":1809.8722,"BA-US^FE_ESTIMATE(NET_INC,MEAN,ANN_ROLL,2024,45681,,,'')":-9537.129,"BA-US^FE_ESTIMATE(NET_INC,MEAN,ANN_ROLL,2023,45681,,,'')":-2222.0,"BA-US^FE_ESTIMATE(NET_INC,MEAN,ANN_ROLL,2022,45681,,,'')":-4935.0,"BA-US^FE_ESTIMATE(NET_INC,MEAN,ANN_ROLL,2021,45681,,,'')":-4202.0,"BA-US^FE_VALUATION(TAX_RATE,MEAN,ANN_ROLL,2027,45681,,,'')/100":0.0015769051,"BA-US^FE_VALUATION(TAX_RATE,MEAN,ANN_ROLL,2026,45681,,,'')/100":0.0014579392,"BA-US^FE_VALUATION(TAX_RATE,MEAN,ANN_ROLL,2025,45681,,,'')/100":0.0007227451,"BA-US^FE_VALUATION(TAX_RATE,MEAN,ANN_ROLL,2024,45681,,,'')/100":0.0003217215,"BA-US^FE_VALUATION(TAX_RATE,MEAN,ANN_ROLL,2023,45681,,,'')/100":-0.0012102099,"BA-US^FE_VALUATION(TAX_RATE,MEAN,ANN_ROLL,2022,45681,,,'')/100":3.8287817E-06,"BA-US^FE_VALUATION(TAX_RATE,MEAN,ANN_ROLL,2021,45681,,,'')/100":0.0014517867,"BA-US^FE_ESTIMATE(INC_TAX,MEAN,ANN_ROLL,2027,45681,,,'')":1294.6,"BA-US^FE_ESTIMATE(INC_TAX,MEAN,ANN_ROLL,2026,45681,,,'')":760.3,"BA-US^FE_ESTIMATE(INC_TAX,MEAN,ANN_ROLL,2025,45681,,,'')":171.07692,"BA-US^FE_ESTIMATE(INC_TAX,MEAN,ANN_ROLL,2024,45681,,,'')":-317.69232,"BA-US^FE_ESTIMATE(INC_TAX,MEAN,ANN_ROLL,2023,45681,,,'')":232.16667,"BA-US^FE_ESTIMATE(INC_TAX,MEAN,ANN_ROLL,2022,45681,,,'')":-1.9166666,"BA-US^FE_ESTIMATE(INC_TAX,MEAN,ANN_ROLL,2021,45681,,,'')":-743.0,"BA-US^FE_ESTIMATE(PTX_INC,MEAN,ANN_ROLL,2027,45681,,,'')":8209.752,"BA-US^FE_ESTIMATE(PTX_INC,MEAN,ANN_ROLL,2026,45681,,,'')":5214.895,"BA-US^FE_ESTIMATE(PTX_INC,MEAN,ANN_ROLL,2025,45681,,,'')":2367.0437,"BA-US^FE_ESTIMATE(PTX_INC,MEAN,ANN_ROLL,2024,45681,,,'')":-9874.762,"BA-US^FE_ESTIMATE(PTX_INC,MEAN,ANN_ROLL,2023,45681,,,'')":-1918.4,"BA-US^FE_ESTIMATE(PTX_INC,MEAN,ANN_ROLL,2022,45681,,,'')":-5005.9443,"BA-US^FE_ESTIMATE(PTX_INC,MEAN,ANN_ROLL,2021,45681,,,'')":-5117.8315,"BA-US^FE_ESTIMATE(INT_EXP,MEAN,ANN_ROLL,2027,45681,,,'')":2427.25,"BA-US^FE_ESTIMATE(INT_EXP,MEAN,ANN_ROLL,2026,45681,,,'')":2635.078,"BA-US^FE_ESTIMATE(INT_EXP,MEAN,ANN_ROLL,2025,45681,,,'')":2865.8948,"BA-US^FE_ESTIMATE(INT_EXP,MEAN,ANN_ROLL,2024,45681,,,'')":2702.3296,"BA-US^FE_ESTIMATE(INT_EXP,MEAN,ANN_ROLL,2023,45681,,,'')":2459.0,"BA-US^FE_ESTIMATE(INT_EXP,MEAN,ANN_ROLL,2022,45681,,,'')":2533.0,"BA-US^FE_ESTIMATE(INT_EXP,MEAN,ANN_ROLL,2021,45681,,,'')":2682.0,"BA-US^FE_ESTIMATE(EBIT,MEAN,ANN_ROLL,2027,45681,,,'')":9164.047,"BA-US^FE_ESTIMATE(EBIT,MEAN,ANN_ROLL,2026,45681,,,'')":6930.5967,"BA-US^FE_ESTIMATE(EBIT,MEAN,ANN_ROLL,2025,45681,,,'')":4254.8115,"BA-US^FE_ESTIMATE(EBIT,MEAN,ANN_ROLL,2024,45681,,,'')":-8046.117,"BA-US^FE_ESTIMATE(EBIT,MEAN,ANN_ROLL,2023,45681,,,'')":-775.0,"BA-US^FE_ESTIMATE(EBIT,MEAN,ANN_ROLL,2022,45681,,,'')":-3547.0,"BA-US^FE_ESTIMATE(EBIT,MEAN,ANN_ROLL,2021,45681,,,'')":-2896.4656,"BA-US^FE_ESTIMATE(DEP_AMORT_EXP,MEAN,ANN_ROLL,2027,45681,,,'')":2016.5,"BA-US^FE_ESTIMATE(DEP_AMORT_EXP,MEAN,ANN_ROLL,2026,45681,,,'')":1943.2222,"BA-US^FE_ESTIMATE(DEP_AMORT_EXP,MEAN,ANN_ROLL,2025,45681,,,'')":1851.5,"BA-US^FE_ESTIMATE(DEP_AMORT_EXP,MEAN,ANN_ROLL,2024,45681,,,'')":1800.8,"BA-US^FE_ESTIMATE(DEP_AMORT_EXP,MEAN,ANN_ROLL,2023,45681,,,'')":1861.0,"BA-US^FE_ESTIMATE(DEP_AMORT_EXP,MEAN,ANN_ROLL,2022,45681,,,'')":1951.7778,"BA-US^FE_ESTIMATE(DEP_AMORT_EXP,MEAN,ANN_ROLL,2021,45681,,,'')":2154.889,"BA-US^FE_ESTIMATE(EBITDAR,MEAN,ANN_ROLL,2027,45681,,,'')":null,"BA-US^FE_ESTIMATE(EBITDAR,MEAN,ANN_ROLL,2026,45681,,,'')":null,"BA-US^FE_ESTIMATE(EBITDAR,MEAN,ANN_ROLL,2025,45681,,,'')":null,"BA-US^FE_ESTIMATE(EBITDAR,MEAN,ANN_ROLL,2024,45681,,,'')":null,"BA-US^FE_ESTIMATE(EBITDAR,MEAN,ANN_ROLL,2023,45681,,,'')":null,"BA-US^FE_ESTIMATE(EBITDAR,MEAN,ANN_ROLL,2022,45681,,,'')":null,"BA-US^FE_ESTIMATE(EBITDAR,MEAN,ANN_ROLL,2021,45681,,,'')":null,"BA-US^FE_ESTIMATE(OPER_EXP,MEAN,ANN_ROLL,2027,45681,,,'')":null,"BA-US^FE_ESTIMATE(OPER_EXP,MEAN,ANN_ROLL,2026,45681,,,'')":null,"BA-US^FE_ESTIMATE(OPER_EXP,MEAN,ANN_ROLL,2025,45681,,,'')":null,"BA-US^FE_ESTIMATE(OPER_EXP,MEAN,ANN_ROLL,2024,45681,,,'')":null,"BA-US^FE_ESTIMATE(OPER_EXP,MEAN,ANN_ROLL,2023,45681,,,'')":null,"BA-US^FE_ESTIMATE(OPER_EXP,MEAN,ANN_ROLL,2022,45681,,,'')":null,"BA-US^FE_ESTIMATE(OPER_EXP,MEAN,ANN_ROLL,2021,45681,,,'')":null,"BA-US^FE_ESTIMATE(RD_EXP,MEAN,ANN_ROLL,2027,45681,,,'')":3860.6667,"BA-US^FE_ESTIMATE(RD_EXP,MEAN,ANN_ROLL,2026,45681,,,'')":3817.4,"BA-US^FE_ESTIMATE(RD_EXP,MEAN,ANN_ROLL,2025,45681,,,'')":3996.3333,"BA-US^FE_ESTIMATE(RD_EXP,MEAN,ANN_ROLL,2024,45681,,,'')":3952.5,"BA-US^FE_ESTIMATE(RD_EXP,MEAN,ANN_ROLL,2023,45681,,,'')":3200.25,"BA-US^FE_ESTIMATE(RD_EXP,MEAN,ANN_ROLL,2022,45681,,,'')":2825.3333,"BA-US^FE_ESTIMATE(RD_EXP,MEAN,ANN_ROLL,2021,45681,,,'')":2249.0,"BA-US^FE_ESTIMATE(G_A_EXP,MEAN,ANN_ROLL,2027,45681,,,'')":6997.0,"BA-US^FE_ESTIMATE(G_A_EXP,MEAN,ANN_ROLL,2026,45681,,,'')":5506.6,"BA-US^FE_ESTIMATE(G_A_EXP,MEAN,ANN_ROLL,2025,45681,,,'')":4946.0,"BA-US^FE_ESTIMATE(G_A_EXP,MEAN,ANN_ROLL,2024,45681,,,'')":4583.8,"BA-US^FE_ESTIMATE(G_A_EXP,MEAN,ANN_ROLL,2023,45681,,,'')":4654.0,"BA-US^FE_ESTIMATE(G_A_EXP,MEAN,ANN_ROLL,2022,45681,,,'')":4056.0,"BA-US^FE_ESTIMATE(G_A_EXP,MEAN,ANN_ROLL,2021,45681,,,'')":4157.0,"BA-US^FE_ESTIMATE(SGA,MEAN,ANN_ROLL,2027,45681,,,'')":6430.5,"BA-US^FE_ESTIMATE(SGA,MEAN,ANN_ROLL,2026,45681,,,'')":6041.9233,"BA-US^FE_ESTIMATE(SGA,MEAN,ANN_ROLL,2025,45681,,,'')":5481.8057,"BA-US^FE_ESTIMATE(SGA,MEAN,ANN_ROLL,2024,45681,,,'')":4659.3564,"BA-US^FE_ESTIMATE(SGA,MEAN,ANN_ROLL,2023,45681,,,'')":5168.0,"BA-US^FE_ESTIMATE(SGA,MEAN,ANN_ROLL,2022,45681,,,'')":4187.0,"BA-US^FE_ESTIMATE(SGA,MEAN,ANN_ROLL,2021,45681,,,'')":4157.0,"BA-US^FE_VALUATION(GROSS_MARGIN,MEAN,ANN_ROLL,2027,45681,,,'')/100":0.21194835,"BA-US^FE_VALUATION(GROSS_MARGIN,MEAN,ANN_ROLL,2026,45681,,,'')/100":0.1685986,"BA-US^FE_VALUATION(GROSS_MARGIN,MEAN,ANN_ROLL,2025,45681,,,'')/100":0.15356028,"BA-US^FE_VALUATION(GROSS_MARGIN,MEAN,ANN_ROLL,2024,45681,,,'')/100":0.015110033,"BA-US^FE_VALUATION(GROSS_MARGIN,MEAN,ANN_ROLL,2023,45681,,,'')/100":0.104326814,"BA-US^FE_VALUATION(GROSS_MARGIN,MEAN,ANN_ROLL,2022,45681,,,'')/100":0.05598427,"BA-US^FE_VALUATION(GROSS_MARGIN,MEAN,ANN_ROLL,2021,45681,,,'')/100":0.054560147,"BA-US^FE_ESTIMATE(GROSS_INC,MEAN,ANN_ROLL,2027,45681,,,'')":23004.0,"BA-US^FE_ESTIMATE(GROSS_INC,MEAN,ANN_ROLL,2026,45681,,,'')":16438.0,"BA-US^FE_ESTIMATE(GROSS_INC,MEAN,ANN_ROLL,2025,45681,,,'')":13025.833,"BA-US^FE_ESTIMATE(GROSS_INC,MEAN,ANN_ROLL,2024,45681,,,'')":1024.5,"BA-US^FE_ESTIMATE(GROSS_INC,MEAN,ANN_ROLL,2023,45681,,,'')":8116.0,"BA-US^FE_ESTIMATE(GROSS_INC,MEAN,ANN_ROLL,2022,45681,,,'')":3729.0,"BA-US^FE_ESTIMATE(GROSS_INC,MEAN,ANN_ROLL,2021,45681,,,'')":3398.3333,"BA-US^FE_ESTIMATE(COS,MEAN,ANN_ROLL,2027,45681,,,'')":89404.0,"BA-US^FE_ESTIMATE(COS,MEAN,ANN_ROLL,2026,45681,,,'')":79730.54,"BA-US^FE_ESTIMATE(COS,MEAN,ANN_ROLL,2025,45681,,,'')":69121.41,"BA-US^FE_ESTIMATE(COS,MEAN,ANN_ROLL,2024,45681,,,'')":65144.746,"BA-US^FE_ESTIMATE(COS,MEAN,ANN_ROLL,2023,45681,,,'')":68810.37,"BA-US^FE_ESTIMATE(COS,MEAN,ANN_ROLL,2022,45681,,,'')":61865.25,"BA-US^FE_ESTIMATE(COS,MEAN,ANN_ROLL,2021,45681,,,'')":58749.145,"BA-US^FE_ESTIMATE(SALES,MEAN,ANN_ROLL,2027,45681,,,'')":108535.87,"BA-US^FE_ESTIMATE(SALES,MEAN,ANN_ROLL,2026,45681,,,'')":97497.83,"BA-US^FE_ESTIMATE(SALES,MEAN,ANN_ROLL,2025,45681,,,'')":84825.53,"BA-US^FE_ESTIMATE(SALES,MEAN,ANN_ROLL,2024,45681,,,'')":67802.63,"BA-US^FE_ESTIMATE(SALES,MEAN,ANN_ROLL,2023,45681,,,'')":77794.0,"BA-US^FE_ESTIMATE(SALES,MEAN,ANN_ROLL,2022,45681,,,'')":66608.0,"BA-US^FE_ESTIMATE(SALES,MEAN,ANN_ROLL,2021,45681,,,'')":62286.0,"BA-US^FE_ESTIMATE(EBITDA,MEAN,ANN_ROLL,2021,45681,,,'')":-748.5376,"BA-US^AVG(P_PRICE(10/01/2024,12/31/2024))":156.9321875,"BA-US^FE_ESTIMATE(FCFPS,MEAN,ANN_ROLL,2027,45685,,,'')":11.69,"BA-US^FE_ESTIMATE(FCFPS,MEAN,ANN_ROLL,2026,45685,,,'')":7.4905853,"BA-US^FE_ESTIMATE(FCFPS,MEAN,ANN_ROLL,2025,45685,,,'')":-4.9200673,"BA-US^FE_ESTIMATE(FCFPS,MEAN,ANN_ROLL,2024,45685,,,'')":-21.27545,"BA-US^FE_ESTIMATE(FCFPS,MEAN,ANN_ROLL,2023,45685,,,'')":7.203665,"BA-US^FE_ESTIMATE(FCFPS,MEAN,ANN_ROLL,2022,45685,,,'')":4.023713,"BA-US^FE_ESTIMATE(FCFPS,MEAN,ANN_ROLL,2021,45685,,,'')":-6.8795238,"BA-US^FE_ESTIMATE(FCF,MEAN,ANN_ROLL,2027,45685,,,'')":9007.825,"BA-US^FE_ESTIMATE(FCF,MEAN,ANN_ROLL,2026,45685,,,'')":5399.781,"BA-US^FE_ESTIMATE(FCF,MEAN,ANN_ROLL,2025,45685,,,'')":-3953.5369,"BA-US^FE_ESTIMATE(FCF,MEAN,ANN_ROLL,2024,45685,,,'')":-14310.0,"BA-US^FE_ESTIMATE(FCF,MEAN,ANN_ROLL,2023,45685,,,'')":4433.0,"BA-US^FE_ESTIMATE(FCF,MEAN,ANN_ROLL,2022,45685,,,'')":2290.0,"BA-US^FE_ESTIMATE(FCF,MEAN,ANN_ROLL,2021,45685,,,'')":-3560.0,"BA-US^FE_ESTIMATE(DPS,MEAN,ANN_ROLL,2027,45685,,,'')":0.45938104,"BA-US^FE_ESTIMATE(DPS,MEAN,ANN_ROLL,2026,45685,,,'')":0.17592667,"BA-US^FE_ESTIMATE(DPS,MEAN,ANN_ROLL,2025,45685,,,'')":0.07156923,"BA-US^FE_ESTIMATE(DPS,MEAN,ANN_ROLL,2024,45685,,,'')":0.010801978,"BA-US^FE_ESTIMATE(DPS,MEAN,ANN_ROLL,2023,45685,,,'')":0.0,"BA-US^FE_ESTIMATE(DPS,MEAN,ANN_ROLL,2022,45685,,,'')":0.0,"BA-US^FE_ESTIMATE(DPS,MEAN,ANN_ROLL,2021,45685,,,'')":0.0,"BA-US^FE_ESTIMATE(EPS_GAAP,MEAN,ANN_ROLL,2027,45685,,,'')":8.7732525,"BA-US^FE_ESTIMATE(EPS_GAAP,MEAN,ANN_ROLL,2026,45685,,,'')":5.7379627,"BA-US^FE_ESTIMATE(EPS_GAAP,MEAN,ANN_ROLL,2025,45685,,,'')":1.7607782,"BA-US^FE_ESTIMATE(EPS_GAAP,MEAN,ANN_ROLL,2024,45685,,,'')":-18.36,"BA-US^FE_ESTIMATE(EPS_GAAP,MEAN,ANN_ROLL,2023,45685,,,'')":-3.67,"BA-US^FE_ESTIMATE(EPS_GAAP,MEAN,ANN_ROLL,2022,45685,,,'')":-8.3,"BA-US^FE_ESTIMATE(EPS_GAAP,MEAN,ANN_ROLL,2021,45685,,,'')":-7.15,"BA-US^FE_ESTIMATE(NET_INC_REP,MEAN,ANN_ROLL,2027,45685,,,'')":6897.428,"BA-US^FE_ESTIMATE(NET_INC_REP,MEAN,ANN_ROLL,2026,45685,,,'')":4512.4795,"BA-US^FE_ESTIMATE(NET_INC_REP,MEAN,ANN_ROLL,2025,45685,,,'')":1835.2672,"BA-US^FE_ESTIMATE(NET_INC_REP,MEAN,ANN_ROLL,2024,45685,,,'')":-11875.0,"BA-US^FE_ESTIMATE(NET_INC_REP,MEAN,ANN_ROLL,2023,45685,,,'')":-2222.0,"BA-US^FE_ESTIMATE(NET_INC_REP,MEAN,ANN_ROLL,2022,45685,,,'')":-4935.0,"BA-US^FE_ESTIMATE(NET_INC_REP,MEAN,ANN_ROLL,2021,45685,,,'')":-4202.0,"BA-US^FE_ESTIMATE(PTX_INC_REP,MEAN,ANN_ROLL,2027,45685,,,'')":null,"BA-US^FE_ESTIMATE(PTX_INC_REP,MEAN,ANN_ROLL,2026,45685,,,'')":1196.0,"BA-US^FE_ESTIMATE(PTX_INC_REP,MEAN,ANN_ROLL,2025,45685,,,'')":-816.0,"BA-US^FE_ESTIMATE(PTX_INC_REP,MEAN,ANN_ROLL,2024,45685,,,'')":-12383.0,"BA-US^FE_ESTIMATE(PTX_INC_REP,MEAN,ANN_ROLL,2023,45685,,,'')":-2005.0,"BA-US^FE_ESTIMATE(PTX_INC_REP,MEAN,ANN_ROLL,2022,45685,,,'')":-5022.0,"BA-US^FE_ESTIMATE(PTX_INC_REP,MEAN,ANN_ROLL,2021,45685,,,'')":-6158.0,"BA-US^FE_ESTIMATE(EBITDA_REP,MEAN,ANN_ROLL,2027,45685,,,'')":12409.63,"BA-US^FE_ESTIMATE(EBITDA_REP,MEAN,ANN_ROLL,2026,45685,,,'')":9084.878,"BA-US^FE_ESTIMATE(EBITDA_REP,MEAN,ANN_ROLL,2025,45685,,,'')":5213.1533,"BA-US^FE_ESTIMATE(EBITDA_REP,MEAN,ANN_ROLL,2024,45685,,,'')":-6936.5977,"BA-US^FE_ESTIMATE(EBITDA_REP,MEAN,ANN_ROLL,2023,45685,,,'')":1085.1666,"BA-US^FE_ESTIMATE(EBITDA_REP,MEAN,ANN_ROLL,2022,45685,,,'')":-1599.0416,"BA-US^FE_ESTIMATE(EBITDA_REP,MEAN,ANN_ROLL,2021,45685,,,'')":-747.6,"BA-US^FE_ESTIMATE(EPS,MEAN,ANN_ROLL,2027,45685,,,'')":7.107987,"BA-US^FE_ESTIMATE(EPS,MEAN,ANN_ROLL,2026,45685,,,'')":4.6221275,"BA-US^FE_ESTIMATE(EPS,MEAN,ANN_ROLL,2025,45685,,,'')":1.0189269,"BA-US^FE_ESTIMATE(EPS,MEAN,ANN_ROLL,2024,45685,,,'')":-20.38,"BA-US^FE_ESTIMATE(EPS,MEAN,ANN_ROLL,2023,45685,,,'')":-5.81,"BA-US^FE_ESTIMATE(EPS,MEAN,ANN_ROLL,2022,45685,,,'')":-11.06,"BA-US^FE_ESTIMATE(EPS,MEAN,ANN_ROLL,2021,45685,,,'')":-9.44,"BA-US^FE_ESTIMATE(NET_INC,MEAN,ANN_ROLL,2027,45685,,,'')":6740.9854,"BA-US^FE_ESTIMATE(NET_INC,MEAN,ANN_ROLL,2026,45685,,,'')":4402.6772,"BA-US^FE_ESTIMATE(NET_INC,MEAN,ANN_ROLL,2025,45685,,,'')":1784.2145,"BA-US^FE_ESTIMATE(NET_INC,MEAN,ANN_ROLL,2024,45685,,,'')":-11875.0,"BA-US^FE_ESTIMATE(NET_INC,MEAN,ANN_ROLL,2023,45685,,,'')":-2222.0,"BA-US^FE_ESTIMATE(NET_INC,MEAN,ANN_ROLL,2022,45685,,,'')":-4935.0,"BA-US^FE_ESTIMATE(NET_INC,MEAN,ANN_ROLL,2021,45685,,,'')":-4202.0,"BA-US^FE_VALUATION(TAX_RATE,MEAN,ANN_ROLL,2027,45685,,,'')/100":0.0014663917,"BA-US^FE_VALUATION(TAX_RATE,MEAN,ANN_ROLL,2026,45685,,,'')/100":0.0013640636,"BA-US^FE_VALUATION(TAX_RATE,MEAN,ANN_ROLL,2025,45685,,,'')/100":0.000904538,"BA-US^FE_VALUATION(TAX_RATE,MEAN,ANN_ROLL,2024,45685,,,'')/100":0.0003617041,"BA-US^FE_VALUATION(TAX_RATE,MEAN,ANN_ROLL,2023,45685,,,'')/100":-0.0012102099,"BA-US^FE_VALUATION(TAX_RATE,MEAN,ANN_ROLL,2022,45685,,,'')/100":3.8287817E-06,"BA-US^FE_VALUATION(TAX_RATE,MEAN,ANN_ROLL,2021,45685,,,'')/100":0.0014517867,"BA-US^FE_ESTIMATE(INC_TAX,MEAN,ANN_ROLL,2027,45685,,,'')":1191.0,"BA-US^FE_ESTIMATE(INC_TAX,MEAN,ANN_ROLL,2026,45685,,,'')":718.3333,"BA-US^FE_ESTIMATE(INC_TAX,MEAN,ANN_ROLL,2025,45685,,,'')":192.53847,"BA-US^FE_ESTIMATE(INC_TAX,MEAN,ANN_ROLL,2024,45685,,,'')":-388.0,"BA-US^FE_ESTIMATE(INC_TAX,MEAN,ANN_ROLL,2023,45685,,,'')":232.16667,"BA-US^FE_ESTIMATE(INC_TAX,MEAN,ANN_ROLL,2022,45685,,,'')":-1.9166666,"BA-US^FE_ESTIMATE(INC_TAX,MEAN,ANN_ROLL,2021,45685,,,'')":-743.0,"BA-US^FE_ESTIMATE(PTX_INC,MEAN,ANN_ROLL,2027,45685,,,'')":8121.977,"BA-US^FE_ESTIMATE(PTX_INC,MEAN,ANN_ROLL,2026,45685,,,'')":5266.1274,"BA-US^FE_ESTIMATE(PTX_INC,MEAN,ANN_ROLL,2025,45685,,,'')":2128.5835,"BA-US^FE_ESTIMATE(PTX_INC,MEAN,ANN_ROLL,2024,45685,,,'')":-10727.001,"BA-US^FE_ESTIMATE(PTX_INC,MEAN,ANN_ROLL,2023,45685,,,'')":-1918.4,"BA-US^FE_ESTIMATE(PTX_INC,MEAN,ANN_ROLL,2022,45685,,,'')":-5005.9443,"BA-US^FE_ESTIMATE(PTX_INC,MEAN,ANN_ROLL,2021,45685,,,'')":-5117.8315,"BA-US^FE_ESTIMATE(INT_EXP,MEAN,ANN_ROLL,2027,45685,,,'')":2441.6,"BA-US^FE_ESTIMATE(INT_EXP,MEAN,ANN_ROLL,2026,45685,,,'')":2689.5227,"BA-US^FE_ESTIMATE(INT_EXP,MEAN,ANN_ROLL,2025,45685,,,'')":2828.75,"BA-US^FE_ESTIMATE(INT_EXP,MEAN,ANN_ROLL,2024,45685,,,'')":2709.5833,"BA-US^FE_ESTIMATE(INT_EXP,MEAN,ANN_ROLL,2023,45685,,,'')":2459.0,"BA-US^FE_ESTIMATE(INT_EXP,MEAN,ANN_ROLL,2022,45685,,,'')":2533.0,"BA-US^FE_ESTIMATE(INT_EXP,MEAN,ANN_ROLL,2021,45685,,,'')":2682.0,"BA-US^FE_ESTIMATE(EBIT,MEAN,ANN_ROLL,2027,45685,,,'')":9101.872,"BA-US^FE_ESTIMATE(EBIT,MEAN,ANN_ROLL,2026,45685,,,'')":6833.674,"BA-US^FE_ESTIMATE(EBIT,MEAN,ANN_ROLL,2025,45685,,,'')":4236.783,"BA-US^FE_ESTIMATE(EBIT,MEAN,ANN_ROLL,2024,45685,,,'')":-8744.026,"BA-US^FE_ESTIMATE(EBIT,MEAN,ANN_ROLL,2023,45685,,,'')":-775.0,"BA-US^FE_ESTIMATE(EBIT,MEAN,ANN_ROLL,2022,45685,,,'')":-3547.0,"BA-US^FE_ESTIMATE(EBIT,MEAN,ANN_ROLL,2021,45685,,,'')":-2896.4656,"BA-US^FE_ESTIMATE(DEP_AMORT_EXP,MEAN,ANN_ROLL,2027,45685,,,'')":2274.4,"BA-US^FE_ESTIMATE(DEP_AMORT_EXP,MEAN,ANN_ROLL,2026,45685,,,'')":2041.0,"BA-US^FE_ESTIMATE(DEP_AMORT_EXP,MEAN,ANN_ROLL,2025,45685,,,'')":1894.5454,"BA-US^FE_ESTIMATE(DEP_AMORT_EXP,MEAN,ANN_ROLL,2024,45685,,,'')":1769.8,"BA-US^FE_ESTIMATE(DEP_AMORT_EXP,MEAN,ANN_ROLL,2023,45685,,,'')":1861.0,"BA-US^FE_ESTIMATE(DEP_AMORT_EXP,MEAN,ANN_ROLL,2022,45685,,,'')":1951.7778,"BA-US^FE_ESTIMATE(DEP_AMORT_EXP,MEAN,ANN_ROLL,2021,45685,,,'')":2154.889,"BA-US^FE_ESTIMATE(EBITDAR,MEAN,ANN_ROLL,2027,45685,,,'')":null,"BA-US^FE_ESTIMATE(EBITDAR,MEAN,ANN_ROLL,2026,45685,,,'')":null,"BA-US^FE_ESTIMATE(EBITDAR,MEAN,ANN_ROLL,2025,45685,,,'')":null,"BA-US^FE_ESTIMATE(EBITDAR,MEAN,ANN_ROLL,2024,45685,,,'')":null,"BA-US^FE_ESTIMATE(EBITDAR,MEAN,ANN_ROLL,2023,45685,,,'')":null,"BA-US^FE_ESTIMATE(EBITDAR,MEAN,ANN_ROLL,2022,45685,,,'')":null,"BA-US^FE_ESTIMATE(EBITDAR,MEAN,ANN_ROLL,2021,45685,,,'')":null,"BA-US^FE_ESTIMATE(OPER_EXP,MEAN,ANN_ROLL,2027,45685,,,'')":null,"BA-US^FE_ESTIMATE(OPER_EXP,MEAN,ANN_ROLL,2026,45685,,,'')":null,"BA-US^FE_ESTIMATE(OPER_EXP,MEAN,ANN_ROLL,2025,45685,,,'')":null,"BA-US^FE_ESTIMATE(OPER_EXP,MEAN,ANN_ROLL,2024,45685,,,'')":null,"BA-US^FE_ESTIMATE(OPER_EXP,MEAN,ANN_ROLL,2023,45685,,,'')":null,"BA-US^FE_ESTIMATE(OPER_EXP,MEAN,ANN_ROLL,2022,45685,,,'')":null,"BA-US^FE_ESTIMATE(OPER_EXP,MEAN,ANN_ROLL,2021,45685,,,'')":null,"BA-US^FE_ESTIMATE(RD_EXP,MEAN,ANN_ROLL,2027,45685,,,'')":3860.6667,"BA-US^FE_ESTIMATE(RD_EXP,MEAN,ANN_ROLL,2026,45685,,,'')":3817.4,"BA-US^FE_ESTIMATE(RD_EXP,MEAN,ANN_ROLL,2025,45685,,,'')":3996.3333,"BA-US^FE_ESTIMATE(RD_EXP,MEAN,ANN_ROLL,2024,45685,,,'')":3936.0,"BA-US^FE_ESTIMATE(RD_EXP,MEAN,ANN_ROLL,2023,45685,,,'')":3200.25,"BA-US^FE_ESTIMATE(RD_EXP,MEAN,ANN_ROLL,2022,45685,,,'')":2825.3333,"BA-US^FE_ESTIMATE(RD_EXP,MEAN,ANN_ROLL,2021,45685,,,'')":2249.0,"BA-US^FE_ESTIMATE(G_A_EXP,MEAN,ANN_ROLL,2027,45685,,,'')":6997.0,"BA-US^FE_ESTIMATE(G_A_EXP,MEAN,ANN_ROLL,2026,45685,,,'')":5540.6,"BA-US^FE_ESTIMATE(G_A_EXP,MEAN,ANN_ROLL,2025,45685,,,'')":4968.2,"BA-US^FE_ESTIMATE(G_A_EXP,MEAN,ANN_ROLL,2024,45685,,,'')":4654.0,"BA-US^FE_ESTIMATE(G_A_EXP,MEAN,ANN_ROLL,2023,45685,,,'')":4654.0,"BA-US^FE_ESTIMATE(G_A_EXP,MEAN,ANN_ROLL,2022,45685,,,'')":4056.0,"BA-US^FE_ESTIMATE(G_A_EXP,MEAN,ANN_ROLL,2021,45685,,,'')":4157.0,"BA-US^FE_ESTIMATE(SGA,MEAN,ANN_ROLL,2027,45685,,,'')":6430.0,"BA-US^FE_ESTIMATE(SGA,MEAN,ANN_ROLL,2026,45685,,,'')":6041.499,"BA-US^FE_ESTIMATE(SGA,MEAN,ANN_ROLL,2025,45685,,,'')":5481.5435,"BA-US^FE_ESTIMATE(SGA,MEAN,ANN_ROLL,2024,45685,,,'')":4884.7646,"BA-US^FE_ESTIMATE(SGA,MEAN,ANN_ROLL,2023,45685,,,'')":5168.0,"BA-US^FE_ESTIMATE(SGA,MEAN,ANN_ROLL,2022,45685,,,'')":4187.0,"BA-US^FE_ESTIMATE(SGA,MEAN,ANN_ROLL,2021,45685,,,'')":4157.0,"BA-US^FE_VALUATION(GROSS_MARGIN,MEAN,ANN_ROLL,2027,45685,,,'')/100":0.21170239,"BA-US^FE_VALUATION(GROSS_MARGIN,MEAN,ANN_ROLL,2026,45685,,,'')/100":0.16991788,"BA-US^FE_VALUATION(GROSS_MARGIN,MEAN,ANN_ROLL,2025,45685,,,'')/100":0.15362,"BA-US^FE_VALUATION(GROSS_MARGIN,MEAN,ANN_ROLL,2024,45685,,,'')/100":0.021017184,"BA-US^FE_VALUATION(GROSS_MARGIN,MEAN,ANN_ROLL,2023,45685,,,'')/100":0.104326814,"BA-US^FE_VALUATION(GROSS_MARGIN,MEAN,ANN_ROLL,2022,45685,,,'')/100":0.05598427,"BA-US^FE_VALUATION(GROSS_MARGIN,MEAN,ANN_ROLL,2021,45685,,,'')/100":0.054560147,"BA-US^FE_ESTIMATE(GROSS_INC,MEAN,ANN_ROLL,2027,45685,,,'')":23004.0,"BA-US^FE_ESTIMATE(GROSS_INC,MEAN,ANN_ROLL,2026,45685,,,'')":16536.5,"BA-US^FE_ESTIMATE(GROSS_INC,MEAN,ANN_ROLL,2025,45685,,,'')":13037.833,"BA-US^FE_ESTIMATE(GROSS_INC,MEAN,ANN_ROLL,2024,45685,,,'')":1398.0,"BA-US^FE_ESTIMATE(GROSS_INC,MEAN,ANN_ROLL,2023,45685,,,'')":8116.0,"BA-US^FE_ESTIMATE(GROSS_INC,MEAN,ANN_ROLL,2022,45685,,,'')":3729.0,"BA-US^FE_ESTIMATE(GROSS_INC,MEAN,ANN_ROLL,2021,45685,,,'')":3398.3333,"BA-US^FE_ESTIMATE(COS,MEAN,ANN_ROLL,2027,45685,,,'')":89436.5,"BA-US^FE_ESTIMATE(COS,MEAN,ANN_ROLL,2026,45685,,,'')":80124.0,"BA-US^FE_ESTIMATE(COS,MEAN,ANN_ROLL,2025,45685,,,'')":69368.93,"BA-US^FE_ESTIMATE(COS,MEAN,ANN_ROLL,2024,45685,,,'')":66887.18,"BA-US^FE_ESTIMATE(COS,MEAN,ANN_ROLL,2023,45685,,,'')":68810.37,"BA-US^FE_ESTIMATE(COS,MEAN,ANN_ROLL,2022,45685,,,'')":61865.25,"BA-US^FE_ESTIMATE(COS,MEAN,ANN_ROLL,2021,45685,,,'')":58749.145,"BA-US^FE_ESTIMATE(SALES,MEAN,ANN_ROLL,2027,45685,,,'')":108661.98,"BA-US^FE_ESTIMATE(SALES,MEAN,ANN_ROLL,2026,45685,,,'')":97320.53,"BA-US^FE_ESTIMATE(SALES,MEAN,ANN_ROLL,2025,45685,,,'')":84870.67,"BA-US^FE_ESTIMATE(SALES,MEAN,ANN_ROLL,2024,45685,,,'')":66517.0,"BA-US^FE_ESTIMATE(SALES,MEAN,ANN_ROLL,2023,45685,,,'')":77794.0,"BA-US^FE_ESTIMATE(SALES,MEAN,ANN_ROLL,2022,45685,,,'')":66608.0,"BA-US^FE_ESTIMATE(SALES,MEAN,ANN_ROLL,2021,45685,,,'')":62286.0,"BA-US^FE_ESTIMATE(EBITDA,MEAN,ANN_ROLL,2021,45685,,,'')":-748.5376,"BA-US^FE_ESTIMATE(FCFPS,MEAN,ANN_ROLL,2027,45750,,,'')":12.120003,"BA-US^FE_ESTIMATE(FCFPS,MEAN,ANN_ROLL,2026,45750,,,'')":7.626355,"BA-US^FE_ESTIMATE(FCFPS,MEAN,ANN_ROLL,2025,45750,,,'')":-5.465026,"BA-US^FE_ESTIMATE(FCFPS,MEAN,ANN_ROLL,2024,45750,,,'')":-22.351063,"BA-US^FE_ESTIMATE(FCFPS,MEAN,ANN_ROLL,2023,45750,,,'')":7.203665,"BA-US^FE_ESTIMATE(FCFPS,MEAN,ANN_ROLL,2022,45750,,,'')":4.023713,"BA-US^FE_ESTIMATE(FCFPS,MEAN,ANN_ROLL,2021,45750,,,'')":-6.8795238,"BA-US^FE_ESTIMATE(FCF,MEAN,ANN_ROLL,2027,45750,,,'')":9579.618,"BA-US^FE_ESTIMATE(FCF,MEAN,ANN_ROLL,2026,45750,,,'')":5037.6274,"BA-US^FE_ESTIMATE(FCF,MEAN,ANN_ROLL,2025,45750,,,'')":-4634.7354,"BA-US^FE_ESTIMATE(FCF,MEAN,ANN_ROLL,2024,45750,,,'')":-14310.0,"BA-US^FE_ESTIMATE(FCF,MEAN,ANN_ROLL,2023,45750,,,'')":4433.0,"BA-US^FE_ESTIMATE(FCF,MEAN,ANN_ROLL,2022,45750,,,'')":2290.0,"BA-US^FE_ESTIMATE(FCF,MEAN,ANN_ROLL,2021,45750,,,'')":-3560.0,"BA-US^FE_ESTIMATE(DPS,MEAN,ANN_ROLL,2027,45750,,,'')":0.22019528,"BA-US^FE_ESTIMATE(DPS,MEAN,ANN_ROLL,2026,45750,,,'')":0.07590579,"BA-US^FE_ESTIMATE(DPS,MEAN,ANN_ROLL,2025,45750,,,'')":0.077130914,"BA-US^FE_ESTIMATE(DPS,MEAN,ANN_ROLL,2024,45750,,,'')":0.0,"BA-US^FE_ESTIMATE(DPS,MEAN,ANN_ROLL,2023,45750,,,'')":0.0,"BA-US^FE_ESTIMATE(DPS,MEAN,ANN_ROLL,2022,45750,,,'')":0.0,"BA-US^FE_ESTIMATE(DPS,MEAN,ANN_ROLL,2021,45750,,,'')":0.0,"BA-US^FE_ESTIMATE(EPS_GAAP,MEAN,ANN_ROLL,2027,45750,,,'')":8.276285,"BA-US^FE_ESTIMATE(EPS_GAAP,MEAN,ANN_ROLL,2026,45750,,,'')":5.2199063,"BA-US^FE_ESTIMATE(EPS_GAAP,MEAN,ANN_ROLL,2025,45750,,,'')":0.5934048,"BA-US^FE_ESTIMATE(EPS_GAAP,MEAN,ANN_ROLL,2024,45750,,,'')":-18.36,"BA-US^FE_ESTIMATE(EPS_GAAP,MEAN,ANN_ROLL,2023,45750,,,'')":-3.67,"BA-US^FE_ESTIMATE(EPS_GAAP,MEAN,ANN_ROLL,2022,45750,,,'')":-8.3,"BA-US^FE_ESTIMATE(EPS_GAAP,MEAN,ANN_ROLL,2021,45750,,,'')":-7.15,"BA-US^FE_ESTIMATE(NET_INC_REP,MEAN,ANN_ROLL,2027,45750,,,'')":6897.64,"BA-US^FE_ESTIMATE(NET_INC_REP,MEAN,ANN_ROLL,2026,45750,,,'')":3860.0159,"BA-US^FE_ESTIMATE(NET_INC_REP,MEAN,ANN_ROLL,2025,45750,,,'')":-37.566185,"BA-US^FE_ESTIMATE(NET_INC_REP,MEAN,ANN_ROLL,2024,45750,,,'')":-11875.0,"BA-US^FE_ESTIMATE(NET_INC_REP,MEAN,ANN_ROLL,2023,45750,,,'')":-2222.0,"BA-US^FE_ESTIMATE(NET_INC_REP,MEAN,ANN_ROLL,2022,45750,,,'')":-4935.0,"BA-US^FE_ESTIMATE(NET_INC_REP,MEAN,ANN_ROLL,2021,45750,,,'')":-4202.0,"BA-US^FE_ESTIMATE(PTX_INC_REP,MEAN,ANN_ROLL,2027,45750,,,'')":null,"BA-US^FE_ESTIMATE(PTX_INC_REP,MEAN,ANN_ROLL,2026,45750,,,'')":1314.9187,"BA-US^FE_ESTIMATE(PTX_INC_REP,MEAN,ANN_ROLL,2025,45750,,,'')":-941.30396,"BA-US^FE_ESTIMATE(PTX_INC_REP,MEAN,ANN_ROLL,2024,45750,,,'')":-12210.0,"BA-US^FE_ESTIMATE(PTX_INC_REP,MEAN,ANN_ROLL,2023,45750,,,'')":-2005.0,"BA-US^FE_ESTIMATE(PTX_INC_REP,MEAN,ANN_ROLL,2022,45750,,,'')":-5022.0,"BA-US^FE_ESTIMATE(PTX_INC_REP,MEAN,ANN_ROLL,2021,45750,,,'')":-6158.0,"BA-US^FE_ESTIMATE(EBITDA_REP,MEAN,ANN_ROLL,2027,45750,,,'')":11942.654,"BA-US^FE_ESTIMATE(EBITDA_REP,MEAN,ANN_ROLL,2026,45750,,,'')":8849.986,"BA-US^FE_ESTIMATE(EBITDA_REP,MEAN,ANN_ROLL,2025,45750,,,'')":4656.272,"BA-US^FE_ESTIMATE(EBITDA_REP,MEAN,ANN_ROLL,2024,45750,,,'')":-8930.614,"BA-US^FE_ESTIMATE(EBITDA_REP,MEAN,ANN_ROLL,2023,45750,,,'')":1085.1666,"BA-US^FE_ESTIMATE(EBITDA_REP,MEAN,ANN_ROLL,2022,45750,,,'')":-1599.0416,"BA-US^FE_ESTIMATE(EBITDA_REP,MEAN,ANN_ROLL,2021,45750,,,'')":-747.6,"BA-US^FE_ESTIMATE(EPS,MEAN,ANN_ROLL,2027,45750,,,'')":7.391456,"BA-US^FE_ESTIMATE(EPS,MEAN,ANN_ROLL,2026,45750,,,'')":3.8721733,"BA-US^FE_ESTIMATE(EPS,MEAN,ANN_ROLL,2025,45750,,,'')":-1.079899,"BA-US^FE_ESTIMATE(EPS,MEAN,ANN_ROLL,2024,45750,,,'')":-20.38,"BA-US^FE_ESTIMATE(EPS,MEAN,ANN_ROLL,2023,45750,,,'')":-5.81,"BA-US^FE_ESTIMATE(EPS,MEAN,ANN_ROLL,2022,45750,,,'')":-11.06,"BA-US^FE_ESTIMATE(EPS,MEAN,ANN_ROLL,2021,45750,,,'')":-9.44,"BA-US^FE_ESTIMATE(NET_INC,MEAN,ANN_ROLL,2027,45750,,,'')":6897.64,"BA-US^FE_ESTIMATE(NET_INC,MEAN,ANN_ROLL,2026,45750,,,'')":3860.0159,"BA-US^FE_ESTIMATE(NET_INC,MEAN,ANN_ROLL,2025,45750,,,'')":-37.566185,"BA-US^FE_ESTIMATE(NET_INC,MEAN,ANN_ROLL,2024,45750,,,'')":-11875.0,"BA-US^FE_ESTIMATE(NET_INC,MEAN,ANN_ROLL,2023,45750,,,'')":-2222.0,"BA-US^FE_ESTIMATE(NET_INC,MEAN,ANN_ROLL,2022,45750,,,'')":-4935.0,"BA-US^FE_ESTIMATE(NET_INC,MEAN,ANN_ROLL,2021,45750,,,'')":-4202.0,"BA-US^FE_VALUATION(TAX_RATE,MEAN,ANN_ROLL,2027,45750,,,'')/100":0.0014022734,"BA-US^FE_VALUATION(TAX_RATE,MEAN,ANN_ROLL,2026,45750,,,'')/100":0.0014727497,"BA-US^FE_VALUATION(TAX_RATE,MEAN,ANN_ROLL,2025,45750,,,'')/100":0.0022363872,"BA-US^FE_VALUATION(TAX_RATE,MEAN,ANN_ROLL,2024,45750,,,'')/100":0.0003383907,"BA-US^FE_VALUATION(TAX_RATE,MEAN,ANN_ROLL,2023,45750,,,'')/100":-0.0012102099,"BA-US^FE_VALUATION(TAX_RATE,MEAN,ANN_ROLL,2022,45750,,,'')/100":3.8287817E-06,"BA-US^FE_VALUATION(TAX_RATE,MEAN,ANN_ROLL,2021,45750,,,'')/100":0.0014517867,"BA-US^FE_ESTIMATE(INC_TAX,MEAN,ANN_ROLL,2027,45750,,,'')":1185.2858,"BA-US^FE_ESTIMATE(INC_TAX,MEAN,ANN_ROLL,2026,45750,,,'')":728.10315,"BA-US^FE_ESTIMATE(INC_TAX,MEAN,ANN_ROLL,2025,45750,,,'')":156.7001,"BA-US^FE_ESTIMATE(INC_TAX,MEAN,ANN_ROLL,2024,45750,,,'')":-412.54544,"BA-US^FE_ESTIMATE(INC_TAX,MEAN,ANN_ROLL,2023,45750,,,'')":232.16667,"BA-US^FE_ESTIMATE(INC_TAX,MEAN,ANN_ROLL,2022,45750,,,'')":-1.9166666,"BA-US^FE_ESTIMATE(INC_TAX,MEAN,ANN_ROLL,2021,45750,,,'')":-743.0,"BA-US^FE_ESTIMATE(PTX_INC,MEAN,ANN_ROLL,2027,45750,,,'')":8452.601,"BA-US^FE_ESTIMATE(PTX_INC,MEAN,ANN_ROLL,2026,45750,,,'')":4943.835,"BA-US^FE_ESTIMATE(PTX_INC,MEAN,ANN_ROLL,2025,45750,,,'')":700.68414,"BA-US^FE_ESTIMATE(PTX_INC,MEAN,ANN_ROLL,2024,45750,,,'')":-12191.395,"BA-US^FE_ESTIMATE(PTX_INC,MEAN,ANN_ROLL,2023,45750,,,'')":-1918.4,"BA-US^FE_ESTIMATE(PTX_INC,MEAN,ANN_ROLL,2022,45750,,,'')":-5005.9443,"BA-US^FE_ESTIMATE(PTX_INC,MEAN,ANN_ROLL,2021,45750,,,'')":-5117.8315,"BA-US^FE_ESTIMATE(INT_EXP,MEAN,ANN_ROLL,2027,45750,,,'')":2379.4,"BA-US^FE_ESTIMATE(INT_EXP,MEAN,ANN_ROLL,2026,45750,,,'')":2789.545,"BA-US^FE_ESTIMATE(INT_EXP,MEAN,ANN_ROLL,2025,45750,,,'')":2876.77,"BA-US^FE_ESTIMATE(INT_EXP,MEAN,ANN_ROLL,2024,45750,,,'')":2725.0,"BA-US^FE_ESTIMATE(INT_EXP,MEAN,ANN_ROLL,2023,45750,,,'')":2459.0,"BA-US^FE_ESTIMATE(INT_EXP,MEAN,ANN_ROLL,2022,45750,,,'')":2533.0,"BA-US^FE_ESTIMATE(INT_EXP,MEAN,ANN_ROLL,2021,45750,,,'')":2682.0,"BA-US^FE_ESTIMATE(EBIT,MEAN,ANN_ROLL,2027,45750,,,'')":9370.321,"BA-US^FE_ESTIMATE(EBIT,MEAN,ANN_ROLL,2026,45750,,,'')":6469.8403,"BA-US^FE_ESTIMATE(EBIT,MEAN,ANN_ROLL,2025,45750,,,'')":2543.9258,"BA-US^FE_ESTIMATE(EBIT,MEAN,ANN_ROLL,2024,45750,,,'')":-10864.9,"BA-US^FE_ESTIMATE(EBIT,MEAN,ANN_ROLL,2023,45750,,,'')":-775.0,"BA-US^FE_ESTIMATE(EBIT,MEAN,ANN_ROLL,2022,45750,,,'')":-3547.0,"BA-US^FE_ESTIMATE(EBIT,MEAN,ANN_ROLL,2021,45750,,,'')":-2896.4656,"BA-US^FE_ESTIMATE(DEP_AMORT_EXP,MEAN,ANN_ROLL,2027,45750,,,'')":2267.8,"BA-US^FE_ESTIMATE(DEP_AMORT_EXP,MEAN,ANN_ROLL,2026,45750,,,'')":2152.5115,"BA-US^FE_ESTIMATE(DEP_AMORT_EXP,MEAN,ANN_ROLL,2025,45750,,,'')":1995.0417,"BA-US^FE_ESTIMATE(DEP_AMORT_EXP,MEAN,ANN_ROLL,2024,45750,,,'')":1808.625,"BA-US^FE_ESTIMATE(DEP_AMORT_EXP,MEAN,ANN_ROLL,2023,45750,,,'')":1861.0,"BA-US^FE_ESTIMATE(DEP_AMORT_EXP,MEAN,ANN_ROLL,2022,45750,,,'')":1951.7778,"BA-US^FE_ESTIMATE(DEP_AMORT_EXP,MEAN,ANN_ROLL,2021,45750,,,'')":2154.889,"BA-US^FE_ESTIMATE(EBITDAR,MEAN,ANN_ROLL,2027,45750,,,'')":null,"BA-US^FE_ESTIMATE(EBITDAR,MEAN,ANN_ROLL,2026,45750,,,'')":null,"BA-US^FE_ESTIMATE(EBITDAR,MEAN,ANN_ROLL,2025,45750,,,'')":null,"BA-US^FE_ESTIMATE(EBITDAR,MEAN,ANN_ROLL,2024,45750,,,'')":null,"BA-US^FE_ESTIMATE(EBITDAR,MEAN,ANN_ROLL,2023,45750,,,'')":null,"BA-US^FE_ESTIMATE(EBITDAR,MEAN,ANN_ROLL,2022,45750,,,'')":null,"BA-US^FE_ESTIMATE(EBITDAR,MEAN,ANN_ROLL,2021,45750,,,'')":null,"BA-US^FE_ESTIMATE(OPER_EXP,MEAN,ANN_ROLL,2027,45750,,,'')":null,"BA-US^FE_ESTIMATE(OPER_EXP,MEAN,ANN_ROLL,2026,45750,,,'')":null,"BA-US^FE_ESTIMATE(OPER_EXP,MEAN,ANN_ROLL,2025,45750,,,'')":null,"BA-US^FE_ESTIMATE(OPER_EXP,MEAN,ANN_ROLL,2024,45750,,,'')":null,"BA-US^FE_ESTIMATE(OPER_EXP,MEAN,ANN_ROLL,2023,45750,,,'')":null,"BA-US^FE_ESTIMATE(OPER_EXP,MEAN,ANN_ROLL,2022,45750,,,'')":null,"BA-US^FE_ESTIMATE(OPER_EXP,MEAN,ANN_ROLL,2021,45750,,,'')":null,"BA-US^FE_ESTIMATE(RD_EXP,MEAN,ANN_ROLL,2027,45750,,,'')":3408.3333,"BA-US^FE_ESTIMATE(RD_EXP,MEAN,ANN_ROLL,2026,45750,,,'')":3579.6,"BA-US^FE_ESTIMATE(RD_EXP,MEAN,ANN_ROLL,2025,45750,,,'')":3856.6,"BA-US^FE_ESTIMATE(RD_EXP,MEAN,ANN_ROLL,2024,45750,,,'')":3773.2,"BA-US^FE_ESTIMATE(RD_EXP,MEAN,ANN_ROLL,2023,45750,,,'')":3200.25,"BA-US^FE_ESTIMATE(RD_EXP,MEAN,ANN_ROLL,2022,45750,,,'')":2825.3333,"BA-US^FE_ESTIMATE(RD_EXP,MEAN,ANN_ROLL,2021,45750,,,'')":2249.0,"BA-US^FE_ESTIMATE(G_A_EXP,MEAN,ANN_ROLL,2027,45750,,,'')":8022.0,"BA-US^FE_ESTIMATE(G_A_EXP,MEAN,ANN_ROLL,2026,45750,,,'')":5756.3335,"BA-US^FE_ESTIMATE(G_A_EXP,MEAN,ANN_ROLL,2025,45750,,,'')":5003.3335,"BA-US^FE_ESTIMATE(G_A_EXP,MEAN,ANN_ROLL,2024,45750,,,'')":5021.0,"BA-US^FE_ESTIMATE(G_A_EXP,MEAN,ANN_ROLL,2023,45750,,,'')":4654.0,"BA-US^FE_ESTIMATE(G_A_EXP,MEAN,ANN_ROLL,2022,45750,,,'')":4056.0,"BA-US^FE_ESTIMATE(G_A_EXP,MEAN,ANN_ROLL,2021,45750,,,'')":4157.0,"BA-US^FE_ESTIMATE(SGA,MEAN,ANN_ROLL,2027,45750,,,'')":6389.5,"BA-US^FE_ESTIMATE(SGA,MEAN,ANN_ROLL,2026,45750,,,'')":6106.5923,"BA-US^FE_ESTIMATE(SGA,MEAN,ANN_ROLL,2025,45750,,,'')":5636.7163,"BA-US^FE_ESTIMATE(SGA,MEAN,ANN_ROLL,2024,45750,,,'')":5021.0,"BA-US^FE_ESTIMATE(SGA,MEAN,ANN_ROLL,2023,45750,,,'')":5168.0,"BA-US^FE_ESTIMATE(SGA,MEAN,ANN_ROLL,2022,45750,,,'')":4187.0,"BA-US^FE_ESTIMATE(SGA,MEAN,ANN_ROLL,2021,45750,,,'')":4157.0,"BA-US^FE_VALUATION(GROSS_MARGIN,MEAN,ANN_ROLL,2027,45750,,,'')/100":0.22105494,"BA-US^FE_VALUATION(GROSS_MARGIN,MEAN,ANN_ROLL,2026,45750,,,'')/100":0.1703114,"BA-US^FE_VALUATION(GROSS_MARGIN,MEAN,ANN_ROLL,2025,45750,,,'')/100":0.14002255,"BA-US^FE_VALUATION(GROSS_MARGIN,MEAN,ANN_ROLL,2024,45750,,,'')/100":-0.027804922,"BA-US^FE_VALUATION(GROSS_MARGIN,MEAN,ANN_ROLL,2023,45750,,,'')/100":0.104326814,"BA-US^FE_VALUATION(GROSS_MARGIN,MEAN,ANN_ROLL,2022,45750,,,'')/100":0.05598427,"BA-US^FE_VALUATION(GROSS_MARGIN,MEAN,ANN_ROLL,2021,45750,,,'')/100":0.054560147,"BA-US^FE_ESTIMATE(GROSS_INC,MEAN,ANN_ROLL,2027,45750,,,'')":24033.0,"BA-US^FE_ESTIMATE(GROSS_INC,MEAN,ANN_ROLL,2026,45750,,,'')":16679.5,"BA-US^FE_ESTIMATE(GROSS_INC,MEAN,ANN_ROLL,2025,45750,,,'')":11830.2,"BA-US^FE_ESTIMATE(GROSS_INC,MEAN,ANN_ROLL,2024,45750,,,'')":-1849.5,"BA-US^FE_ESTIMATE(GROSS_INC,MEAN,ANN_ROLL,2023,45750,,,'')":8116.0,"BA-US^FE_ESTIMATE(GROSS_INC,MEAN,ANN_ROLL,2022,45750,,,'')":3729.0,"BA-US^FE_ESTIMATE(GROSS_INC,MEAN,ANN_ROLL,2021,45750,,,'')":3398.3333,"BA-US^FE_ESTIMATE(COS,MEAN,ANN_ROLL,2027,45750,,,'')":89763.0,"BA-US^FE_ESTIMATE(COS,MEAN,ANN_ROLL,2026,45750,,,'')":81788.34,"BA-US^FE_ESTIMATE(COS,MEAN,ANN_ROLL,2025,45750,,,'')":73184.125,"BA-US^FE_ESTIMATE(COS,MEAN,ANN_ROLL,2024,45750,,,'')":68124.71,"BA-US^FE_ESTIMATE(COS,MEAN,ANN_ROLL,2023,45750,,,'')":68810.37,"BA-US^FE_ESTIMATE(COS,MEAN,ANN_ROLL,2022,45750,,,'')":61865.25,"BA-US^FE_ESTIMATE(COS,MEAN,ANN_ROLL,2021,45750,,,'')":58749.145,"BA-US^FE_ESTIMATE(SALES,MEAN,ANN_ROLL,2027,45750,,,'')":108719.58,"BA-US^FE_ESTIMATE(SALES,MEAN,ANN_ROLL,2026,45750,,,'')":97935.305,"BA-US^FE_ESTIMATE(SALES,MEAN,ANN_ROLL,2025,45750,,,'')":84487.82,"BA-US^FE_ESTIMATE(SALES,MEAN,ANN_ROLL,2024,45750,,,'')":66517.0,"BA-US^FE_ESTIMATE(SALES,MEAN,ANN_ROLL,2023,45750,,,'')":77794.0,"BA-US^FE_ESTIMATE(SALES,MEAN,ANN_ROLL,2022,45750,,,'')":66608.0,"BA-US^FE_ESTIMATE(SALES,MEAN,ANN_ROLL,2021,45750,,,'')":62286.0,"BA-US^FE_ESTIMATE(EBITDA,MEAN,ANN_ROLL,2021,45750,,,'')":-748.5376,"BA-US^FE_ESTIMATE(FCFPS,MEAN,QTR_ROLL,2025/1F,45750,,,'')":-5.1678243,"BA-US^FE_ESTIMATE(FCF,MEAN,QTR_ROLL,2025/1F,45750,,,'')":-3861.8062,"BA-US^FE_ESTIMATE(CAPEX,MEAN,QTR_ROLL,2025/1F,45750,,,'')":655.89404,"BA-US^FE_ESTIMATE(CF_OP,MEAN,QTR_ROLL,2025/1F,45750,,,'')":-3122.8,"BA-US^FE_ESTIMATE(NET_DEBT,MEAN,QTR_ROLL,2025/1F,45750,,,'')":31280.0,"BA-US^FE_ESTIMATE(DEBT,MEAN,QTR_ROLL,2025/1F,45750,,,'')":53614.0,"BA-US^FE_ESTIMATE(CASH_ST,MEAN,QTR_ROLL,2025/1F,45750,,,'')":11690.333,"BA-US^FE_ESTIMATE(DPS,MEAN,QTR_ROLL,2025/1F,45750,,,'')":0.029971486,"BA-US^FE_ESTIMATE(EPS_GAAP,MEAN,QTR_ROLL,2025/1F,45750,,,'')":-0.50977874,"BA-US^FE_ESTIMATE(NET_INC_REP,MEAN,QTR_ROLL,2025/1F,45750,,,'')":-554.48883,"BA-US^FE_ESTIMATE(PTX_INC_REP,MEAN,QTR_ROLL,2025/1F,45750,,,'')":-337.0,"BA-US^FE_ESTIMATE(EBITDA_REP,MEAN,QTR_ROLL,2025/1F,45750,,,'')":567.0546,"BA-US^FE_ESTIMATE(EPS,MEAN,QTR_ROLL,2025/1F,45750,,,'')":-1.2512381,"BA-US^FE_ESTIMATE(NET_INC,MEAN,QTR_ROLL,2025/1F,45750,,,'')":-554.48883,"BA-US^FE_VALUATION(TAX_RATE,MEAN,QTR_ROLL,2025/1F,45750,,,'')/100":-0.0014271722,"BA-US^FE_ESTIMATE(INC_TAX,MEAN,QTR_ROLL,2025/1F,45750,,,'')":43.272728,"BA-US^FE_ESTIMATE(PTX_INC,MEAN,QTR_ROLL,2025/1F,45750,,,'')":-303.20605,"BA-US^FE_ESTIMATE(INT_EXP,MEAN,QTR_ROLL,2025/1F,45750,,,'')":731.75,"BA-US^FE_ESTIMATE(EBIT,MEAN,QTR_ROLL,2025/1F,45750,,,'')":90.30993,"BA-US^FE_ESTIMATE(DEP_AMORT_EXP,MEAN,QTR_ROLL,2025/1F,45750,,,'')":487.0,"BA-US^FE_ESTIMATE(EBITDA,MEAN,QTR_ROLL,2025/1F,45750,,,'')":567.0546,"BA-US^FE_ESTIMATE(EBITDAR,MEAN,QTR_ROLL,2025/1F,45750,,,'')":null,"BA-US^FE_ESTIMATE(OPER_EXP,MEAN,QTR_ROLL,2025/1F,45750,,,'')":null,"BA-US^FE_ESTIMATE(RD_EXP,MEAN,QTR_ROLL,2025/1F,45750,,,'')":932.4,"BA-US^FE_ESTIMATE(G_A_EXP,MEAN,QTR_ROLL,2025/1F,45750,,,'')":1168.3334,"BA-US^FE_ESTIMATE(SGA,MEAN,QTR_ROLL,2025/1F,45750,,,'')":1316.5,"BA-US^FE_VALUATION(GROSS_MARGIN,MEAN,QTR_ROLL,2025/1F,45750,,,'')/100":0.09977579,"BA-US^FE_ESTIMATE(GROSS_INC,MEAN,QTR_ROLL,2025/1F,45750,,,'')":1955.2,"BA-US^FE_ESTIMATE(COS,MEAN,QTR_ROLL,2025/1F,45750,,,'')":18342.4,"BA-US^FE_ESTIMATE(SALES,MEAN,QTR_ROLL,2025/1F,45750,,,'')":19595.936,"BA-US^FE_ESTIMATE(FCFPS,MEAN,ANN_ROLL,2027,45768,,,'')":12.036439,"BA-US^FE_ESTIMATE(FCFPS,MEAN,ANN_ROLL,2026,45768,,,'')":7.5488043,"BA-US^FE_ESTIMATE(FCFPS,MEAN,ANN_ROLL,2025,45768,,,'')":-5.8162336,"BA-US^FE_ESTIMATE(FCFPS,MEAN,ANN_ROLL,2024,45768,,,'')":-22.351063,"BA-US^FE_ESTIMATE(FCFPS,MEAN,ANN_ROLL,2023,45768,,,'')":7.203665,"BA-US^FE_ESTIMATE(FCFPS,MEAN,ANN_ROLL,2022,45768,,,'')":4.023713,"BA-US^FE_ESTIMATE(FCFPS,MEAN,ANN_ROLL,2021,45768,,,'')":-6.8795238,"BA-US^FE_ESTIMATE(FCF,MEAN,ANN_ROLL,2027,45768,,,'')":9659.246,"BA-US^FE_ESTIMATE(FCF,MEAN,ANN_ROLL,2026,45768,,,'')":4880.5205,"BA-US^FE_ESTIMATE(FCF,MEAN,ANN_ROLL,2025,45768,,,'')":-4862.0186,"BA-US^FE_ESTIMATE(FCF,MEAN,ANN_ROLL,2024,45768,,,'')":-14310.0,"BA-US^FE_ESTIMATE(FCF,MEAN,ANN_ROLL,2023,45768,,,'')":4433.0,"BA-US^FE_ESTIMATE(FCF,MEAN,ANN_ROLL,2022,45768,,,'')":2290.0,"BA-US^FE_ESTIMATE(FCF,MEAN,ANN_ROLL,2021,45768,,,'')":-3560.0,"BA-US^FE_ESTIMATE(DPS,MEAN,ANN_ROLL,2027,45768,,,'')":0.17583956,"BA-US^FE_ESTIMATE(DPS,MEAN,ANN_ROLL,2026,45768,,,'')":0.03961474,"BA-US^FE_ESTIMATE(DPS,MEAN,ANN_ROLL,2025,45768,,,'')":0.04083986,"BA-US^FE_ESTIMATE(DPS,MEAN,ANN_ROLL,2024,45768,,,'')":0.0,"BA-US^FE_ESTIMATE(DPS,MEAN,ANN_ROLL,2023,45768,,,'')":0.0,"BA-US^FE_ESTIMATE(DPS,MEAN,ANN_ROLL,2022,45768,,,'')":0.0,"BA-US^FE_ESTIMATE(DPS,MEAN,ANN_ROLL,2021,45768,,,'')":0.0,"BA-US^FE_ESTIMATE(EPS_GAAP,MEAN,ANN_ROLL,2027,45768,,,'')":8.212589,"BA-US^FE_ESTIMATE(EPS_GAAP,MEAN,ANN_ROLL,2026,45768,,,'')":5.206957,"BA-US^FE_ESTIMATE(EPS_GAAP,MEAN,ANN_ROLL,2025,45768,,,'')":0.29967952,"BA-US^FE_ESTIMATE(EPS_GAAP,MEAN,ANN_ROLL,2024,45768,,,'')":-18.36,"BA-US^FE_ESTIMATE(EPS_GAAP,MEAN,ANN_ROLL,2023,45768,,,'')":-3.67,"BA-US^FE_ESTIMATE(EPS_GAAP,MEAN,ANN_ROLL,2022,45768,,,'')":-8.3,"BA-US^FE_ESTIMATE(EPS_GAAP,MEAN,ANN_ROLL,2021,45768,,,'')":-7.15,"BA-US^FE_ESTIMATE(NET_INC_REP,MEAN,ANN_ROLL,2027,45768,,,'')":6871.7217,"BA-US^FE_ESTIMATE(NET_INC_REP,MEAN,ANN_ROLL,2026,45768,,,'')":3944.3955,"BA-US^FE_ESTIMATE(NET_INC_REP,MEAN,ANN_ROLL,2025,45768,,,'')":132.12473,"BA-US^FE_ESTIMATE(NET_INC_REP,MEAN,ANN_ROLL,2024,45768,,,'')":-11875.0,"BA-US^FE_ESTIMATE(NET_INC_REP,MEAN,ANN_ROLL,2023,45768,,,'')":-2222.0,"BA-US^FE_ESTIMATE(NET_INC_REP,MEAN,ANN_ROLL,2022,45768,,,'')":-4935.0,"BA-US^FE_ESTIMATE(NET_INC_REP,MEAN,ANN_ROLL,2021,45768,,,'')":-4202.0,"BA-US^FE_ESTIMATE(PTX_INC_REP,MEAN,ANN_ROLL,2027,45768,,,'')":null,"BA-US^FE_ESTIMATE(PTX_INC_REP,MEAN,ANN_ROLL,2026,45768,,,'')":1239.4432,"BA-US^FE_ESTIMATE(PTX_INC_REP,MEAN,ANN_ROLL,2025,45768,,,'')":-1080.1028,"BA-US^FE_ESTIMATE(PTX_INC_REP,MEAN,ANN_ROLL,2024,45768,,,'')":-12210.0,"BA-US^FE_ESTIMATE(PTX_INC_REP,MEAN,ANN_ROLL,2023,45768,,,'')":-2005.0,"BA-US^FE_ESTIMATE(PTX_INC_REP,MEAN,ANN_ROLL,2022,45768,,,'')":-5022.0,"BA-US^FE_ESTIMATE(PTX_INC_REP,MEAN,ANN_ROLL,2021,45768,,,'')":-6158.0,"BA-US^FE_ESTIMATE(EBITDA_REP,MEAN,ANN_ROLL,2027,45768,,,'')":11841.443,"BA-US^FE_ESTIMATE(EBITDA_REP,MEAN,ANN_ROLL,2026,45768,,,'')":8743.453,"BA-US^FE_ESTIMATE(EBITDA_REP,MEAN,ANN_ROLL,2025,45768,,,'')":4698.462,"BA-US^FE_ESTIMATE(EBITDA_REP,MEAN,ANN_ROLL,2024,45768,,,'')":-8930.614,"BA-US^FE_ESTIMATE(EBITDA_REP,MEAN,ANN_ROLL,2023,45768,,,'')":1085.1666,"BA-US^FE_ESTIMATE(EBITDA_REP,MEAN,ANN_ROLL,2022,45768,,,'')":-1599.0416,"BA-US^FE_ESTIMATE(EBITDA_REP,MEAN,ANN_ROLL,2021,45768,,,'')":-747.6,"BA-US^FE_ESTIMATE(EPS,MEAN,ANN_ROLL,2027,45768,,,'')":7.241452,"BA-US^FE_ESTIMATE(EPS,MEAN,ANN_ROLL,2026,45768,,,'')":3.7221682,"BA-US^FE_ESTIMATE(EPS,MEAN,ANN_ROLL,2025,45768,,,'')":-1.2712711,"BA-US^FE_ESTIMATE(EPS,MEAN,ANN_ROLL,2024,45768,,,'')":-20.38,"BA-US^FE_ESTIMATE(EPS,MEAN,ANN_ROLL,2023,45768,,,'')":-5.81,"BA-US^FE_ESTIMATE(EPS,MEAN,ANN_ROLL,2022,45768,,,'')":-11.06,"BA-US^FE_ESTIMATE(EPS,MEAN,ANN_ROLL,2021,45768,,,'')":-9.44,"BA-US^FE_ESTIMATE(NET_INC,MEAN,ANN_ROLL,2027,45768,,,'')":6892.6616,"BA-US^FE_ESTIMATE(NET_INC,MEAN,ANN_ROLL,2026,45768,,,'')":3959.9482,"BA-US^FE_ESTIMATE(NET_INC,MEAN,ANN_ROLL,2025,45768,,,'')":123.01849,"BA-US^FE_ESTIMATE(NET_INC,MEAN,ANN_ROLL,2024,45768,,,'')":-11875.0,"BA-US^FE_ESTIMATE(NET_INC,MEAN,ANN_ROLL,2023,45768,,,'')":-2222.0,"BA-US^FE_ESTIMATE(NET_INC,MEAN,ANN_ROLL,2022,45768,,,'')":-4935.0,"BA-US^FE_ESTIMATE(NET_INC,MEAN,ANN_ROLL,2021,45768,,,'')":-4202.0,"BA-US^FE_VALUATION(TAX_RATE,MEAN,ANN_ROLL,2027,45768,,,'')/100":0.0013989261,"BA-US^FE_VALUATION(TAX_RATE,MEAN,ANN_ROLL,2026,45768,,,'')/100":0.0015311342,"BA-US^FE_VALUATION(TAX_RATE,MEAN,ANN_ROLL,2025,45768,,,'')/100":0.0022221624,"BA-US^FE_VALUATION(TAX_RATE,MEAN,ANN_ROLL,2024,45768,,,'')/100":0.00033620876,"BA-US^FE_VALUATION(TAX_RATE,MEAN,ANN_ROLL,2023,45768,,,'')/100":-0.0012102099,"BA-US^FE_VALUATION(TAX_RATE,MEAN,ANN_ROLL,2022,45768,,,'')/100":3.8287817E-06,"BA-US^FE_VALUATION(TAX_RATE,MEAN,ANN_ROLL,2021,45768,,,'')/100":0.0014517867,"BA-US^FE_ESTIMATE(INC_TAX,MEAN,ANN_ROLL,2027,45768,,,'')":1170.7142,"BA-US^FE_ESTIMATE(INC_TAX,MEAN,ANN_ROLL,2026,45768,,,'')":744.60895,"BA-US^FE_ESTIMATE(INC_TAX,MEAN,ANN_ROLL,2025,45768,,,'')":172.598,"BA-US^FE_ESTIMATE(INC_TAX,MEAN,ANN_ROLL,2024,45768,,,'')":-409.91666,"BA-US^FE_ESTIMATE(INC_TAX,MEAN,ANN_ROLL,2023,45768,,,'')":232.16667,"BA-US^FE_ESTIMATE(INC_TAX,MEAN,ANN_ROLL,2022,45768,,,'')":-1.9166666,"BA-US^FE_ESTIMATE(INC_TAX,MEAN,ANN_ROLL,2021,45768,,,'')":-743.0,"BA-US^FE_ESTIMATE(PTX_INC,MEAN,ANN_ROLL,2027,45768,,,'')":8368.664,"BA-US^FE_ESTIMATE(PTX_INC,MEAN,ANN_ROLL,2026,45768,,,'')":4863.12,"BA-US^FE_ESTIMATE(PTX_INC,MEAN,ANN_ROLL,2025,45768,,,'')":776.712,"BA-US^FE_ESTIMATE(PTX_INC,MEAN,ANN_ROLL,2024,45768,,,'')":-12192.325,"BA-US^FE_ESTIMATE(PTX_INC,MEAN,ANN_ROLL,2023,45768,,,'')":-1918.4,"BA-US^FE_ESTIMATE(PTX_INC,MEAN,ANN_ROLL,2022,45768,,,'')":-5005.9443,"BA-US^FE_ESTIMATE(PTX_INC,MEAN,ANN_ROLL,2021,45768,,,'')":-5117.8315,"BA-US^FE_ESTIMATE(INT_EXP,MEAN,ANN_ROLL,2027,45768,,,'')":2380.0,"BA-US^FE_ESTIMATE(INT_EXP,MEAN,ANN_ROLL,2026,45768,,,'')":2810.768,"BA-US^FE_ESTIMATE(INT_EXP,MEAN,ANN_ROLL,2025,45768,,,'')":2880.518,"BA-US^FE_ESTIMATE(INT_EXP,MEAN,ANN_ROLL,2024,45768,,,'')":2725.0,"BA-US^FE_ESTIMATE(INT_EXP,MEAN,ANN_ROLL,2023,45768,,,'')":2459.0,"BA-US^FE_ESTIMATE(INT_EXP,MEAN,ANN_ROLL,2022,45768,,,'')":2533.0,"BA-US^FE_ESTIMATE(INT_EXP,MEAN,ANN_ROLL,2021,45768,,,'')":2682.0,"BA-US^FE_ESTIMATE(EBIT,MEAN,ANN_ROLL,2027,45768,,,'')":9308.197,"BA-US^FE_ESTIMATE(EBIT,MEAN,ANN_ROLL,2026,45768,,,'')":6453.2915,"BA-US^FE_ESTIMATE(EBIT,MEAN,ANN_ROLL,2025,45768,,,'')":2582.1577,"BA-US^FE_ESTIMATE(EBIT,MEAN,ANN_ROLL,2024,45768,,,'')":-10812.477,"BA-US^FE_ESTIMATE(EBIT,MEAN,ANN_ROLL,2023,45768,,,'')":-775.0,"BA-US^FE_ESTIMATE(EBIT,MEAN,ANN_ROLL,2022,45768,,,'')":-3547.0,"BA-US^FE_ESTIMATE(EBIT,MEAN,ANN_ROLL,2021,45768,,,'')":-2896.4656,"BA-US^FE_ESTIMATE(DEP_AMORT_EXP,MEAN,ANN_ROLL,2027,45768,,,'')":2304.2,"BA-US^FE_ESTIMATE(DEP_AMORT_EXP,MEAN,ANN_ROLL,2026,45768,,,'')":2174.9558,"BA-US^FE_ESTIMATE(DEP_AMORT_EXP,MEAN,ANN_ROLL,2025,45768,,,'')":2016.7513,"BA-US^FE_ESTIMATE(DEP_AMORT_EXP,MEAN,ANN_ROLL,2024,45768,,,'')":1808.625,"BA-US^FE_ESTIMATE(DEP_AMORT_EXP,MEAN,ANN_ROLL,2023,45768,,,'')":1861.0,"BA-US^FE_ESTIMATE(DEP_AMORT_EXP,MEAN,ANN_ROLL,2022,45768,,,'')":1951.7778,"BA-US^FE_ESTIMATE(DEP_AMORT_EXP,MEAN,ANN_ROLL,2021,45768,,,'')":2154.889,"BA-US^FE_ESTIMATE(EBITDAR,MEAN,ANN_ROLL,2027,45768,,,'')":null,"BA-US^FE_ESTIMATE(EBITDAR,MEAN,ANN_ROLL,2026,45768,,,'')":null,"BA-US^FE_ESTIMATE(EBITDAR,MEAN,ANN_ROLL,2025,45768,,,'')":null,"BA-US^FE_ESTIMATE(EBITDAR,MEAN,ANN_ROLL,2024,45768,,,'')":null,"BA-US^FE_ESTIMATE(EBITDAR,MEAN,ANN_ROLL,2023,45768,,,'')":null,"BA-US^FE_ESTIMATE(EBITDAR,MEAN,ANN_ROLL,2022,45768,,,'')":null,"BA-US^FE_ESTIMATE(EBITDAR,MEAN,ANN_ROLL,2021,45768,,,'')":null,"BA-US^FE_ESTIMATE(OPER_EXP,MEAN,ANN_ROLL,2027,45768,,,'')":null,"BA-US^FE_ESTIMATE(OPER_EXP,MEAN,ANN_ROLL,2026,45768,,,'')":null,"BA-US^FE_ESTIMATE(OPER_EXP,MEAN,ANN_ROLL,2025,45768,,,'')":null,"BA-US^FE_ESTIMATE(OPER_EXP,MEAN,ANN_ROLL,2024,45768,,,'')":null,"BA-US^FE_ESTIMATE(OPER_EXP,MEAN,ANN_ROLL,2023,45768,,,'')":null,"BA-US^FE_ESTIMATE(OPER_EXP,MEAN,ANN_ROLL,2022,45768,,,'')":null,"BA-US^FE_ESTIMATE(OPER_EXP,MEAN,ANN_ROLL,2021,45768,,,'')":null,"BA-US^FE_ESTIMATE(RD_EXP,MEAN,ANN_ROLL,2027,45768,,,'')":3408.3333,"BA-US^FE_ESTIMATE(RD_EXP,MEAN,ANN_ROLL,2026,45768,,,'')":3625.2856,"BA-US^FE_ESTIMATE(RD_EXP,MEAN,ANN_ROLL,2025,45768,,,'')":3991.5715,"BA-US^FE_ESTIMATE(RD_EXP,MEAN,ANN_ROLL,2024,45768,,,'')":3779.6667,"BA-US^FE_ESTIMATE(RD_EXP,MEAN,ANN_ROLL,2023,45768,,,'')":3200.25,"BA-US^FE_ESTIMATE(RD_EXP,MEAN,ANN_ROLL,2022,45768,,,'')":2825.3333,"BA-US^FE_ESTIMATE(RD_EXP,MEAN,ANN_ROLL,2021,45768,,,'')":2249.0,"BA-US^FE_ESTIMATE(G_A_EXP,MEAN,ANN_ROLL,2027,45768,,,'')":8022.0,"BA-US^FE_ESTIMATE(G_A_EXP,MEAN,ANN_ROLL,2026,45768,,,'')":5756.3335,"BA-US^FE_ESTIMATE(G_A_EXP,MEAN,ANN_ROLL,2025,45768,,,'')":4972.6665,"BA-US^FE_ESTIMATE(G_A_EXP,MEAN,ANN_ROLL,2024,45768,,,'')":5021.0,"BA-US^FE_ESTIMATE(G_A_EXP,MEAN,ANN_ROLL,2023,45768,,,'')":4654.0,"BA-US^FE_ESTIMATE(G_A_EXP,MEAN,ANN_ROLL,2022,45768,,,'')":4056.0,"BA-US^FE_ESTIMATE(G_A_EXP,MEAN,ANN_ROLL,2021,45768,,,'')":4157.0,"BA-US^FE_ESTIMATE(SGA,MEAN,ANN_ROLL,2027,45768,,,'')":6389.5,"BA-US^FE_ESTIMATE(SGA,MEAN,ANN_ROLL,2026,45768,,,'')":6811.182,"BA-US^FE_ESTIMATE(SGA,MEAN,ANN_ROLL,2025,45768,,,'')":6156.3765,"BA-US^FE_ESTIMATE(SGA,MEAN,ANN_ROLL,2024,45768,,,'')":5021.0,"BA-US^FE_ESTIMATE(SGA,MEAN,ANN_ROLL,2023,45768,,,'')":5168.0,"BA-US^FE_ESTIMATE(SGA,MEAN,ANN_ROLL,2022,45768,,,'')":4187.0,"BA-US^FE_ESTIMATE(SGA,MEAN,ANN_ROLL,2021,45768,,,'')":4157.0,"BA-US^FE_VALUATION(GROSS_MARGIN,MEAN,ANN_ROLL,2027,45768,,,'')/100":0.21650164,"BA-US^FE_VALUATION(GROSS_MARGIN,MEAN,ANN_ROLL,2026,45768,,,'')/100":0.17223388,"BA-US^FE_VALUATION(GROSS_MARGIN,MEAN,ANN_ROLL,2025,45768,,,'')/100":0.14232583,"BA-US^FE_VALUATION(GROSS_MARGIN,MEAN,ANN_ROLL,2024,45768,,,'')/100":-0.027804922,"BA-US^FE_VALUATION(GROSS_MARGIN,MEAN,ANN_ROLL,2023,45768,,,'')/100":0.104326814,"BA-US^FE_VALUATION(GROSS_MARGIN,MEAN,ANN_ROLL,2022,45768,,,'')/100":0.05598427,"BA-US^FE_VALUATION(GROSS_MARGIN,MEAN,ANN_ROLL,2021,45768,,,'')/100":0.054560147,"BA-US^FE_ESTIMATE(GROSS_INC,MEAN,ANN_ROLL,2027,45768,,,'')":23433.0,"BA-US^FE_ESTIMATE(GROSS_INC,MEAN,ANN_ROLL,2026,45768,,,'')":16748.2,"BA-US^FE_ESTIMATE(GROSS_INC,MEAN,ANN_ROLL,2025,45768,,,'')":12050.667,"BA-US^FE_ESTIMATE(GROSS_INC,MEAN,ANN_ROLL,2024,45768,,,'')":-1849.5,"BA-US^FE_ESTIMATE(GROSS_INC,MEAN,ANN_ROLL,2023,45768,,,'')":8116.0,"BA-US^FE_ESTIMATE(GROSS_INC,MEAN,ANN_ROLL,2022,45768,,,'')":3729.0,"BA-US^FE_ESTIMATE(GROSS_INC,MEAN,ANN_ROLL,2021,45768,,,'')":3398.3333,"BA-US^FE_ESTIMATE(COS,MEAN,ANN_ROLL,2027,45768,,,'')":89963.0,"BA-US^FE_ESTIMATE(COS,MEAN,ANN_ROLL,2026,45768,,,'')":79069.766,"BA-US^FE_ESTIMATE(COS,MEAN,ANN_ROLL,2025,45768,,,'')":70755.88,"BA-US^FE_ESTIMATE(COS,MEAN,ANN_ROLL,2024,45768,,,'')":68172.625,"BA-US^FE_ESTIMATE(COS,MEAN,ANN_ROLL,2023,45768,,,'')":68810.37,"BA-US^FE_ESTIMATE(COS,MEAN,ANN_ROLL,2022,45768,,,'')":61865.25,"BA-US^FE_ESTIMATE(COS,MEAN,ANN_ROLL,2021,45768,,,'')":58749.145,"BA-US^FE_ESTIMATE(SALES,MEAN,ANN_ROLL,2027,45768,,,'')":108234.75,"BA-US^FE_ESTIMATE(SALES,MEAN,ANN_ROLL,2026,45768,,,'')":97241.02,"BA-US^FE_ESTIMATE(SALES,MEAN,ANN_ROLL,2025,45768,,,'')":84669.57,"BA-US^FE_ESTIMATE(SALES,MEAN,ANN_ROLL,2024,45768,,,'')":66517.0,"BA-US^FE_ESTIMATE(SALES,MEAN,ANN_ROLL,2023,45768,,,'')":77794.0,"BA-US^FE_ESTIMATE(SALES,MEAN,ANN_ROLL,2022,45768,,,'')":66608.0,"BA-US^FE_ESTIMATE(SALES,MEAN,ANN_ROLL,2021,45768,,,'')":62286.0,"BA-US^FE_ESTIMATE(EBITDA,MEAN,ANN_ROLL,2021,45768,,,'')":-748.5376,"BA-US^FE_ESTIMATE(FCFPS,MEAN,QTR_ROLL,2025/1F,45768,,,'')":-4.9279904,"BA-US^FE_ESTIMATE(FCF,MEAN,QTR_ROLL,2025/1F,45768,,,'')":-3632.4836,"BA-US^FE_ESTIMATE(CAPEX,MEAN,QTR_ROLL,2025/1F,45768,,,'')":655.1406,"BA-US^FE_ESTIMATE(CF_OP,MEAN,QTR_ROLL,2025/1F,45768,,,'')":-3022.1667,"BA-US^FE_ESTIMATE(NET_DEBT,MEAN,QTR_ROLL,2025/1F,45768,,,'')":31480.0,"BA-US^FE_ESTIMATE(DEBT,MEAN,QTR_ROLL,2025/1F,45768,,,'')":53614.0,"BA-US^FE_ESTIMATE(CASH_ST,MEAN,QTR_ROLL,2025/1F,45768,,,'')":11623.333,"BA-US^FE_ESTIMATE(DPS,MEAN,QTR_ROLL,2025/1F,45768,,,'')":0.015714286,"BA-US^FE_ESTIMATE(EPS_GAAP,MEAN,QTR_ROLL,2025/1F,45768,,,'')":-0.6498353,"BA-US^FE_ESTIMATE(NET_INC_REP,MEAN,QTR_ROLL,2025/1F,45768,,,'')":-567.4701,"BA-US^FE_ESTIMATE(PTX_INC_REP,MEAN,QTR_ROLL,2025/1F,45768,,,'')":-337.0,"BA-US^FE_ESTIMATE(EBITDA_REP,MEAN,QTR_ROLL,2025/1F,45768,,,'')":591.0775,"BA-US^FE_ESTIMATE(EPS,MEAN,QTR_ROLL,2025/1F,45768,,,'')":-1.2510718,"BA-US^FE_ESTIMATE(NET_INC,MEAN,QTR_ROLL,2025/1F,45768,,,'')":-567.4701,"BA-US^FE_VALUATION(TAX_RATE,MEAN,QTR_ROLL,2025/1F,45768,,,'')/100":-0.0022525098,"BA-US^FE_ESTIMATE(INC_TAX,MEAN,QTR_ROLL,2025/1F,45768,,,'')":70.07692,"BA-US^FE_ESTIMATE(PTX_INC,MEAN,QTR_ROLL,2025/1F,45768,,,'')":-311.10596,"BA-US^FE_ESTIMATE(INT_EXP,MEAN,QTR_ROLL,2025/1F,45768,,,'')":730.3,"BA-US^FE_ESTIMATE(EBIT,MEAN,QTR_ROLL,2025/1F,45768,,,'')":126.134796,"BA-US^FE_ESTIMATE(DEP_AMORT_EXP,MEAN,QTR_ROLL,2025/1F,45768,,,'')":495.66666,"BA-US^FE_ESTIMATE(EBITDA,MEAN,QTR_ROLL,2025/1F,45768,,,'')":591.0775,"BA-US^FE_ESTIMATE(EBITDAR,MEAN,QTR_ROLL,2025/1F,45768,,,'')":null,"BA-US^FE_ESTIMATE(OPER_EXP,MEAN,QTR_ROLL,2025/1F,45768,,,'')":null,"BA-US^FE_ESTIMATE(RD_EXP,MEAN,QTR_ROLL,2025/1F,45768,,,'')":954.0,"BA-US^FE_ESTIMATE(G_A_EXP,MEAN,QTR_ROLL,2025/1F,45768,,,'')":1156.0,"BA-US^FE_ESTIMATE(SGA,MEAN,QTR_ROLL,2025/1F,45768,,,'')":1454.5,"BA-US^FE_VALUATION(GROSS_MARGIN,MEAN,QTR_ROLL,2025/1F,45768,,,'')/100":0.10602041,"BA-US^FE_ESTIMATE(GROSS_INC,MEAN,QTR_ROLL,2025/1F,45768,,,'')":2070.3333,"BA-US^FE_ESTIMATE(COS,MEAN,QTR_ROLL,2025/1F,45768,,,'')":17329.572,"BA-US^FE_ESTIMATE(SALES,MEAN,QTR_ROLL,2025/1F,45768,,,'')":19527.686,"BA-US^FE_ESTIMATE(FCFPS,MEAN,ANN_ROLL,2027,45845,,,'')":11.776893,"BA-US^FE_ESTIMATE(FCFPS,MEAN,ANN_ROLL,2026,45845,,,'')":7.432,"BA-US^FE_ESTIMATE(FCFPS,MEAN,ANN_ROLL,2025,45845,,,'')":-4.5343437,"BA-US^FE_ESTIMATE(FCFPS,MEAN,ANN_ROLL,2024,45845,,,'')":-22.351063,"BA-US^FE_ESTIMATE(FCFPS,MEAN,ANN_ROLL,2023,45845,,,'')":7.203665,"BA-US^FE_ESTIMATE(FCFPS,MEAN,ANN_ROLL,2022,45845,,,'')":4.023713,"BA-US^FE_ESTIMATE(FCFPS,MEAN,ANN_ROLL,2021,45845,,,'')":-6.8795238,"BA-US^FE_ESTIMATE(FCF,MEAN,ANN_ROLL,2027,45845,,,'')":9337.199,"BA-US^FE_ESTIMATE(FCF,MEAN,ANN_ROLL,2026,45845,,,'')":5483.603,"BA-US^FE_ESTIMATE(FCF,MEAN,ANN_ROLL,2025,45845,,,'')":-3507.6367,"BA-US^FE_ESTIMATE(FCF,MEAN,ANN_ROLL,2024,45845,,,'')":-14310.0,"BA-US^FE_ESTIMATE(FCF,MEAN,ANN_ROLL,2023,45845,,,'')":4433.0,"BA-US^FE_ESTIMATE(FCF,MEAN,ANN_ROLL,2022,45845,,,'')":2290.0,"BA-US^FE_ESTIMATE(FCF,MEAN,ANN_ROLL,2021,45845,,,'')":-3560.0,"BA-US^FE_ESTIMATE(DPS,MEAN,ANN_ROLL,2027,45845,,,'')":0.20546381,"BA-US^FE_ESTIMATE(DPS,MEAN,ANN_ROLL,2026,45845,,,'')":0.04,"BA-US^FE_ESTIMATE(DPS,MEAN,ANN_ROLL,2025,45845,,,'')":0.03909091,"BA-US^FE_ESTIMATE(DPS,MEAN,ANN_ROLL,2024,45845,,,'')":0.0,"BA-US^FE_ESTIMATE(DPS,MEAN,ANN_ROLL,2023,45845,,,'')":0.0,"BA-US^FE_ESTIMATE(DPS,MEAN,ANN_ROLL,2022,45845,,,'')":0.0,"BA-US^FE_ESTIMATE(DPS,MEAN,ANN_ROLL,2021,45845,,,'')":0.0,"BA-US^FE_ESTIMATE(EPS_GAAP,MEAN,ANN_ROLL,2027,45845,,,'')":7.860415,"BA-US^FE_ESTIMATE(EPS_GAAP,MEAN,ANN_ROLL,2026,45845,,,'')":5.0657716,"BA-US^FE_ESTIMATE(EPS_GAAP,MEAN,ANN_ROLL,2025,45845,,,'')":0.18378516,"BA-US^FE_ESTIMATE(EPS_GAAP,MEAN,ANN_ROLL,2024,45845,,,'')":-18.36,"BA-US^FE_ESTIMATE(EPS_GAAP,MEAN,ANN_ROLL,2023,45845,,,'')":-3.67,"BA-US^FE_ESTIMATE(EPS_GAAP,MEAN,ANN_ROLL,2022,45845,,,'')":-8.3,"BA-US^FE_ESTIMATE(EPS_GAAP,MEAN,ANN_ROLL,2021,45845,,,'')":-7.15,"BA-US^FE_ESTIMATE(NET_INC_REP,MEAN,ANN_ROLL,2027,45845,,,'')":6409.9116,"BA-US^FE_ESTIMATE(NET_INC_REP,MEAN,ANN_ROLL,2026,45845,,,'')":3890.2568,"BA-US^FE_ESTIMATE(NET_INC_REP,MEAN,ANN_ROLL,2025,45845,,,'')":137.39667,"BA-US^FE_ESTIMATE(NET_INC_REP,MEAN,ANN_ROLL,2024,45845,,,'')":-11875.0,"BA-US^FE_ESTIMATE(NET_INC_REP,MEAN,ANN_ROLL,2023,45845,,,'')":-2222.0,"BA-US^FE_ESTIMATE(NET_INC_REP,MEAN,ANN_ROLL,2022,45845,,,'')":-4935.0,"BA-US^FE_ESTIMATE(NET_INC_REP,MEAN,ANN_ROLL,2021,45845,,,'')":-4202.0,"BA-US^FE_ESTIMATE(PTX_INC_REP,MEAN,ANN_ROLL,2027,45845,,,'')":3622.0,"BA-US^FE_ESTIMATE(PTX_INC_REP,MEAN,ANN_ROLL,2026,45845,,,'')":886.0,"BA-US^FE_ESTIMATE(PTX_INC_REP,MEAN,ANN_ROLL,2025,45845,,,'')":-1315.0,"BA-US^FE_ESTIMATE(PTX_INC_REP,MEAN,ANN_ROLL,2024,45845,,,'')":-12210.0,"BA-US^FE_ESTIMATE(PTX_INC_REP,MEAN,ANN_ROLL,2023,45845,,,'')":-2005.0,"BA-US^FE_ESTIMATE(PTX_INC_REP,MEAN,ANN_ROLL,2022,45845,,,'')":-5022.0,"BA-US^FE_ESTIMATE(PTX_INC_REP,MEAN,ANN_ROLL,2021,45845,,,'')":-6158.0,"BA-US^FE_ESTIMATE(EBITDA_REP,MEAN,ANN_ROLL,2027,45845,,,'')":10936.348,"BA-US^FE_ESTIMATE(EBITDA_REP,MEAN,ANN_ROLL,2026,45845,,,'')":8303.763,"BA-US^FE_ESTIMATE(EBITDA_REP,MEAN,ANN_ROLL,2025,45845,,,'')":4481.3696,"BA-US^FE_ESTIMATE(EBITDA_REP,MEAN,ANN_ROLL,2024,45845,,,'')":-8474.393,"BA-US^FE_ESTIMATE(EBITDA_REP,MEAN,ANN_ROLL,2023,45845,,,'')":1085.1666,"BA-US^FE_ESTIMATE(EBITDA_REP,MEAN,ANN_ROLL,2022,45845,,,'')":-1599.0416,"BA-US^FE_ESTIMATE(EBITDA_REP,MEAN,ANN_ROLL,2021,45845,,,'')":-747.6,"BA-US^FE_ESTIMATE(EPS,MEAN,ANN_ROLL,2027,45845,,,'')":6.566191,"BA-US^FE_ESTIMATE(EPS,MEAN,ANN_ROLL,2026,45845,,,'')":4.0473204,"BA-US^FE_ESTIMATE(EPS,MEAN,ANN_ROLL,2025,45845,,,'')":-1.2556812,"BA-US^FE_ESTIMATE(EPS,MEAN,ANN_ROLL,2024,45845,,,'')":-20.38,"BA-US^FE_ESTIMATE(EPS,MEAN,ANN_ROLL,2023,45845,,,'')":-5.81,"BA-US^FE_ESTIMATE(EPS,MEAN,ANN_ROLL,2022,45845,,,'')":-11.06,"BA-US^FE_ESTIMATE(EPS,MEAN,ANN_ROLL,2021,45845,,,'')":-9.44,"BA-US^FE_ESTIMATE(NET_INC,MEAN,ANN_ROLL,2027,45845,,,'')":6212.226,"BA-US^FE_ESTIMATE(NET_INC,MEAN,ANN_ROLL,2026,45845,,,'')":3840.4011,"BA-US^FE_ESTIMATE(NET_INC,MEAN,ANN_ROLL,2025,45845,,,'')":125.48106,"BA-US^FE_ESTIMATE(NET_INC,MEAN,ANN_ROLL,2024,45845,,,'')":-11875.0,"BA-US^FE_ESTIMATE(NET_INC,MEAN,ANN_ROLL,2023,45845,,,'')":-2222.0,"BA-US^FE_ESTIMATE(NET_INC,MEAN,ANN_ROLL,2022,45845,,,'')":-4935.0,"BA-US^FE_ESTIMATE(NET_INC,MEAN,ANN_ROLL,2021,45845,,,'')":-4202.0,"BA-US^FE_VALUATION(TAX_RATE,MEAN,ANN_ROLL,2027,45845,,,'')/100":0.0013943037,"BA-US^FE_VALUATION(TAX_RATE,MEAN,ANN_ROLL,2026,45845,,,'')/100":0.0013950318,"BA-US^FE_VALUATION(TAX_RATE,MEAN,ANN_ROLL,2025,45845,,,'')/100":0.003943621,"BA-US^FE_VALUATION(TAX_RATE,MEAN,ANN_ROLL,2024,45845,,,'')/100":0.00032393957,"BA-US^FE_VALUATION(TAX_RATE,MEAN,ANN_ROLL,2023,45845,,,'')/100":-0.0012102099,"BA-US^FE_VALUATION(TAX_RATE,MEAN,ANN_ROLL,2022,45845,,,'')/100":3.8287817E-06,"BA-US^FE_VALUATION(TAX_RATE,MEAN,ANN_ROLL,2021,45845,,,'')/100":0.0014517867,"BA-US^FE_ESTIMATE(INC_TAX,MEAN,ANN_ROLL,2027,45845,,,'')":1091.1428,"BA-US^FE_ESTIMATE(INC_TAX,MEAN,ANN_ROLL,2026,45845,,,'')":695.8182,"BA-US^FE_ESTIMATE(INC_TAX,MEAN,ANN_ROLL,2025,45845,,,'')":210.18182,"BA-US^FE_ESTIMATE(INC_TAX,MEAN,ANN_ROLL,2024,45845,,,'')":-381.0,"BA-US^FE_ESTIMATE(INC_TAX,MEAN,ANN_ROLL,2023,45845,,,'')":232.16667,"BA-US^FE_ESTIMATE(INC_TAX,MEAN,ANN_ROLL,2022,45845,,,'')":-1.9166666,"BA-US^FE_ESTIMATE(INC_TAX,MEAN,ANN_ROLL,2021,45845,,,'')":-743.0,"BA-US^FE_ESTIMATE(PTX_INC,MEAN,ANN_ROLL,2027,45845,,,'')":7825.7183,"BA-US^FE_ESTIMATE(PTX_INC,MEAN,ANN_ROLL,2026,45845,,,'')":4987.83,"BA-US^FE_ESTIMATE(PTX_INC,MEAN,ANN_ROLL,2025,45845,,,'')":532.96655,"BA-US^FE_ESTIMATE(PTX_INC,MEAN,ANN_ROLL,2024,45845,,,'')":-11761.452,"BA-US^FE_ESTIMATE(PTX_INC,MEAN,ANN_ROLL,2023,45845,,,'')":-1918.4,"BA-US^FE_ESTIMATE(PTX_INC,MEAN,ANN_ROLL,2022,45845,,,'')":-5005.9443,"BA-US^FE_ESTIMATE(PTX_INC,MEAN,ANN_ROLL,2021,45845,,,'')":-5117.8315,"BA-US^FE_ESTIMATE(INT_EXP,MEAN,ANN_ROLL,2027,45845,,,'')":2263.8167,"BA-US^FE_ESTIMATE(INT_EXP,MEAN,ANN_ROLL,2026,45845,,,'')":2683.65,"BA-US^FE_ESTIMATE(INT_EXP,MEAN,ANN_ROLL,2025,45845,,,'')":2811.4705,"BA-US^FE_ESTIMATE(INT_EXP,MEAN,ANN_ROLL,2024,45845,,,'')":2725.0,"BA-US^FE_ESTIMATE(INT_EXP,MEAN,ANN_ROLL,2023,45845,,,'')":2459.0,"BA-US^FE_ESTIMATE(INT_EXP,MEAN,ANN_ROLL,2022,45845,,,'')":2533.0,"BA-US^FE_ESTIMATE(INT_EXP,MEAN,ANN_ROLL,2021,45845,,,'')":2682.0,"BA-US^FE_ESTIMATE(EBIT,MEAN,ANN_ROLL,2027,45845,,,'')":8586.9795,"BA-US^FE_ESTIMATE(EBIT,MEAN,ANN_ROLL,2026,45845,,,'')":6149.9863,"BA-US^FE_ESTIMATE(EBIT,MEAN,ANN_ROLL,2025,45845,,,'')":2412.1152,"BA-US^FE_ESTIMATE(EBIT,MEAN,ANN_ROLL,2024,45845,,,'')":-10224.7,"BA-US^FE_ESTIMATE(EBIT,MEAN,ANN_ROLL,2023,45845,,,'')":-775.0,"BA-US^FE_ESTIMATE(EBIT,MEAN,ANN_ROLL,2022,45845,,,'')":-3547.0,"BA-US^FE_ESTIMATE(EBIT,MEAN,ANN_ROLL,2021,45845,,,'')":-2896.4656,"BA-US^FE_ESTIMATE(DEP_AMORT_EXP,MEAN,ANN_ROLL,2027,45845,,,'')":2058.0,"BA-US^FE_ESTIMATE(DEP_AMORT_EXP,MEAN,ANN_ROLL,2026,45845,,,'')":2008.8572,"BA-US^FE_ESTIMATE(DEP_AMORT_EXP,MEAN,ANN_ROLL,2025,45845,,,'')":1878.2858,"BA-US^FE_ESTIMATE(DEP_AMORT_EXP,MEAN,ANN_ROLL,2024,45845,,,'')":1808.625,"BA-US^FE_ESTIMATE(DEP_AMORT_EXP,MEAN,ANN_ROLL,2023,45845,,,'')":1861.0,"BA-US^FE_ESTIMATE(DEP_AMORT_EXP,MEAN,ANN_ROLL,2022,45845,,,'')":1951.7778,"BA-US^FE_ESTIMATE(DEP_AMORT_EXP,MEAN,ANN_ROLL,2021,45845,,,'')":2154.889,"BA-US^FE_ESTIMATE(EBITDAR,MEAN,ANN_ROLL,2027,45845,,,'')":null,"BA-US^FE_ESTIMATE(EBITDAR,MEAN,ANN_ROLL,2026,45845,,,'')":null,"BA-US^FE_ESTIMATE(EBITDAR,MEAN,ANN_ROLL,2025,45845,,,'')":null,"BA-US^FE_ESTIMATE(EBITDAR,MEAN,ANN_ROLL,2024,45845,,,'')":null,"BA-US^FE_ESTIMATE(EBITDAR,MEAN,ANN_ROLL,2023,45845,,,'')":null,"BA-US^FE_ESTIMATE(EBITDAR,MEAN,ANN_ROLL,2022,45845,,,'')":null,"BA-US^FE_ESTIMATE(EBITDAR,MEAN,ANN_ROLL,2021,45845,,,'')":null,"BA-US^FE_ESTIMATE(OPER_EXP,MEAN,ANN_ROLL,2027,45845,,,'')":null,"BA-US^FE_ESTIMATE(OPER_EXP,MEAN,ANN_ROLL,2026,45845,,,'')":null,"BA-US^FE_ESTIMATE(OPER_EXP,MEAN,ANN_ROLL,2025,45845,,,'')":null,"BA-US^FE_ESTIMATE(OPER_EXP,MEAN,ANN_ROLL,2024,45845,,,'')":null,"BA-US^FE_ESTIMATE(OPER_EXP,MEAN,ANN_ROLL,2023,45845,,,'')":null,"BA-US^FE_ESTIMATE(OPER_EXP,MEAN,ANN_ROLL,2022,45845,,,'')":null,"BA-US^FE_ESTIMATE(OPER_EXP,MEAN,ANN_ROLL,2021,45845,,,'')":null,"BA-US^FE_ESTIMATE(RD_EXP,MEAN,ANN_ROLL,2027,45845,,,'')":3341.0,"BA-US^FE_ESTIMATE(RD_EXP,MEAN,ANN_ROLL,2026,45845,,,'')":3680.1428,"BA-US^FE_ESTIMATE(RD_EXP,MEAN,ANN_ROLL,2025,45845,,,'')":3916.4285,"BA-US^FE_ESTIMATE(RD_EXP,MEAN,ANN_ROLL,2024,45845,,,'')":3779.6667,"BA-US^FE_ESTIMATE(RD_EXP,MEAN,ANN_ROLL,2023,45845,,,'')":3200.25,"BA-US^FE_ESTIMATE(RD_EXP,MEAN,ANN_ROLL,2022,45845,,,'')":2825.3333,"BA-US^FE_ESTIMATE(RD_EXP,MEAN,ANN_ROLL,2021,45845,,,'')":2249.0,"BA-US^FE_ESTIMATE(G_A_EXP,MEAN,ANN_ROLL,2027,45845,,,'')":7100.5,"BA-US^FE_ESTIMATE(G_A_EXP,MEAN,ANN_ROLL,2026,45845,,,'')":5863.6665,"BA-US^FE_ESTIMATE(G_A_EXP,MEAN,ANN_ROLL,2025,45845,,,'')":5034.6665,"BA-US^FE_ESTIMATE(G_A_EXP,MEAN,ANN_ROLL,2024,45845,,,'')":5021.0,"BA-US^FE_ESTIMATE(G_A_EXP,MEAN,ANN_ROLL,2023,45845,,,'')":4654.0,"BA-US^FE_ESTIMATE(G_A_EXP,MEAN,ANN_ROLL,2022,45845,,,'')":4056.0,"BA-US^FE_ESTIMATE(G_A_EXP,MEAN,ANN_ROLL,2021,45845,,,'')":4157.0,"BA-US^FE_ESTIMATE(SGA,MEAN,ANN_ROLL,2027,45845,,,'')":6290.475,"BA-US^FE_ESTIMATE(SGA,MEAN,ANN_ROLL,2026,45845,,,'')":6710.3755,"BA-US^FE_ESTIMATE(SGA,MEAN,ANN_ROLL,2025,45845,,,'')":5981.9873,"BA-US^FE_ESTIMATE(SGA,MEAN,ANN_ROLL,2024,45845,,,'')":5021.0,"BA-US^FE_ESTIMATE(SGA,MEAN,ANN_ROLL,2023,45845,,,'')":5168.0,"BA-US^FE_ESTIMATE(SGA,MEAN,ANN_ROLL,2022,45845,,,'')":4187.0,"BA-US^FE_ESTIMATE(SGA,MEAN,ANN_ROLL,2021,45845,,,'')":4157.0,"BA-US^FE_VALUATION(GROSS_MARGIN,MEAN,ANN_ROLL,2027,45845,,,'')/100":0.17398465,"BA-US^FE_VALUATION(GROSS_MARGIN,MEAN,ANN_ROLL,2026,45845,,,'')/100":0.16706134,"BA-US^FE_VALUATION(GROSS_MARGIN,MEAN,ANN_ROLL,2025,45845,,,'')/100":0.14037636,"BA-US^FE_VALUATION(GROSS_MARGIN,MEAN,ANN_ROLL,2024,45845,,,'')/100":-0.027804922,"BA-US^FE_VALUATION(GROSS_MARGIN,MEAN,ANN_ROLL,2023,45845,,,'')/100":0.104326814,"BA-US^FE_VALUATION(GROSS_MARGIN,MEAN,ANN_ROLL,2022,45845,,,'')/100":0.05598427,"BA-US^FE_VALUATION(GROSS_MARGIN,MEAN,ANN_ROLL,2021,45845,,,'')/100":0.054560147,"BA-US^FE_ESTIMATE(GROSS_INC,MEAN,ANN_ROLL,2027,45845,,,'')":18853.0,"BA-US^FE_ESTIMATE(GROSS_INC,MEAN,ANN_ROLL,2026,45845,,,'')":16274.0,"BA-US^FE_ESTIMATE(GROSS_INC,MEAN,ANN_ROLL,2025,45845,,,'')":11731.4,"BA-US^FE_ESTIMATE(GROSS_INC,MEAN,ANN_ROLL,2024,45845,,,'')":-1849.5,"BA-US^FE_ESTIMATE(GROSS_INC,MEAN,ANN_ROLL,2023,45845,,,'')":8116.0,"BA-US^FE_ESTIMATE(GROSS_INC,MEAN,ANN_ROLL,2022,45845,,,'')":3729.0,"BA-US^FE_ESTIMATE(GROSS_INC,MEAN,ANN_ROLL,2021,45845,,,'')":3398.3333,"BA-US^FE_ESTIMATE(COS,MEAN,ANN_ROLL,2027,45845,,,'')":88666.3,"BA-US^FE_ESTIMATE(COS,MEAN,ANN_ROLL,2026,45845,,,'')":79403.82,"BA-US^FE_ESTIMATE(COS,MEAN,ANN_ROLL,2025,45845,,,'')":70440.15,"BA-US^FE_ESTIMATE(COS,MEAN,ANN_ROLL,2024,45845,,,'')":68172.625,"BA-US^FE_ESTIMATE(COS,MEAN,ANN_ROLL,2023,45845,,,'')":68810.37,"BA-US^FE_ESTIMATE(COS,MEAN,ANN_ROLL,2022,45845,,,'')":61865.25,"BA-US^FE_ESTIMATE(COS,MEAN,ANN_ROLL,2021,45845,,,'')":58749.145,"BA-US^FE_ESTIMATE(SALES,MEAN,ANN_ROLL,2027,45845,,,'')":108360.14,"BA-US^FE_ESTIMATE(SALES,MEAN,ANN_ROLL,2026,45845,,,'')":97413.32,"BA-US^FE_ESTIMATE(SALES,MEAN,ANN_ROLL,2025,45845,,,'')":83571.055,"BA-US^FE_ESTIMATE(SALES,MEAN,ANN_ROLL,2024,45845,,,'')":66517.0,"BA-US^FE_ESTIMATE(SALES,MEAN,ANN_ROLL,2023,45845,,,'')":77794.0,"BA-US^FE_ESTIMATE(SALES,MEAN,ANN_ROLL,2022,45845,,,'')":66608.0,"BA-US^FE_ESTIMATE(SALES,MEAN,ANN_ROLL,2021,45845,,,'')":62286.0,"BA-US^FE_ESTIMATE(EBITDA,MEAN,ANN_ROLL,2021,45845,,,'')":-748.5376,"BA-US^FE_ESTIMATE(FCFPS,MEAN,QTR_ROLL,2025/2F,45845,,,'')":-3.0804093,"BA-US^FE_ESTIMATE(FCF,MEAN,QTR_ROLL,2025/2F,45845,,,'')":-2266.128,"BA-US^FE_ESTIMATE(CAPEX,MEAN,QTR_ROLL,2025/2F,45845,,,'')":646.97815,"BA-US^FE_ESTIMATE(CF_OP,MEAN,QTR_ROLL,2025/2F,45845,,,'')":-1497.0,"BA-US^FE_ESTIMATE(NET_DEBT,MEAN,QTR_ROLL,2025/2F,45845,,,'')":32034.0,"BA-US^FE_ESTIMATE(DEBT,MEAN,QTR_ROLL,2025/2F,45845,,,'')":53368.0,"BA-US^FE_ESTIMATE(CASH_ST,MEAN,QTR_ROLL,2025/2F,45845,,,'')":7645.6665,"BA-US^FE_ESTIMATE(DPS,MEAN,QTR_ROLL,2025/2F,45845,,,'')":0.015714286,"BA-US^FE_ESTIMATE(EPS_GAAP,MEAN,QTR_ROLL,2025/2F,45845,,,'')":-0.5296031,"BA-US^FE_ESTIMATE(NET_INC_REP,MEAN,QTR_ROLL,2025/2F,45845,,,'')":-295.84598,"BA-US^FE_ESTIMATE(PTX_INC_REP,MEAN,QTR_ROLL,2025/2F,45845,,,'')":-667.0,"BA-US^FE_ESTIMATE(EBITDA_REP,MEAN,QTR_ROLL,2025/2F,45845,,,'')":740.1069,"BA-US^FE_ESTIMATE(EPS,MEAN,QTR_ROLL,2025/2F,45845,,,'')":-0.879766,"BA-US^FE_ESTIMATE(NET_INC,MEAN,QTR_ROLL,2025/2F,45845,,,'')":-289.04312,"BA-US^FE_VALUATION(TAX_RATE,MEAN,QTR_ROLL,2025/2F,45845,,,'')/100":-0.0004206376,"BA-US^FE_ESTIMATE(INC_TAX,MEAN,QTR_ROLL,2025/2F,45845,,,'')":10.545455,"BA-US^FE_ESTIMATE(PTX_INC,MEAN,QTR_ROLL,2025/2F,45845,,,'')":-250.70166,"BA-US^FE_ESTIMATE(INT_EXP,MEAN,QTR_ROLL,2025/2F,45845,,,'')":706.3,"BA-US^FE_ESTIMATE(EBIT,MEAN,QTR_ROLL,2025/2F,45845,,,'')":199.94313,"BA-US^FE_ESTIMATE(DEP_AMORT_EXP,MEAN,QTR_ROLL,2025/2F,45845,,,'')":472.33334,"BA-US^FE_ESTIMATE(EBITDA,MEAN,QTR_ROLL,2025/2F,45845,,,'')":740.1069,"BA-US^FE_ESTIMATE(EBITDAR,MEAN,QTR_ROLL,2025/2F,45845,,,'')":null,"BA-US^FE_ESTIMATE(OPER_EXP,MEAN,QTR_ROLL,2025/2F,45845,,,'')":null,"BA-US^FE_ESTIMATE(RD_EXP,MEAN,QTR_ROLL,2025/2F,45845,,,'')":977.7143,"BA-US^FE_ESTIMATE(G_A_EXP,MEAN,QTR_ROLL,2025/2F,45845,,,'')":1202.6666,"BA-US^FE_ESTIMATE(SGA,MEAN,QTR_ROLL,2025/2F,45845,,,'')":1500.5,"BA-US^FE_VALUATION(GROSS_MARGIN,MEAN,QTR_ROLL,2025/2F,45845,,,'')/100":0.13102956,"BA-US^FE_ESTIMATE(GROSS_INC,MEAN,QTR_ROLL,2025/2F,45845,,,'')":2635.0,"BA-US^FE_ESTIMATE(COS,MEAN,QTR_ROLL,2025/2F,45845,,,'')":16971.715,"BA-US^FE_ESTIMATE(SALES,MEAN,QTR_ROLL,2025/2F,45845,,,'')":20109.965,"BA-US^FE_ESTIMATE(FCFPS,MEAN,QTR_ROLL,2025/2F,45866,,,'')":-2.4526453,"BA-US^FE_ESTIMATE(FCF,MEAN,QTR_ROLL,2025/2F,45866,,,'')":-1644.74,"BA-US^FE_ESTIMATE(CAPEX,MEAN,QTR_ROLL,2025/2F,45866,,,'')":680.0,"BA-US^FE_ESTIMATE(CF_OP,MEAN,QTR_ROLL,2025/2F,45866,,,'')":-801.0,"BA-US^FE_ESTIMATE(NET_DEBT,MEAN,QTR_ROLL,2025/2F,45866,,,'')":32034.0,"BA-US^FE_ESTIMATE(DEBT,MEAN,QTR_ROLL,2025/2F,45866,,,'')":53368.0,"BA-US^FE_ESTIMATE(CASH_ST,MEAN,QTR_ROLL,2025/2F,45866,,,'')":7811.0,"BA-US^FE_ESTIMATE(DPS,MEAN,QTR_ROLL,2025/2F,45866,,,'')":0.015714286,"BA-US^FE_ESTIMATE(EPS_GAAP,MEAN,QTR_ROLL,2025/2F,45866,,,'')":-0.88239026,"BA-US^FE_ESTIMATE(NET_INC_REP,MEAN,QTR_ROLL,2025/2F,45866,,,'')":-699.494,"BA-US^FE_ESTIMATE(PTX_INC_REP,MEAN,QTR_ROLL,2025/2F,45866,,,'')":null,"BA-US^FE_ESTIMATE(EBITDA_REP,MEAN,QTR_ROLL,2025/2F,45866,,,'')":368.247,"BA-US^FE_ESTIMATE(EPS,MEAN,QTR_ROLL,2025/2F,45866,,,'')":-1.3951544,"BA-US^FE_ESTIMATE(NET_INC,MEAN,QTR_ROLL,2025/2F,45866,,,'')":-699.494,"BA-US^FE_VALUATION(TAX_RATE,MEAN,QTR_ROLL,2025/2F,45866,,,'')/100":-0.0006356495,"BA-US^FE_ESTIMATE(INC_TAX,MEAN,QTR_ROLL,2025/2F,45866,,,'')":37.57143,"BA-US^FE_ESTIMATE(PTX_INC,MEAN,QTR_ROLL,2025/2F,45866,,,'')":-591.07153,"BA-US^FE_ESTIMATE(INT_EXP,MEAN,QTR_ROLL,2025/2F,45866,,,'')":706.1667,"BA-US^FE_ESTIMATE(EBIT,MEAN,QTR_ROLL,2025/2F,45866,,,'')":-173.95403,"BA-US^FE_ESTIMATE(DEP_AMORT_EXP,MEAN,QTR_ROLL,2025/2F,45866,,,'')":482.5,"BA-US^FE_ESTIMATE(EBITDA,MEAN,QTR_ROLL,2025/2F,45866,,,'')":368.247,"BA-US^FE_ESTIMATE(EBITDAR,MEAN,QTR_ROLL,2025/2F,45866,,,'')":null,"BA-US^FE_ESTIMATE(OPER_EXP,MEAN,QTR_ROLL,2025/2F,45866,,,'')":null,"BA-US^FE_ESTIMATE(RD_EXP,MEAN,QTR_ROLL,2025/2F,45866,,,'')":1014.3333,"BA-US^FE_ESTIMATE(G_A_EXP,MEAN,QTR_ROLL,2025/2F,45866,,,'')":1337.6666,"BA-US^FE_ESTIMATE(SGA,MEAN,QTR_ROLL,2025/2F,45866,,,'')":1519.0,"BA-US^FE_VALUATION(GROSS_MARGIN,MEAN,QTR_ROLL,2025/2F,45866,,,'')/100":0.11313998,"BA-US^FE_ESTIMATE(GROSS_INC,MEAN,QTR_ROLL,2025/2F,45866,,,'')":2506.6,"BA-US^FE_ESTIMATE(COS,MEAN,QTR_ROLL,2025/2F,45866,,,'')":18496.0,"BA-US^FE_ESTIMATE(SALES,MEAN,QTR_ROLL,2025/2F,45866,,,'')":22154.857,"BA-US^FE_ESTIMATE(FCFPS,MEAN,ANN_ROLL,2027,45866,,,'')":11.756892,"BA-US^FE_ESTIMATE(FCFPS,MEAN,ANN_ROLL,2026,45866,,,'')":7.3975554,"BA-US^FE_ESTIMATE(FCFPS,MEAN,ANN_ROLL,2025,45866,,,'')":-4.7998815,"BA-US^FE_ESTIMATE(FCFPS,MEAN,ANN_ROLL,2024,45866,,,'')":-22.351063,"BA-US^FE_ESTIMATE(FCFPS,MEAN,ANN_ROLL,2023,45866,,,'')":7.203665,"BA-US^FE_ESTIMATE(FCFPS,MEAN,ANN_ROLL,2022,45866,,,'')":4.023713,"BA-US^FE_ESTIMATE(FCFPS,MEAN,ANN_ROLL,2021,45866,,,'')":-6.8795238,"BA-US^FE_ESTIMATE(FCF,MEAN,ANN_ROLL,2027,45866,,,'')":9404.541,"BA-US^FE_ESTIMATE(FCF,MEAN,ANN_ROLL,2026,45866,,,'')":5763.9478,"BA-US^FE_ESTIMATE(FCF,MEAN,ANN_ROLL,2025,45866,,,'')":-3490.3992,"BA-US^FE_ESTIMATE(FCF,MEAN,ANN_ROLL,2024,45866,,,'')":-14310.0,"BA-US^FE_ESTIMATE(FCF,MEAN,ANN_ROLL,2023,45866,,,'')":4433.0,"BA-US^FE_ESTIMATE(FCF,MEAN,ANN_ROLL,2022,45866,,,'')":2290.0,"BA-US^FE_ESTIMATE(FCF,MEAN,ANN_ROLL,2021,45866,,,'')":-3560.0,"BA-US^FE_ESTIMATE(DPS,MEAN,ANN_ROLL,2027,45866,,,'')":0.20528719,"BA-US^FE_ESTIMATE(DPS,MEAN,ANN_ROLL,2026,45866,,,'')":0.039740227,"BA-US^FE_ESTIMATE(DPS,MEAN,ANN_ROLL,2025,45866,,,'')":0.061626446,"BA-US^FE_ESTIMATE(DPS,MEAN,ANN_ROLL,2024,45866,,,'')":0.0,"BA-US^FE_ESTIMATE(DPS,MEAN,ANN_ROLL,2023,45866,,,'')":0.0,"BA-US^FE_ESTIMATE(DPS,MEAN,ANN_ROLL,2022,45866,,,'')":0.0,"BA-US^FE_ESTIMATE(DPS,MEAN,ANN_ROLL,2021,45866,,,'')":0.0,"BA-US^FE_ESTIMATE(EPS_GAAP,MEAN,ANN_ROLL,2027,45866,,,'')":7.8804393,"BA-US^FE_ESTIMATE(EPS_GAAP,MEAN,ANN_ROLL,2026,45866,,,'')":4.764617,"BA-US^FE_ESTIMATE(EPS_GAAP,MEAN,ANN_ROLL,2025,45866,,,'')":-0.4616581,"BA-US^FE_ESTIMATE(EPS_GAAP,MEAN,ANN_ROLL,2024,45866,,,'')":-18.36,"BA-US^FE_ESTIMATE(EPS_GAAP,MEAN,ANN_ROLL,2023,45866,,,'')":-3.67,"BA-US^FE_ESTIMATE(EPS_GAAP,MEAN,ANN_ROLL,2022,45866,,,'')":-8.3,"BA-US^FE_ESTIMATE(EPS_GAAP,MEAN,ANN_ROLL,2021,45866,,,'')":-7.15,"BA-US^FE_ESTIMATE(NET_INC_REP,MEAN,ANN_ROLL,2027,45866,,,'')":6450.7075,"BA-US^FE_ESTIMATE(NET_INC_REP,MEAN,ANN_ROLL,2026,45866,,,'')":3783.2505,"BA-US^FE_ESTIMATE(NET_INC_REP,MEAN,ANN_ROLL,2025,45866,,,'')":-202.73526,"BA-US^FE_ESTIMATE(NET_INC_REP,MEAN,ANN_ROLL,2024,45866,,,'')":-11875.0,"BA-US^FE_ESTIMATE(NET_INC_REP,MEAN,ANN_ROLL,2023,45866,,,'')":-2222.0,"BA-US^FE_ESTIMATE(NET_INC_REP,MEAN,ANN_ROLL,2022,45866,,,'')":-4935.0,"BA-US^FE_ESTIMATE(NET_INC_REP,MEAN,ANN_ROLL,2021,45866,,,'')":-4202.0,"BA-US^FE_ESTIMATE(PTX_INC_REP,MEAN,ANN_ROLL,2027,45866,,,'')":3623.0376,"BA-US^FE_ESTIMATE(PTX_INC_REP,MEAN,ANN_ROLL,2026,45866,,,'')":1375.9202,"BA-US^FE_ESTIMATE(PTX_INC_REP,MEAN,ANN_ROLL,2025,45866,,,'')":-1111.7285,"BA-US^FE_ESTIMATE(PTX_INC_REP,MEAN,ANN_ROLL,2024,45866,,,'')":-12210.0,"BA-US^FE_ESTIMATE(PTX_INC_REP,MEAN,ANN_ROLL,2023,45866,,,'')":-2005.0,"BA-US^FE_ESTIMATE(PTX_INC_REP,MEAN,ANN_ROLL,2022,45866,,,'')":-5022.0,"BA-US^FE_ESTIMATE(PTX_INC_REP,MEAN,ANN_ROLL,2021,45866,,,'')":-6158.0,"BA-US^FE_ESTIMATE(EBITDA_REP,MEAN,ANN_ROLL,2027,45866,,,'')":10867.807,"BA-US^FE_ESTIMATE(EBITDA_REP,MEAN,ANN_ROLL,2026,45866,,,'')":8272.125,"BA-US^FE_ESTIMATE(EBITDA_REP,MEAN,ANN_ROLL,2025,45866,,,'')":4071.7244,"BA-US^FE_ESTIMATE(EBITDA_REP,MEAN,ANN_ROLL,2024,45866,,,'')":-8474.393,"BA-US^FE_ESTIMATE(EBITDA_REP,MEAN,ANN_ROLL,2023,45866,,,'')":1085.1666,"BA-US^FE_ESTIMATE(EBITDA_REP,MEAN,ANN_ROLL,2022,45866,,,'')":-1599.0416,"BA-US^FE_ESTIMATE(EBITDA_REP,MEAN,ANN_ROLL,2021,45866,,,'')":-747.6,"BA-US^FE_ESTIMATE(EPS,MEAN,ANN_ROLL,2027,45866,,,'')":6.583954,"BA-US^FE_ESTIMATE(EPS,MEAN,ANN_ROLL,2026,45866,,,'')":3.747251,"BA-US^FE_ESTIMATE(EPS,MEAN,ANN_ROLL,2025,45866,,,'')":-1.9584371,"BA-US^FE_ESTIMATE(EPS,MEAN,ANN_ROLL,2024,45866,,,'')":-20.38,"BA-US^FE_ESTIMATE(EPS,MEAN,ANN_ROLL,2023,45866,,,'')":-5.81,"BA-US^FE_ESTIMATE(EPS,MEAN,ANN_ROLL,2022,45866,,,'')":-11.06,"BA-US^FE_ESTIMATE(EPS,MEAN,ANN_ROLL,2021,45866,,,'')":-9.44,"BA-US^FE_ESTIMATE(NET_INC,MEAN,ANN_ROLL,2027,45866,,,'')":6249.884,"BA-US^FE_ESTIMATE(NET_INC,MEAN,ANN_ROLL,2026,45866,,,'')":3739.0269,"BA-US^FE_ESTIMATE(NET_INC,MEAN,ANN_ROLL,2025,45866,,,'')":-202.73526,"BA-US^FE_ESTIMATE(NET_INC,MEAN,ANN_ROLL,2024,45866,,,'')":-11875.0,"BA-US^FE_ESTIMATE(NET_INC,MEAN,ANN_ROLL,2023,45866,,,'')":-2222.0,"BA-US^FE_ESTIMATE(NET_INC,MEAN,ANN_ROLL,2022,45866,,,'')":-4935.0,"BA-US^FE_ESTIMATE(NET_INC,MEAN,ANN_ROLL,2021,45866,,,'')":-4202.0,"BA-US^FE_VALUATION(TAX_RATE,MEAN,ANN_ROLL,2027,45866,,,'')/100":0.0013959792,"BA-US^FE_VALUATION(TAX_RATE,MEAN,ANN_ROLL,2026,45866,,,'')/100":0.0012456651,"BA-US^FE_VALUATION(TAX_RATE,MEAN,ANN_ROLL,2025,45866,,,'')/100":0.0067113666,"BA-US^FE_VALUATION(TAX_RATE,MEAN,ANN_ROLL,2024,45866,,,'')/100":0.00032393957,"BA-US^FE_VALUATION(TAX_RATE,MEAN,ANN_ROLL,2023,45866,,,'')/100":-0.0012102099,"BA-US^FE_VALUATION(TAX_RATE,MEAN,ANN_ROLL,2022,45866,,,'')/100":3.8287817E-06,"BA-US^FE_VALUATION(TAX_RATE,MEAN,ANN_ROLL,2021,45866,,,'')/100":0.0014517867,"BA-US^FE_ESTIMATE(INC_TAX,MEAN,ANN_ROLL,2027,45866,,,'')":1095.763,"BA-US^FE_ESTIMATE(INC_TAX,MEAN,ANN_ROLL,2026,45866,,,'')":591.4388,"BA-US^FE_ESTIMATE(INC_TAX,MEAN,ANN_ROLL,2025,45866,,,'')":179.42278,"BA-US^FE_ESTIMATE(INC_TAX,MEAN,ANN_ROLL,2024,45866,,,'')":-381.0,"BA-US^FE_ESTIMATE(INC_TAX,MEAN,ANN_ROLL,2023,45866,,,'')":232.16667,"BA-US^FE_ESTIMATE(INC_TAX,MEAN,ANN_ROLL,2022,45866,,,'')":-1.9166666,"BA-US^FE_ESTIMATE(INC_TAX,MEAN,ANN_ROLL,2021,45866,,,'')":-743.0,"BA-US^FE_ESTIMATE(PTX_INC,MEAN,ANN_ROLL,2027,45866,,,'')":7849.4214,"BA-US^FE_ESTIMATE(PTX_INC,MEAN,ANN_ROLL,2026,45866,,,'')":4747.9756,"BA-US^FE_ESTIMATE(PTX_INC,MEAN,ANN_ROLL,2025,45866,,,'')":267.34164,"BA-US^FE_ESTIMATE(PTX_INC,MEAN,ANN_ROLL,2024,45866,,,'')":-11761.452,"BA-US^FE_ESTIMATE(PTX_INC,MEAN,ANN_ROLL,2023,45866,,,'')":-1918.4,"BA-US^FE_ESTIMATE(PTX_INC,MEAN,ANN_ROLL,2022,45866,,,'')":-5005.9443,"BA-US^FE_ESTIMATE(PTX_INC,MEAN,ANN_ROLL,2021,45866,,,'')":-5117.8315,"BA-US^FE_ESTIMATE(INT_EXP,MEAN,ANN_ROLL,2027,45866,,,'')":2263.8167,"BA-US^FE_ESTIMATE(INT_EXP,MEAN,ANN_ROLL,2026,45866,,,'')":2655.2993,"BA-US^FE_ESTIMATE(INT_EXP,MEAN,ANN_ROLL,2025,45866,,,'')":2807.996,"BA-US^FE_ESTIMATE(INT_EXP,MEAN,ANN_ROLL,2024,45866,,,'')":2725.0,"BA-US^FE_ESTIMATE(INT_EXP,MEAN,ANN_ROLL,2023,45866,,,'')":2459.0,"BA-US^FE_ESTIMATE(INT_EXP,MEAN,ANN_ROLL,2022,45866,,,'')":2533.0,"BA-US^FE_ESTIMATE(INT_EXP,MEAN,ANN_ROLL,2021,45866,,,'')":2682.0,"BA-US^FE_ESTIMATE(EBIT,MEAN,ANN_ROLL,2027,45866,,,'')":8677.547,"BA-US^FE_ESTIMATE(EBIT,MEAN,ANN_ROLL,2026,45866,,,'')":6138.465,"BA-US^FE_ESTIMATE(EBIT,MEAN,ANN_ROLL,2025,45866,,,'')":1960.2079,"BA-US^FE_ESTIMATE(EBIT,MEAN,ANN_ROLL,2024,45866,,,'')":-10224.7,"BA-US^FE_ESTIMATE(EBIT,MEAN,ANN_ROLL,2023,45866,,,'')":-775.0,"BA-US^FE_ESTIMATE(EBIT,MEAN,ANN_ROLL,2022,45866,,,'')":-3547.0,"BA-US^FE_ESTIMATE(EBIT,MEAN,ANN_ROLL,2021,45866,,,'')":-2896.4656,"BA-US^FE_ESTIMATE(DEP_AMORT_EXP,MEAN,ANN_ROLL,2027,45866,,,'')":2100.772,"BA-US^FE_ESTIMATE(DEP_AMORT_EXP,MEAN,ANN_ROLL,2026,45866,,,'')":2039.6565,"BA-US^FE_ESTIMATE(DEP_AMORT_EXP,MEAN,ANN_ROLL,2025,45866,,,'')":1926.5231,"BA-US^FE_ESTIMATE(DEP_AMORT_EXP,MEAN,ANN_ROLL,2024,45866,,,'')":1808.625,"BA-US^FE_ESTIMATE(DEP_AMORT_EXP,MEAN,ANN_ROLL,2023,45866,,,'')":1861.0,"BA-US^FE_ESTIMATE(DEP_AMORT_EXP,MEAN,ANN_ROLL,2022,45866,,,'')":1951.7778,"BA-US^FE_ESTIMATE(DEP_AMORT_EXP,MEAN,ANN_ROLL,2021,45866,,,'')":2154.889,"BA-US^FE_ESTIMATE(EBITDAR,MEAN,ANN_ROLL,2027,45866,,,'')":null,"BA-US^FE_ESTIMATE(EBITDAR,MEAN,ANN_ROLL,2026,45866,,,'')":null,"BA-US^FE_ESTIMATE(EBITDAR,MEAN,ANN_ROLL,2025,45866,,,'')":null,"BA-US^FE_ESTIMATE(EBITDAR,MEAN,ANN_ROLL,2024,45866,,,'')":null,"BA-US^FE_ESTIMATE(EBITDAR,MEAN,ANN_ROLL,2023,45866,,,'')":null,"BA-US^FE_ESTIMATE(EBITDAR,MEAN,ANN_ROLL,2022,45866,,,'')":null,"BA-US^FE_ESTIMATE(EBITDAR,MEAN,ANN_ROLL,2021,45866,,,'')":null,"BA-US^FE_ESTIMATE(OPER_EXP,MEAN,ANN_ROLL,2027,45866,,,'')":null,"BA-US^FE_ESTIMATE(OPER_EXP,MEAN,ANN_ROLL,2026,45866,,,'')":null,"BA-US^FE_ESTIMATE(OPER_EXP,MEAN,ANN_ROLL,2025,45866,,,'')":null,"BA-US^FE_ESTIMATE(OPER_EXP,MEAN,ANN_ROLL,2024,45866,,,'')":null,"BA-US^FE_ESTIMATE(OPER_EXP,MEAN,ANN_ROLL,2023,45866,,,'')":null,"BA-US^FE_ESTIMATE(OPER_EXP,MEAN,ANN_ROLL,2022,45866,,,'')":null,"BA-US^FE_ESTIMATE(OPER_EXP,MEAN,ANN_ROLL,2021,45866,,,'')":null,"BA-US^FE_ESTIMATE(RD_EXP,MEAN,ANN_ROLL,2027,45866,,,'')":3341.0,"BA-US^FE_ESTIMATE(RD_EXP,MEAN,ANN_ROLL,2026,45866,,,'')":3614.1667,"BA-US^FE_ESTIMATE(RD_EXP,MEAN,ANN_ROLL,2025,45866,,,'')":4063.8,"BA-US^FE_ESTIMATE(RD_EXP,MEAN,ANN_ROLL,2024,45866,,,'')":3779.6667,"BA-US^FE_ESTIMATE(RD_EXP,MEAN,ANN_ROLL,2023,45866,,,'')":3200.25,"BA-US^FE_ESTIMATE(RD_EXP,MEAN,ANN_ROLL,2022,45866,,,'')":2825.3333,"BA-US^FE_ESTIMATE(RD_EXP,MEAN,ANN_ROLL,2021,45866,,,'')":2249.0,"BA-US^FE_ESTIMATE(G_A_EXP,MEAN,ANN_ROLL,2027,45866,,,'')":7100.5,"BA-US^FE_ESTIMATE(G_A_EXP,MEAN,ANN_ROLL,2026,45866,,,'')":5832.0,"BA-US^FE_ESTIMATE(G_A_EXP,MEAN,ANN_ROLL,2025,45866,,,'')":5084.3335,"BA-US^FE_ESTIMATE(G_A_EXP,MEAN,ANN_ROLL,2024,45866,,,'')":5021.0,"BA-US^FE_ESTIMATE(G_A_EXP,MEAN,ANN_ROLL,2023,45866,,,'')":4654.0,"BA-US^FE_ESTIMATE(G_A_EXP,MEAN,ANN_ROLL,2022,45866,,,'')":4056.0,"BA-US^FE_ESTIMATE(G_A_EXP,MEAN,ANN_ROLL,2021,45866,,,'')":4157.0,"BA-US^FE_ESTIMATE(SGA,MEAN,ANN_ROLL,2027,45866,,,'')":6288.5596,"BA-US^FE_ESTIMATE(SGA,MEAN,ANN_ROLL,2026,45866,,,'')":6280.516,"BA-US^FE_ESTIMATE(SGA,MEAN,ANN_ROLL,2025,45866,,,'')":5717.8623,"BA-US^FE_ESTIMATE(SGA,MEAN,ANN_ROLL,2024,45866,,,'')":5021.0,"BA-US^FE_ESTIMATE(SGA,MEAN,ANN_ROLL,2023,45866,,,'')":5168.0,"BA-US^FE_ESTIMATE(SGA,MEAN,ANN_ROLL,2022,45866,,,'')":4187.0,"BA-US^FE_ESTIMATE(SGA,MEAN,ANN_ROLL,2021,45866,,,'')":4157.0,"BA-US^FE_VALUATION(GROSS_MARGIN,MEAN,ANN_ROLL,2027,45866,,,'')/100":0.17401227,"BA-US^FE_VALUATION(GROSS_MARGIN,MEAN,ANN_ROLL,2026,45866,,,'')/100":0.16660686,"BA-US^FE_VALUATION(GROSS_MARGIN,MEAN,ANN_ROLL,2025,45866,,,'')/100":0.13022637,"BA-US^FE_VALUATION(GROSS_MARGIN,MEAN,ANN_ROLL,2024,45866,,,'')/100":-0.027804922,"BA-US^FE_VALUATION(GROSS_MARGIN,MEAN,ANN_ROLL,2023,45866,,,'')/100":0.104326814,"BA-US^FE_VALUATION(GROSS_MARGIN,MEAN,ANN_ROLL,2022,45866,,,'')/100":0.05598427,"BA-US^FE_VALUATION(GROSS_MARGIN,MEAN,ANN_ROLL,2021,45866,,,'')/100":0.054560147,"BA-US^FE_ESTIMATE(GROSS_INC,MEAN,ANN_ROLL,2027,45866,,,'')":18853.0,"BA-US^FE_ESTIMATE(GROSS_INC,MEAN,ANN_ROLL,2026,45866,,,'')":16219.0,"BA-US^FE_ESTIMATE(GROSS_INC,MEAN,ANN_ROLL,2025,45866,,,'')":11138.0,"BA-US^FE_ESTIMATE(GROSS_INC,MEAN,ANN_ROLL,2024,45866,,,'')":-1849.5,"BA-US^FE_ESTIMATE(GROSS_INC,MEAN,ANN_ROLL,2023,45866,,,'')":8116.0,"BA-US^FE_ESTIMATE(GROSS_INC,MEAN,ANN_ROLL,2022,45866,,,'')":3729.0,"BA-US^FE_ESTIMATE(GROSS_INC,MEAN,ANN_ROLL,2021,45866,,,'')":3398.3333,"BA-US^FE_ESTIMATE(COS,MEAN,ANN_ROLL,2027,45866,,,'')":88615.84,"BA-US^FE_ESTIMATE(COS,MEAN,ANN_ROLL,2026,45866,,,'')":79476.5,"BA-US^FE_ESTIMATE(COS,MEAN,ANN_ROLL,2025,45866,,,'')":71052.04,"BA-US^FE_ESTIMATE(COS,MEAN,ANN_ROLL,2024,45866,,,'')":68172.625,"BA-US^FE_ESTIMATE(COS,MEAN,ANN_ROLL,2023,45866,,,'')":68810.37,"BA-US^FE_ESTIMATE(COS,MEAN,ANN_ROLL,2022,45866,,,'')":61865.25,"BA-US^FE_ESTIMATE(COS,MEAN,ANN_ROLL,2021,45866,,,'')":58749.145,"BA-US^FE_ESTIMATE(SALES,MEAN,ANN_ROLL,2027,45866,,,'')":108342.92,"BA-US^FE_ESTIMATE(SALES,MEAN,ANN_ROLL,2026,45866,,,'')":97348.92,"BA-US^FE_ESTIMATE(SALES,MEAN,ANN_ROLL,2025,45866,,,'')":85527.99,"BA-US^FE_ESTIMATE(SALES,MEAN,ANN_ROLL,2024,45866,,,'')":66517.0,"BA-US^FE_ESTIMATE(SALES,MEAN,ANN_ROLL,2023,45866,,,'')":77794.0,"BA-US^FE_ESTIMATE(SALES,MEAN,ANN_ROLL,2022,45866,,,'')":66608.0,"BA-US^FE_ESTIMATE(SALES,MEAN,ANN_ROLL,2021,45866,,,'')":62286.0,"BA-US^FE_ESTIMATE(EBITDA,MEAN,ANN_ROLL,2021,45866,,,'')":-748.5376,"BA-US^FE_ESTIMATE(FCFPS,MEAN,ANN_ROLL,2027,45931,,,'')":11.127471,"BA-US^FE_ESTIMATE(FCFPS,MEAN,ANN_ROLL,2026,45931,,,'')":5.916289,"BA-US^FE_ESTIMATE(FCFPS,MEAN,ANN_ROLL,2025,45931,,,'')":-4.2356277,"BA-US^FE_ESTIMATE(FCFPS,MEAN,ANN_ROLL,2024,45931,,,'')":-22.351063,"BA-US^FE_ESTIMATE(FCFPS,MEAN,ANN_ROLL,2023,45931,,,'')":7.203665,"BA-US^FE_ESTIMATE(FCFPS,MEAN,ANN_ROLL,2022,45931,,,'')":4.023713,"BA-US^FE_ESTIMATE(FCFPS,MEAN,ANN_ROLL,2021,45931,,,'')":-6.8795238,"BA-US^FE_ESTIMATE(FCF,MEAN,ANN_ROLL,2027,45931,,,'')":9174.662,"BA-US^FE_ESTIMATE(FCF,MEAN,ANN_ROLL,2026,45931,,,'')":5070.766,"BA-US^FE_ESTIMATE(FCF,MEAN,ANN_ROLL,2025,45931,,,'')":-3000.2173,"BA-US^FE_ESTIMATE(FCF,MEAN,ANN_ROLL,2024,45931,,,'')":-14310.0,"BA-US^FE_ESTIMATE(FCF,MEAN,ANN_ROLL,2023,45931,,,'')":4433.0,"BA-US^FE_ESTIMATE(FCF,MEAN,ANN_ROLL,2022,45931,,,'')":2290.0,"BA-US^FE_ESTIMATE(FCF,MEAN,ANN_ROLL,2021,45931,,,'')":-3560.0,"BA-US^FE_ESTIMATE(DPS,MEAN,ANN_ROLL,2027,45931,,,'')":0.26215073,"BA-US^FE_ESTIMATE(DPS,MEAN,ANN_ROLL,2026,45931,,,'')":0.04777778,"BA-US^FE_ESTIMATE(DPS,MEAN,ANN_ROLL,2025,45931,,,'')":0.04777778,"BA-US^FE_ESTIMATE(DPS,MEAN,ANN_ROLL,2024,45931,,,'')":0.0,"BA-US^FE_ESTIMATE(DPS,MEAN,ANN_ROLL,2023,45931,,,'')":0.0,"BA-US^FE_ESTIMATE(DPS,MEAN,ANN_ROLL,2022,45931,,,'')":0.0,"BA-US^FE_ESTIMATE(DPS,MEAN,ANN_ROLL,2021,45931,,,'')":0.0,"BA-US^FE_ESTIMATE(EPS_GAAP,MEAN,ANN_ROLL,2027,45931,,,'')":7.648425,"BA-US^FE_ESTIMATE(EPS_GAAP,MEAN,ANN_ROLL,2026,45931,,,'')":4.3201475,"BA-US^FE_ESTIMATE(EPS_GAAP,MEAN,ANN_ROLL,2025,45931,,,'')":-0.8882507,"BA-US^FE_ESTIMATE(EPS_GAAP,MEAN,ANN_ROLL,2024,45931,,,'')":-18.36,"BA-US^FE_ESTIMATE(EPS_GAAP,MEAN,ANN_ROLL,2023,45931,,,'')":-3.67,"BA-US^FE_ESTIMATE(EPS_GAAP,MEAN,ANN_ROLL,2022,45931,,,'')":-8.3,"BA-US^FE_ESTIMATE(EPS_GAAP,MEAN,ANN_ROLL,2021,45931,,,'')":-7.15,"BA-US^FE_ESTIMATE(NET_INC_REP,MEAN,ANN_ROLL,2027,45931,,,'')":6251.1177,"BA-US^FE_ESTIMATE(NET_INC_REP,MEAN,ANN_ROLL,2026,45931,,,'')":3584.0195,"BA-US^FE_ESTIMATE(NET_INC_REP,MEAN,ANN_ROLL,2025,45931,,,'')":-620.5954,"BA-US^FE_ESTIMATE(NET_INC_REP,MEAN,ANN_ROLL,2024,45931,,,'')":-11875.0,"BA-US^FE_ESTIMATE(NET_INC_REP,MEAN,ANN_ROLL,2023,45931,,,'')":-2222.0,"BA-US^FE_ESTIMATE(NET_INC_REP,MEAN,ANN_ROLL,2022,45931,,,'')":-4935.0,"BA-US^FE_ESTIMATE(NET_INC_REP,MEAN,ANN_ROLL,2021,45931,,,'')":-4202.0,"BA-US^FE_ESTIMATE(PTX_INC_REP,MEAN,ANN_ROLL,2027,45931,,,'')":3624.0,"BA-US^FE_ESTIMATE(PTX_INC_REP,MEAN,ANN_ROLL,2026,45931,,,'')":1396.0,"BA-US^FE_ESTIMATE(PTX_INC_REP,MEAN,ANN_ROLL,2025,45931,,,'')":-569.0,"BA-US^FE_ESTIMATE(PTX_INC_REP,MEAN,ANN_ROLL,2024,45931,,,'')":-12210.0,"BA-US^FE_ESTIMATE(PTX_INC_REP,MEAN,ANN_ROLL,2023,45931,,,'')":-2005.0,"BA-US^FE_ESTIMATE(PTX_INC_REP,MEAN,ANN_ROLL,2022,45931,,,'')":-5022.0,"BA-US^FE_ESTIMATE(PTX_INC_REP,MEAN,ANN_ROLL,2021,45931,,,'')":-6158.0,"BA-US^FE_ESTIMATE(EBITDA_REP,MEAN,ANN_ROLL,2027,45931,,,'')":11122.79,"BA-US^FE_ESTIMATE(EBITDA_REP,MEAN,ANN_ROLL,2026,45931,,,'')":8002.299,"BA-US^FE_ESTIMATE(EBITDA_REP,MEAN,ANN_ROLL,2025,45931,,,'')":3639.956,"BA-US^FE_ESTIMATE(EBITDA_REP,MEAN,ANN_ROLL,2024,45931,,,'')":-8474.393,"BA-US^FE_ESTIMATE(EBITDA_REP,MEAN,ANN_ROLL,2023,45931,,,'')":1085.1666,"BA-US^FE_ESTIMATE(EBITDA_REP,MEAN,ANN_ROLL,2022,45931,,,'')":-1599.0416,"BA-US^FE_ESTIMATE(EBITDA_REP,MEAN,ANN_ROLL,2021,45931,,,'')":-747.6,"BA-US^FE_ESTIMATE(EPS,MEAN,ANN_ROLL,2027,45931,,,'')":6.4072375,"BA-US^FE_ESTIMATE(EPS,MEAN,ANN_ROLL,2026,45931,,,'')":3.2989233,"BA-US^FE_ESTIMATE(EPS,MEAN,ANN_ROLL,2025,45931,,,'')":-1.9824907,"BA-US^FE_ESTIMATE(EPS,MEAN,ANN_ROLL,2024,45931,,,'')":-20.38,"BA-US^FE_ESTIMATE(EPS,MEAN,ANN_ROLL,2023,45931,,,'')":-5.81,"BA-US^FE_ESTIMATE(EPS,MEAN,ANN_ROLL,2022,45931,,,'')":-11.06,"BA-US^FE_ESTIMATE(EPS,MEAN,ANN_ROLL,2021,45931,,,'')":-9.44,"BA-US^FE_ESTIMATE(NET_INC,MEAN,ANN_ROLL,2027,45931,,,'')":6251.1177,"BA-US^FE_ESTIMATE(NET_INC,MEAN,ANN_ROLL,2026,45931,,,'')":3584.0195,"BA-US^FE_ESTIMATE(NET_INC,MEAN,ANN_ROLL,2025,45931,,,'')":-620.5954,"BA-US^FE_ESTIMATE(NET_INC,MEAN,ANN_ROLL,2024,45931,,,'')":-11875.0,"BA-US^FE_ESTIMATE(NET_INC,MEAN,ANN_ROLL,2023,45931,,,'')":-2222.0,"BA-US^FE_ESTIMATE(NET_INC,MEAN,ANN_ROLL,2022,45931,,,'')":-4935.0,"BA-US^FE_ESTIMATE(NET_INC,MEAN,ANN_ROLL,2021,45931,,,'')":-4202.0,"BA-US^FE_VALUATION(TAX_RATE,MEAN,ANN_ROLL,2027,45931,,,'')/100":0.0014472406,"BA-US^FE_VALUATION(TAX_RATE,MEAN,ANN_ROLL,2026,45931,,,'')/100":0.0013015008,"BA-US^FE_VALUATION(TAX_RATE,MEAN,ANN_ROLL,2025,45931,,,'')/100":0.010206824,"BA-US^FE_VALUATION(TAX_RATE,MEAN,ANN_ROLL,2024,45931,,,'')/100":0.00032393957,"BA-US^FE_VALUATION(TAX_RATE,MEAN,ANN_ROLL,2023,45931,,,'')/100":-0.0012102099,"BA-US^FE_VALUATION(TAX_RATE,MEAN,ANN_ROLL,2022,45931,,,'')/100":3.8287817E-06,"BA-US^FE_VALUATION(TAX_RATE,MEAN,ANN_ROLL,2021,45931,,,'')/100":0.0014517867,"BA-US^FE_ESTIMATE(INC_TAX,MEAN,ANN_ROLL,2027,45931,,,'')":1110.2858,"BA-US^FE_ESTIMATE(INC_TAX,MEAN,ANN_ROLL,2026,45931,,,'')":568.3333,"BA-US^FE_ESTIMATE(INC_TAX,MEAN,ANN_ROLL,2025,45931,,,'')":158.6,"BA-US^FE_ESTIMATE(INC_TAX,MEAN,ANN_ROLL,2024,45931,,,'')":-381.0,"BA-US^FE_ESTIMATE(INC_TAX,MEAN,ANN_ROLL,2023,45931,,,'')":232.16667,"BA-US^FE_ESTIMATE(INC_TAX,MEAN,ANN_ROLL,2022,45931,,,'')":-1.9166666,"BA-US^FE_ESTIMATE(INC_TAX,MEAN,ANN_ROLL,2021,45931,,,'')":-743.0,"BA-US^FE_ESTIMATE(PTX_INC,MEAN,ANN_ROLL,2027,45931,,,'')":7671.743,"BA-US^FE_ESTIMATE(PTX_INC,MEAN,ANN_ROLL,2026,45931,,,'')":4366.7534,"BA-US^FE_ESTIMATE(PTX_INC,MEAN,ANN_ROLL,2025,45931,,,'')":155.38625,"BA-US^FE_ESTIMATE(PTX_INC,MEAN,ANN_ROLL,2024,45931,,,'')":-11761.452,"BA-US^FE_ESTIMATE(PTX_INC,MEAN,ANN_ROLL,2023,45931,,,'')":-1918.4,"BA-US^FE_ESTIMATE(PTX_INC,MEAN,ANN_ROLL,2022,45931,,,'')":-5005.9443,"BA-US^FE_ESTIMATE(PTX_INC,MEAN,ANN_ROLL,2021,45931,,,'')":-5117.8315,"BA-US^FE_ESTIMATE(INT_EXP,MEAN,ANN_ROLL,2027,45931,,,'')":2261.6213,"BA-US^FE_ESTIMATE(INT_EXP,MEAN,ANN_ROLL,2026,45931,,,'')":2637.0652,"BA-US^FE_ESTIMATE(INT_EXP,MEAN,ANN_ROLL,2025,45931,,,'')":2827.732,"BA-US^FE_ESTIMATE(INT_EXP,MEAN,ANN_ROLL,2024,45931,,,'')":2725.0,"BA-US^FE_ESTIMATE(INT_EXP,MEAN,ANN_ROLL,2023,45931,,,'')":2459.0,"BA-US^FE_ESTIMATE(INT_EXP,MEAN,ANN_ROLL,2022,45931,,,'')":2533.0,"BA-US^FE_ESTIMATE(INT_EXP,MEAN,ANN_ROLL,2021,45931,,,'')":2682.0,"BA-US^FE_ESTIMATE(EBIT,MEAN,ANN_ROLL,2027,45931,,,'')":8913.111,"BA-US^FE_ESTIMATE(EBIT,MEAN,ANN_ROLL,2026,45931,,,'')":6032.964,"BA-US^FE_ESTIMATE(EBIT,MEAN,ANN_ROLL,2025,45931,,,'')":1723.7004,"BA-US^FE_ESTIMATE(EBIT,MEAN,ANN_ROLL,2024,45931,,,'')":-10224.7,"BA-US^FE_ESTIMATE(EBIT,MEAN,ANN_ROLL,2023,45931,,,'')":-775.0,"BA-US^FE_ESTIMATE(EBIT,MEAN,ANN_ROLL,2022,45931,,,'')":-3547.0,"BA-US^FE_ESTIMATE(EBIT,MEAN,ANN_ROLL,2021,45931,,,'')":-2896.4656,"BA-US^FE_ESTIMATE(DEP_AMORT_EXP,MEAN,ANN_ROLL,2027,45931,,,'')":2068.1667,"BA-US^FE_ESTIMATE(DEP_AMORT_EXP,MEAN,ANN_ROLL,2026,45931,,,'')":1997.7142,"BA-US^FE_ESTIMATE(DEP_AMORT_EXP,MEAN,ANN_ROLL,2025,45931,,,'')":1852.4286,"BA-US^FE_ESTIMATE(DEP_AMORT_EXP,MEAN,ANN_ROLL,2024,45931,,,'')":1808.625,"BA-US^FE_ESTIMATE(DEP_AMORT_EXP,MEAN,ANN_ROLL,2023,45931,,,'')":1861.0,"BA-US^FE_ESTIMATE(DEP_AMORT_EXP,MEAN,ANN_ROLL,2022,45931,,,'')":1951.7778,"BA-US^FE_ESTIMATE(DEP_AMORT_EXP,MEAN,ANN_ROLL,2021,45931,,,'')":2154.889,"BA-US^FE_ESTIMATE(EBITDAR,MEAN,ANN_ROLL,2027,45931,,,'')":null,"BA-US^FE_ESTIMATE(EBITDAR,MEAN,ANN_ROLL,2026,45931,,,'')":null,"BA-US^FE_ESTIMATE(EBITDAR,MEAN,ANN_ROLL,2025,45931,,,'')":null,"BA-US^FE_ESTIMATE(EBITDAR,MEAN,ANN_ROLL,2024,45931,,,'')":null,"BA-US^FE_ESTIMATE(EBITDAR,MEAN,ANN_ROLL,2023,45931,,,'')":null,"BA-US^FE_ESTIMATE(EBITDAR,MEAN,ANN_ROLL,2022,45931,,,'')":null,"BA-US^FE_ESTIMATE(EBITDAR,MEAN,ANN_ROLL,2021,45931,,,'')":null,"BA-US^FE_ESTIMATE(OPER_EXP,MEAN,ANN_ROLL,2027,45931,,,'')":null,"BA-US^FE_ESTIMATE(OPER_EXP,MEAN,ANN_ROLL,2026,45931,,,'')":null,"BA-US^FE_ESTIMATE(OPER_EXP,MEAN,ANN_ROLL,2025,45931,,,'')":null,"BA-US^FE_ESTIMATE(OPER_EXP,MEAN,ANN_ROLL,2024,45931,,,'')":null,"BA-US^FE_ESTIMATE(OPER_EXP,MEAN,ANN_ROLL,2023,45931,,,'')":null,"BA-US^FE_ESTIMATE(OPER_EXP,MEAN,ANN_ROLL,2022,45931,,,'')":null,"BA-US^FE_ESTIMATE(OPER_EXP,MEAN,ANN_ROLL,2021,45931,,,'')":null,"BA-US^FE_ESTIMATE(RD_EXP,MEAN,ANN_ROLL,2027,45931,,,'')":3725.6,"BA-US^FE_ESTIMATE(RD_EXP,MEAN,ANN_ROLL,2026,45931,,,'')":3725.1667,"BA-US^FE_ESTIMATE(RD_EXP,MEAN,ANN_ROLL,2025,45931,,,'')":3934.6667,"BA-US^FE_ESTIMATE(RD_EXP,MEAN,ANN_ROLL,2024,45931,,,'')":3779.6667,"BA-US^FE_ESTIMATE(RD_EXP,MEAN,ANN_ROLL,2023,45931,,,'')":3200.25,"BA-US^FE_ESTIMATE(RD_EXP,MEAN,ANN_ROLL,2022,45931,,,'')":2825.3333,"BA-US^FE_ESTIMATE(RD_EXP,MEAN,ANN_ROLL,2021,45931,,,'')":2249.0,"BA-US^FE_ESTIMATE(G_A_EXP,MEAN,ANN_ROLL,2027,45931,,,'')":6590.6665,"BA-US^FE_ESTIMATE(G_A_EXP,MEAN,ANN_ROLL,2026,45931,,,'')":5818.6665,"BA-US^FE_ESTIMATE(G_A_EXP,MEAN,ANN_ROLL,2025,45931,,,'')":5498.0,"BA-US^FE_ESTIMATE(G_A_EXP,MEAN,ANN_ROLL,2024,45931,,,'')":5021.0,"BA-US^FE_ESTIMATE(G_A_EXP,MEAN,ANN_ROLL,2023,45931,,,'')":4654.0,"BA-US^FE_ESTIMATE(G_A_EXP,MEAN,ANN_ROLL,2022,45931,,,'')":4056.0,"BA-US^FE_ESTIMATE(G_A_EXP,MEAN,ANN_ROLL,2021,45931,,,'')":4157.0,"BA-US^FE_ESTIMATE(SGA,MEAN,ANN_ROLL,2027,45931,,,'')":6115.793,"BA-US^FE_ESTIMATE(SGA,MEAN,ANN_ROLL,2026,45931,,,'')":6256.0435,"BA-US^FE_ESTIMATE(SGA,MEAN,ANN_ROLL,2025,45931,,,'')":5848.2983,"BA-US^FE_ESTIMATE(SGA,MEAN,ANN_ROLL,2024,45931,,,'')":5021.0,"BA-US^FE_ESTIMATE(SGA,MEAN,ANN_ROLL,2023,45931,,,'')":5168.0,"BA-US^FE_ESTIMATE(SGA,MEAN,ANN_ROLL,2022,45931,,,'')":4187.0,"BA-US^FE_ESTIMATE(SGA,MEAN,ANN_ROLL,2021,45931,,,'')":4157.0,"BA-US^FE_VALUATION(GROSS_MARGIN,MEAN,ANN_ROLL,2027,45931,,,'')/100":0.17330134,"BA-US^FE_VALUATION(GROSS_MARGIN,MEAN,ANN_ROLL,2026,45931,,,'')/100":0.16550203,"BA-US^FE_VALUATION(GROSS_MARGIN,MEAN,ANN_ROLL,2025,45931,,,'')/100":0.12148994,"BA-US^FE_VALUATION(GROSS_MARGIN,MEAN,ANN_ROLL,2024,45931,,,'')/100":-0.027804922,"BA-US^FE_VALUATION(GROSS_MARGIN,MEAN,ANN_ROLL,2023,45931,,,'')/100":0.104326814,"BA-US^FE_VALUATION(GROSS_MARGIN,MEAN,ANN_ROLL,2022,45931,,,'')/100":0.05598427,"BA-US^FE_VALUATION(GROSS_MARGIN,MEAN,ANN_ROLL,2021,45931,,,'')/100":0.054560147,"BA-US^FE_ESTIMATE(GROSS_INC,MEAN,ANN_ROLL,2027,45931,,,'')":18855.0,"BA-US^FE_ESTIMATE(GROSS_INC,MEAN,ANN_ROLL,2026,45931,,,'')":16090.0,"BA-US^FE_ESTIMATE(GROSS_INC,MEAN,ANN_ROLL,2025,45931,,,'')":10463.75,"BA-US^FE_ESTIMATE(GROSS_INC,MEAN,ANN_ROLL,2024,45931,,,'')":-1849.5,"BA-US^FE_ESTIMATE(GROSS_INC,MEAN,ANN_ROLL,2023,45931,,,'')":8116.0,"BA-US^FE_ESTIMATE(GROSS_INC,MEAN,ANN_ROLL,2022,45931,,,'')":3729.0,"BA-US^FE_ESTIMATE(GROSS_INC,MEAN,ANN_ROLL,2021,45931,,,'')":3398.3333,"BA-US^FE_ESTIMATE(COS,MEAN,ANN_ROLL,2027,45931,,,'')":90061.55,"BA-US^FE_ESTIMATE(COS,MEAN,ANN_ROLL,2026,45931,,,'')":82380.49,"BA-US^FE_ESTIMATE(COS,MEAN,ANN_ROLL,2025,45931,,,'')":75485.31,"BA-US^FE_ESTIMATE(COS,MEAN,ANN_ROLL,2024,45931,,,'')":68172.625,"BA-US^FE_ESTIMATE(COS,MEAN,ANN_ROLL,2023,45931,,,'')":68810.37,"BA-US^FE_ESTIMATE(COS,MEAN,ANN_ROLL,2022,45931,,,'')":61865.25,"BA-US^FE_ESTIMATE(COS,MEAN,ANN_ROLL,2021,45931,,,'')":58749.145,"BA-US^FE_ESTIMATE(SALES,MEAN,ANN_ROLL,2027,45931,,,'')":108798.93,"BA-US^FE_ESTIMATE(SALES,MEAN,ANN_ROLL,2026,45931,,,'')":97219.35,"BA-US^FE_ESTIMATE(SALES,MEAN,ANN_ROLL,2025,45931,,,'')":86128.53,"BA-US^FE_ESTIMATE(SALES,MEAN,ANN_ROLL,2024,45931,,,'')":66517.0,"BA-US^FE_ESTIMATE(SALES,MEAN,ANN_ROLL,2023,45931,,,'')":77794.0,"BA-US^FE_ESTIMATE(SALES,MEAN,ANN_ROLL,2022,45931,,,'')":66608.0,"BA-US^FE_ESTIMATE(SALES,MEAN,ANN_ROLL,2021,45931,,,'')":62286.0,"BA-US^FE_ESTIMATE(EBITDA,MEAN,ANN_ROLL,2021,45931,,,'')":-748.5376,"BA-US^FE_ESTIMATE(FCFPS,MEAN,QTR_ROLL,2025/3F,45931,,,'')":-1.2516884,"BA-US^FE_ESTIMATE(FCF,MEAN,QTR_ROLL,2025/3F,45931,,,'')":-1012.0347,"BA-US^FE_ESTIMATE(CAPEX,MEAN,QTR_ROLL,2025/3F,45931,,,'')":716.275,"BA-US^FE_ESTIMATE(CF_OP,MEAN,QTR_ROLL,2025/3F,45931,,,'')":-325.75,"BA-US^FE_ESTIMATE(NET_DEBT,MEAN,QTR_ROLL,2025/3F,45931,,,'')":31389.0,"BA-US^FE_ESTIMATE(DEBT,MEAN,QTR_ROLL,2025/3F,45931,,,'')":53323.0,"BA-US^FE_ESTIMATE(CASH_ST,MEAN,QTR_ROLL,2025/3F,45931,,,'')":5885.3335,"BA-US^FE_ESTIMATE(DPS,MEAN,QTR_ROLL,2025/3F,45931,,,'')":0.022,"BA-US^FE_ESTIMATE(EPS_GAAP,MEAN,QTR_ROLL,2025/3F,45931,,,'')":-0.13991031,"BA-US^FE_ESTIMATE(NET_INC_REP,MEAN,QTR_ROLL,2025/3F,45931,,,'')":148.32533,"BA-US^FE_ESTIMATE(PTX_INC_REP,MEAN,QTR_ROLL,2025/3F,45931,,,'')":-142.0,"BA-US^FE_ESTIMATE(EBITDA_REP,MEAN,QTR_ROLL,2025/3F,45931,,,'')":1075.2528,"BA-US^FE_ESTIMATE(EPS,MEAN,QTR_ROLL,2025/3F,45931,,,'')":-0.42837673,"BA-US^FE_ESTIMATE(NET_INC,MEAN,QTR_ROLL,2025/3F,45931,,,'')":148.32533,"BA-US^FE_VALUATION(TAX_RATE,MEAN,QTR_ROLL,2025/3F,45931,,,'')/100":-0.0016565713,"BA-US^FE_ESTIMATE(INC_TAX,MEAN,QTR_ROLL,2025/3F,45931,,,'')":-12.6,"BA-US^FE_ESTIMATE(PTX_INC,MEAN,QTR_ROLL,2025/3F,45931,,,'')":76.060715,"BA-US^FE_ESTIMATE(INT_EXP,MEAN,QTR_ROLL,2025/3F,45931,,,'')":705.7778,"BA-US^FE_ESTIMATE(EBIT,MEAN,QTR_ROLL,2025/3F,45931,,,'')":485.19534,"BA-US^FE_ESTIMATE(DEP_AMORT_EXP,MEAN,QTR_ROLL,2025/3F,45931,,,'')":471.16666,"BA-US^FE_ESTIMATE(EBITDA,MEAN,QTR_ROLL,2025/3F,45931,,,'')":1075.2528,"BA-US^FE_ESTIMATE(EBITDAR,MEAN,QTR_ROLL,2025/3F,45931,,,'')":null,"BA-US^FE_ESTIMATE(OPER_EXP,MEAN,QTR_ROLL,2025/3F,45931,,,'')":null,"BA-US^FE_ESTIMATE(RD_EXP,MEAN,QTR_ROLL,2025/3F,45931,,,'')":1028.3334,"BA-US^FE_ESTIMATE(G_A_EXP,MEAN,QTR_ROLL,2025/3F,45931,,,'')":1280.6666,"BA-US^FE_ESTIMATE(SGA,MEAN,QTR_ROLL,2025/3F,45931,,,'')":1468.0,"BA-US^FE_VALUATION(GROSS_MARGIN,MEAN,QTR_ROLL,2025/3F,45931,,,'')/100":0.09534357,"BA-US^FE_ESTIMATE(GROSS_INC,MEAN,QTR_ROLL,2025/3F,45931,,,'')":2049.5,"BA-US^FE_ESTIMATE(COS,MEAN,QTR_ROLL,2025/3F,45931,,,'')":19588.75,"BA-US^FE_ESTIMATE(SALES,MEAN,QTR_ROLL,2025/3F,45931,,,'')":21495.943,"BA-US^FE_ESTIMATE(FCFPS,MEAN,ANN_ROLL,2027,45957,,,'')":10.843721,"BA-US^FE_ESTIMATE(FCFPS,MEAN,ANN_ROLL,2026,45957,,,'')":5.666289,"BA-US^FE_ESTIMATE(FCFPS,MEAN,ANN_ROLL,2025,45957,,,'')":-4.194256,"BA-US^FE_ESTIMATE(FCFPS,MEAN,ANN_ROLL,2024,45957,,,'')":-22.351063,"BA-US^FE_ESTIMATE(FCFPS,MEAN,ANN_ROLL,2023,45957,,,'')":7.203665,"BA-US^FE_ESTIMATE(FCFPS,MEAN,ANN_ROLL,2022,45957,,,'')":4.023713,"BA-US^FE_ESTIMATE(FCFPS,MEAN,ANN_ROLL,2021,45957,,,'')":-6.8795238,"BA-US^FE_ESTIMATE(FCF,MEAN,ANN_ROLL,2027,45957,,,'')":8915.692,"BA-US^FE_ESTIMATE(FCF,MEAN,ANN_ROLL,2026,45957,,,'')":4706.6143,"BA-US^FE_ESTIMATE(FCF,MEAN,ANN_ROLL,2025,45957,,,'')":-2909.0525,"BA-US^FE_ESTIMATE(FCF,MEAN,ANN_ROLL,2024,45957,,,'')":-14310.0,"BA-US^FE_ESTIMATE(FCF,MEAN,ANN_ROLL,2023,45957,,,'')":4433.0,"BA-US^FE_ESTIMATE(FCF,MEAN,ANN_ROLL,2022,45957,,,'')":2290.0,"BA-US^FE_ESTIMATE(FCF,MEAN,ANN_ROLL,2021,45957,,,'')":-3560.0,"BA-US^FE_ESTIMATE(DPS,MEAN,ANN_ROLL,2027,45957,,,'')":0.26215073,"BA-US^FE_ESTIMATE(DPS,MEAN,ANN_ROLL,2026,45957,,,'')":0.04777778,"BA-US^FE_ESTIMATE(DPS,MEAN,ANN_ROLL,2025,45957,,,'')":0.04777778,"BA-US^FE_ESTIMATE(DPS,MEAN,ANN_ROLL,2024,45957,,,'')":0.0,"BA-US^FE_ESTIMATE(DPS,MEAN,ANN_ROLL,2023,45957,,,'')":0.0,"BA-US^FE_ESTIMATE(DPS,MEAN,ANN_ROLL,2022,45957,,,'')":0.0,"BA-US^FE_ESTIMATE(DPS,MEAN,ANN_ROLL,2021,45957,,,'')":0.0,"BA-US^FE_ESTIMATE(EPS_GAAP,MEAN,ANN_ROLL,2027,45957,,,'')":7.7872567,"BA-US^FE_ESTIMATE(EPS_GAAP,MEAN,ANN_ROLL,2026,45957,,,'')":4.3485665,"BA-US^FE_ESTIMATE(EPS_GAAP,MEAN,ANN_ROLL,2025,45957,,,'')":-5.109734,"BA-US^FE_ESTIMATE(EPS_GAAP,MEAN,ANN_ROLL,2024,45957,,,'')":-18.36,"BA-US^FE_ESTIMATE(EPS_GAAP,MEAN,ANN_ROLL,2023,45957,,,'')":-3.67,"BA-US^FE_ESTIMATE(EPS_GAAP,MEAN,ANN_ROLL,2022,45957,,,'')":-8.3,"BA-US^FE_ESTIMATE(EPS_GAAP,MEAN,ANN_ROLL,2021,45957,,,'')":-7.15,"BA-US^FE_ESTIMATE(NET_INC_REP,MEAN,ANN_ROLL,2027,45957,,,'')":6526.223,"BA-US^FE_ESTIMATE(NET_INC_REP,MEAN,ANN_ROLL,2026,45957,,,'')":3706.1555,"BA-US^FE_ESTIMATE(NET_INC_REP,MEAN,ANN_ROLL,2025,45957,,,'')":-593.91016,"BA-US^FE_ESTIMATE(NET_INC_REP,MEAN,ANN_ROLL,2024,45957,,,'')":-11875.0,"BA-US^FE_ESTIMATE(NET_INC_REP,MEAN,ANN_ROLL,2023,45957,,,'')":-2222.0,"BA-US^FE_ESTIMATE(NET_INC_REP,MEAN,ANN_ROLL,2022,45957,,,'')":-4935.0,"BA-US^FE_ESTIMATE(NET_INC_REP,MEAN,ANN_ROLL,2021,45957,,,'')":-4202.0,"BA-US^FE_ESTIMATE(PTX_INC_REP,MEAN,ANN_ROLL,2027,45957,,,'')":3844.0,"BA-US^FE_ESTIMATE(PTX_INC_REP,MEAN,ANN_ROLL,2026,45957,,,'')":1276.0,"BA-US^FE_ESTIMATE(PTX_INC_REP,MEAN,ANN_ROLL,2025,45957,,,'')":-4342.0,"BA-US^FE_ESTIMATE(PTX_INC_REP,MEAN,ANN_ROLL,2024,45957,,,'')":-12210.0,"BA-US^FE_ESTIMATE(PTX_INC_REP,MEAN,ANN_ROLL,2023,45957,,,'')":-2005.0,"BA-US^FE_ESTIMATE(PTX_INC_REP,MEAN,ANN_ROLL,2022,45957,,,'')":-5022.0,"BA-US^FE_ESTIMATE(PTX_INC_REP,MEAN,ANN_ROLL,2021,45957,,,'')":-6158.0,"BA-US^FE_ESTIMATE(EBITDA_REP,MEAN,ANN_ROLL,2027,45957,,,'')":11191.784,"BA-US^FE_ESTIMATE(EBITDA_REP,MEAN,ANN_ROLL,2026,45957,,,'')":7933.126,"BA-US^FE_ESTIMATE(EBITDA_REP,MEAN,ANN_ROLL,2025,45957,,,'')":3619.4138,"BA-US^FE_ESTIMATE(EBITDA_REP,MEAN,ANN_ROLL,2024,45957,,,'')":-8474.393,"BA-US^FE_ESTIMATE(EBITDA_REP,MEAN,ANN_ROLL,2023,45957,,,'')":1085.1666,"BA-US^FE_ESTIMATE(EBITDA_REP,MEAN,ANN_ROLL,2022,45957,,,'')":-1599.0416,"BA-US^FE_ESTIMATE(EBITDA_REP,MEAN,ANN_ROLL,2021,45957,,,'')":-747.6,"BA-US^FE_ESTIMATE(EPS,MEAN,ANN_ROLL,2027,45957,,,'')":6.420228,"BA-US^FE_ESTIMATE(EPS,MEAN,ANN_ROLL,2026,45957,,,'')":3.241433,"BA-US^FE_ESTIMATE(EPS,MEAN,ANN_ROLL,2025,45957,,,'')":-6.894647,"BA-US^FE_ESTIMATE(EPS,MEAN,ANN_ROLL,2024,45957,,,'')":-20.38,"BA-US^FE_ESTIMATE(EPS,MEAN,ANN_ROLL,2023,45957,,,'')":-5.81,"BA-US^FE_ESTIMATE(EPS,MEAN,ANN_ROLL,2022,45957,,,'')":-11.06,"BA-US^FE_ESTIMATE(EPS,MEAN,ANN_ROLL,2021,45957,,,'')":-9.44,"BA-US^FE_ESTIMATE(NET_INC,MEAN,ANN_ROLL,2027,45957,,,'')":6526.223,"BA-US^FE_ESTIMATE(NET_INC,MEAN,ANN_ROLL,2026,45957,,,'')":3706.1555,"BA-US^FE_ESTIMATE(NET_INC,MEAN,ANN_ROLL,2025,45957,,,'')":-593.91016,"BA-US^FE_ESTIMATE(NET_INC,MEAN,ANN_ROLL,2024,45957,,,'')":-11875.0,"BA-US^FE_ESTIMATE(NET_INC,MEAN,ANN_ROLL,2023,45957,,,'')":-2222.0,"BA-US^FE_ESTIMATE(NET_INC,MEAN,ANN_ROLL,2022,45957,,,'')":-4935.0,"BA-US^FE_ESTIMATE(NET_INC,MEAN,ANN_ROLL,2021,45957,,,'')":-4202.0,"BA-US^FE_VALUATION(TAX_RATE,MEAN,ANN_ROLL,2027,45957,,,'')/100":0.0013103103,"BA-US^FE_VALUATION(TAX_RATE,MEAN,ANN_ROLL,2026,45957,,,'')/100":0.0011555786,"BA-US^FE_VALUATION(TAX_RATE,MEAN,ANN_ROLL,2025,45957,,,'')/100":-0.02359543,"BA-US^FE_VALUATION(TAX_RATE,MEAN,ANN_ROLL,2024,45957,,,'')/100":0.00032393957,"BA-US^FE_VALUATION(TAX_RATE,MEAN,ANN_ROLL,2023,45957,,,'')/100":-0.0012102099,"BA-US^FE_VALUATION(TAX_RATE,MEAN,ANN_ROLL,2022,45957,,,'')/100":3.8287817E-06,"BA-US^FE_VALUATION(TAX_RATE,MEAN,ANN_ROLL,2021,45957,,,'')/100":0.0014517867,"BA-US^FE_ESTIMATE(INC_TAX,MEAN,ANN_ROLL,2027,45957,,,'')":1066.8334,"BA-US^FE_ESTIMATE(INC_TAX,MEAN,ANN_ROLL,2026,45957,,,'')":525.875,"BA-US^FE_ESTIMATE(INC_TAX,MEAN,ANN_ROLL,2025,45957,,,'')":167.77777,"BA-US^FE_ESTIMATE(INC_TAX,MEAN,ANN_ROLL,2024,45957,,,'')":-381.0,"BA-US^FE_ESTIMATE(INC_TAX,MEAN,ANN_ROLL,2023,45957,,,'')":232.16667,"BA-US^FE_ESTIMATE(INC_TAX,MEAN,ANN_ROLL,2022,45957,,,'')":-1.9166666,"BA-US^FE_ESTIMATE(INC_TAX,MEAN,ANN_ROLL,2021,45957,,,'')":-743.0,"BA-US^FE_ESTIMATE(PTX_INC,MEAN,ANN_ROLL,2027,45957,,,'')":8141.8374,"BA-US^FE_ESTIMATE(PTX_INC,MEAN,ANN_ROLL,2026,45957,,,'')":4550.7505,"BA-US^FE_ESTIMATE(PTX_INC,MEAN,ANN_ROLL,2025,45957,,,'')":-71.10604,"BA-US^FE_ESTIMATE(PTX_INC,MEAN,ANN_ROLL,2024,45957,,,'')":-11761.452,"BA-US^FE_ESTIMATE(PTX_INC,MEAN,ANN_ROLL,2023,45957,,,'')":-1918.4,"BA-US^FE_ESTIMATE(PTX_INC,MEAN,ANN_ROLL,2022,45957,,,'')":-5005.9443,"BA-US^FE_ESTIMATE(PTX_INC,MEAN,ANN_ROLL,2021,45957,,,'')":-5117.8315,"BA-US^FE_ESTIMATE(INT_EXP,MEAN,ANN_ROLL,2027,45957,,,'')":2222.8916,"BA-US^FE_ESTIMATE(INT_EXP,MEAN,ANN_ROLL,2026,45957,,,'')":2619.262,"BA-US^FE_ESTIMATE(INT_EXP,MEAN,ANN_ROLL,2025,45957,,,'')":2819.7021,"BA-US^FE_ESTIMATE(INT_EXP,MEAN,ANN_ROLL,2024,45957,,,'')":2725.0,"BA-US^FE_ESTIMATE(INT_EXP,MEAN,ANN_ROLL,2023,45957,,,'')":2459.0,"BA-US^FE_ESTIMATE(INT_EXP,MEAN,ANN_ROLL,2022,45957,,,'')":2533.0,"BA-US^FE_ESTIMATE(INT_EXP,MEAN,ANN_ROLL,2021,45957,,,'')":2682.0,"BA-US^FE_ESTIMATE(EBIT,MEAN,ANN_ROLL,2027,45957,,,'')":8864.424,"BA-US^FE_ESTIMATE(EBIT,MEAN,ANN_ROLL,2026,45957,,,'')":5932.639,"BA-US^FE_ESTIMATE(EBIT,MEAN,ANN_ROLL,2025,45957,,,'')":1670.9631,"BA-US^FE_ESTIMATE(EBIT,MEAN,ANN_ROLL,2024,45957,,,'')":-10224.7,"BA-US^FE_ESTIMATE(EBIT,MEAN,ANN_ROLL,2023,45957,,,'')":-775.0,"BA-US^FE_ESTIMATE(EBIT,MEAN,ANN_ROLL,2022,45957,,,'')":-3547.0,"BA-US^FE_ESTIMATE(EBIT,MEAN,ANN_ROLL,2021,45957,,,'')":-2896.4656,"BA-US^FE_ESTIMATE(DEP_AMORT_EXP,MEAN,ANN_ROLL,2027,45957,,,'')":2111.6,"BA-US^FE_ESTIMATE(DEP_AMORT_EXP,MEAN,ANN_ROLL,2026,45957,,,'')":2026.5,"BA-US^FE_ESTIMATE(DEP_AMORT_EXP,MEAN,ANN_ROLL,2025,45957,,,'')":1914.5,"BA-US^FE_ESTIMATE(DEP_AMORT_EXP,MEAN,ANN_ROLL,2024,45957,,,'')":1808.625,"BA-US^FE_ESTIMATE(DEP_AMORT_EXP,MEAN,ANN_ROLL,2023,45957,,,'')":1861.0,"BA-US^FE_ESTIMATE(DEP_AMORT_EXP,MEAN,ANN_ROLL,2022,45957,,,'')":1951.7778,"BA-US^FE_ESTIMATE(DEP_AMORT_EXP,MEAN,ANN_ROLL,2021,45957,,,'')":2154.889,"BA-US^FE_ESTIMATE(EBITDAR,MEAN,ANN_ROLL,2027,45957,,,'')":null,"BA-US^FE_ESTIMATE(EBITDAR,MEAN,ANN_ROLL,2026,45957,,,'')":null,"BA-US^FE_ESTIMATE(EBITDAR,MEAN,ANN_ROLL,2025,45957,,,'')":null,"BA-US^FE_ESTIMATE(EBITDAR,MEAN,ANN_ROLL,2024,45957,,,'')":null,"BA-US^FE_ESTIMATE(EBITDAR,MEAN,ANN_ROLL,2023,45957,,,'')":null,"BA-US^FE_ESTIMATE(EBITDAR,MEAN,ANN_ROLL,2022,45957,,,'')":null,"BA-US^FE_ESTIMATE(EBITDAR,MEAN,ANN_ROLL,2021,45957,,,'')":null,"BA-US^FE_ESTIMATE(OPER_EXP,MEAN,ANN_ROLL,2027,45957,,,'')":null,"BA-US^FE_ESTIMATE(OPER_EXP,MEAN,ANN_ROLL,2026,45957,,,'')":null,"BA-US^FE_ESTIMATE(OPER_EXP,MEAN,ANN_ROLL,2025,45957,,,'')":null,"BA-US^FE_ESTIMATE(OPER_EXP,MEAN,ANN_ROLL,2024,45957,,,'')":null,"BA-US^FE_ESTIMATE(OPER_EXP,MEAN,ANN_ROLL,2023,45957,,,'')":null,"BA-US^FE_ESTIMATE(OPER_EXP,MEAN,ANN_ROLL,2022,45957,,,'')":null,"BA-US^FE_ESTIMATE(OPER_EXP,MEAN,ANN_ROLL,2021,45957,,,'')":null,"BA-US^FE_ESTIMATE(RD_EXP,MEAN,ANN_ROLL,2027,45957,,,'')":3685.25,"BA-US^FE_ESTIMATE(RD_EXP,MEAN,ANN_ROLL,2026,45957,,,'')":3712.8,"BA-US^FE_ESTIMATE(RD_EXP,MEAN,ANN_ROLL,2025,45957,,,'')":3895.2,"BA-US^FE_ESTIMATE(RD_EXP,MEAN,ANN_ROLL,2024,45957,,,'')":3779.6667,"BA-US^FE_ESTIMATE(RD_EXP,MEAN,ANN_ROLL,2023,45957,,,'')":3200.25,"BA-US^FE_ESTIMATE(RD_EXP,MEAN,ANN_ROLL,2022,45957,,,'')":2825.3333,"BA-US^FE_ESTIMATE(RD_EXP,MEAN,ANN_ROLL,2021,45957,,,'')":2249.0,"BA-US^FE_ESTIMATE(G_A_EXP,MEAN,ANN_ROLL,2027,45957,,,'')":5874.5,"BA-US^FE_ESTIMATE(G_A_EXP,MEAN,ANN_ROLL,2026,45957,,,'')":5209.0,"BA-US^FE_ESTIMATE(G_A_EXP,MEAN,ANN_ROLL,2025,45957,,,'')":5364.5,"BA-US^FE_ESTIMATE(G_A_EXP,MEAN,ANN_ROLL,2024,45957,,,'')":5021.0,"BA-US^FE_ESTIMATE(G_A_EXP,MEAN,ANN_ROLL,2023,45957,,,'')":4654.0,"BA-US^FE_ESTIMATE(G_A_EXP,MEAN,ANN_ROLL,2022,45957,,,'')":4056.0,"BA-US^FE_ESTIMATE(G_A_EXP,MEAN,ANN_ROLL,2021,45957,,,'')":4157.0,"BA-US^FE_ESTIMATE(SGA,MEAN,ANN_ROLL,2027,45957,,,'')":5939.0645,"BA-US^FE_ESTIMATE(SGA,MEAN,ANN_ROLL,2026,45957,,,'')":6116.502,"BA-US^FE_ESTIMATE(SGA,MEAN,ANN_ROLL,2025,45957,,,'')":5984.484,"BA-US^FE_ESTIMATE(SGA,MEAN,ANN_ROLL,2024,45957,,,'')":5021.0,"BA-US^FE_ESTIMATE(SGA,MEAN,ANN_ROLL,2023,45957,,,'')":5168.0,"BA-US^FE_ESTIMATE(SGA,MEAN,ANN_ROLL,2022,45957,,,'')":4187.0,"BA-US^FE_ESTIMATE(SGA,MEAN,ANN_ROLL,2021,45957,,,'')":4157.0,"BA-US^FE_VALUATION(GROSS_MARGIN,MEAN,ANN_ROLL,2027,45957,,,'')/100":0.1731359,"BA-US^FE_VALUATION(GROSS_MARGIN,MEAN,ANN_ROLL,2026,45957,,,'')/100":0.1663054,"BA-US^FE_VALUATION(GROSS_MARGIN,MEAN,ANN_ROLL,2025,45957,,,'')/100":0.09807303,"BA-US^FE_VALUATION(GROSS_MARGIN,MEAN,ANN_ROLL,2024,45957,,,'')/100":-0.027804922,"BA-US^FE_VALUATION(GROSS_MARGIN,MEAN,ANN_ROLL,2023,45957,,,'')/100":0.104326814,"BA-US^FE_VALUATION(GROSS_MARGIN,MEAN,ANN_ROLL,2022,45957,,,'')/100":0.05598427,"BA-US^FE_VALUATION(GROSS_MARGIN,MEAN,ANN_ROLL,2021,45957,,,'')/100":0.054560147,"BA-US^FE_ESTIMATE(GROSS_INC,MEAN,ANN_ROLL,2027,45957,,,'')":18843.5,"BA-US^FE_ESTIMATE(GROSS_INC,MEAN,ANN_ROLL,2026,45957,,,'')":16080.0,"BA-US^FE_ESTIMATE(GROSS_INC,MEAN,ANN_ROLL,2025,45957,,,'')":8505.5,"BA-US^FE_ESTIMATE(GROSS_INC,MEAN,ANN_ROLL,2024,45957,,,'')":-1849.5,"BA-US^FE_ESTIMATE(GROSS_INC,MEAN,ANN_ROLL,2023,45957,,,'')":8116.0,"BA-US^FE_ESTIMATE(GROSS_INC,MEAN,ANN_ROLL,2022,45957,,,'')":3729.0,"BA-US^FE_ESTIMATE(GROSS_INC,MEAN,ANN_ROLL,2021,45957,,,'')":3398.3333,"BA-US^FE_ESTIMATE(COS,MEAN,ANN_ROLL,2027,45957,,,'')":89106.5,"BA-US^FE_ESTIMATE(COS,MEAN,ANN_ROLL,2026,45957,,,'')":81844.86,"BA-US^FE_ESTIMATE(COS,MEAN,ANN_ROLL,2025,45957,,,'')":79106.94,"BA-US^FE_ESTIMATE(COS,MEAN,ANN_ROLL,2024,45957,,,'')":68172.625,"BA-US^FE_ESTIMATE(COS,MEAN,ANN_ROLL,2023,45957,,,'')":68810.37,"BA-US^FE_ESTIMATE(COS,MEAN,ANN_ROLL,2022,45957,,,'')":61865.25,"BA-US^FE_ESTIMATE(COS,MEAN,ANN_ROLL,2021,45957,,,'')":58749.145,"BA-US^FE_ESTIMATE(SALES,MEAN,ANN_ROLL,2027,45957,,,'')":108836.46,"BA-US^FE_ESTIMATE(SALES,MEAN,ANN_ROLL,2026,45957,,,'')":96689.586,"BA-US^FE_ESTIMATE(SALES,MEAN,ANN_ROLL,2025,45957,,,'')":86726.19,"BA-US^FE_ESTIMATE(SALES,MEAN,ANN_ROLL,2024,45957,,,'')":66517.0,"BA-US^FE_ESTIMATE(SALES,MEAN,ANN_ROLL,2023,45957,,,'')":77794.0,"BA-US^FE_ESTIMATE(SALES,MEAN,ANN_ROLL,2022,45957,,,'')":66608.0,"BA-US^FE_ESTIMATE(SALES,MEAN,ANN_ROLL,2021,45957,,,'')":62286.0,"BA-US^FE_ESTIMATE(EBITDA,MEAN,ANN_ROLL,2021,45957,,,'')":-748.5376,"BA-US^FE_ESTIMATE(FCFPS,MEAN,QTR_ROLL,2025/3F,45957,,,'')":-0.9684297,"BA-US^FE_ESTIMATE(FCF,MEAN,QTR_ROLL,2025/3F,45957,,,'')":-493.23148,"BA-US^FE_ESTIMATE(CAPEX,MEAN,QTR_ROLL,2025/3F,45957,,,'')":730.69385,"BA-US^FE_ESTIMATE(CF_OP,MEAN,QTR_ROLL,2025/3F,45957,,,'')":160.0,"BA-US^FE_ESTIMATE(NET_DEBT,MEAN,QTR_ROLL,2025/3F,45957,,,'')":30300.0,"BA-US^FE_ESTIMATE(DEBT,MEAN,QTR_ROLL,2025/3F,45957,,,'')":53323.0,"BA-US^FE_ESTIMATE(CASH_ST,MEAN,QTR_ROLL,2025/3F,45957,,,'')":6104.6665,"BA-US^FE_ESTIMATE(DPS,MEAN,QTR_ROLL,2025/3F,45957,,,'')":0.022,"BA-US^FE_ESTIMATE(EPS_GAAP,MEAN,QTR_ROLL,2025/3F,45957,,,'')":-4.538928,"BA-US^FE_ESTIMATE(NET_INC_REP,MEAN,QTR_ROLL,2025/3F,45957,,,'')":100.23569,"BA-US^FE_ESTIMATE(PTX_INC_REP,MEAN,QTR_ROLL,2025/3F,45957,,,'')":-3967.0,"BA-US^FE_ESTIMATE(EBITDA_REP,MEAN,QTR_ROLL,2025/3F,45957,,,'')":1022.5682,"BA-US^FE_ESTIMATE(EPS,MEAN,QTR_ROLL,2025/3F,45957,,,'')":-5.16125,"BA-US^FE_ESTIMATE(NET_INC,MEAN,QTR_ROLL,2025/3F,45957,,,'')":100.23569,"BA-US^FE_VALUATION(TAX_RATE,MEAN,QTR_ROLL,2025/3F,45957,,,'')/100":-0.001136594,"BA-US^FE_ESTIMATE(INC_TAX,MEAN,QTR_ROLL,2025/3F,45957,,,'')":-10.0,"BA-US^FE_ESTIMATE(PTX_INC,MEAN,QTR_ROLL,2025/3F,45957,,,'')":87.98216,"BA-US^FE_ESTIMATE(INT_EXP,MEAN,QTR_ROLL,2025/3F,45957,,,'')":702.75,"BA-US^FE_ESTIMATE(EBIT,MEAN,QTR_ROLL,2025/3F,45957,,,'')":489.55334,"BA-US^FE_ESTIMATE(DEP_AMORT_EXP,MEAN,QTR_ROLL,2025/3F,45957,,,'')":486.5,"BA-US^FE_ESTIMATE(EBITDA,MEAN,QTR_ROLL,2025/3F,45957,,,'')":1022.5682,"BA-US^FE_ESTIMATE(EBITDAR,MEAN,QTR_ROLL,2025/3F,45957,,,'')":null,"BA-US^FE_ESTIMATE(OPER_EXP,MEAN,QTR_ROLL,2025/3F,45957,,,'')":null,"BA-US^FE_ESTIMATE(RD_EXP,MEAN,QTR_ROLL,2025/3F,45957,,,'')":1055.8,"BA-US^FE_ESTIMATE(G_A_EXP,MEAN,QTR_ROLL,2025/3F,45957,,,'')":1203.0,"BA-US^FE_ESTIMATE(SGA,MEAN,QTR_ROLL,2025/3F,45957,,,'')":1468.0,"BA-US^FE_VALUATION(GROSS_MARGIN,MEAN,QTR_ROLL,2025/3F,45957,,,'')/100":0.010042296,"BA-US^FE_ESTIMATE(GROSS_INC,MEAN,QTR_ROLL,2025/3F,45957,,,'')":221.5,"BA-US^FE_ESTIMATE(COS,MEAN,QTR_ROLL,2025/3F,45957,,,'')":21570.666,"BA-US^FE_ESTIMATE(SALES,MEAN,QTR_ROLL,2025/3F,45957,,,'')":22056.709,"BA-US^FE_ESTIMATE(FCFPS,MEAN,ANN_ROLL,2028,46029,,,'')":11.6875,"BA-US^FE_ESTIMATE(FCFPS,MEAN,ANN_ROLL,2027,46029,,,'')":8.549539,"BA-US^FE_ESTIMATE(FCFPS,MEAN,ANN_ROLL,2026,46029,,,'')":2.94742,"BA-US^FE_ESTIMATE(FCFPS,MEAN,ANN_ROLL,2025,46029,,,'')":-3.087357,"BA-US^FE_ESTIMATE(FCFPS,MEAN,ANN_ROLL,2024,46029,,,'')":-22.351063,"BA-US^FE_ESTIMATE(FCFPS,MEAN,ANN_ROLL,2023,46029,,,'')":7.203665,"BA-US^FE_ESTIMATE(FCFPS,MEAN,ANN_ROLL,2022,46029,,,'')":4.023713,"BA-US^FE_ESTIMATE(FCFPS,MEAN,ANN_ROLL,2021,46029,,,'')":-6.8795238,"BA-US^FE_ESTIMATE(FCF,MEAN,ANN_ROLL,2028,46029,,,'')":10113.569,"BA-US^FE_ESTIMATE(FCF,MEAN,ANN_ROLL,2027,46029,,,'')":6642.523,"BA-US^FE_ESTIMATE(FCF,MEAN,ANN_ROLL,2026,46029,,,'')":2013.3673,"BA-US^FE_ESTIMATE(FCF,MEAN,ANN_ROLL,2025,46029,,,'')":-2141.6438,"BA-US^FE_ESTIMATE(FCF,MEAN,ANN_ROLL,2024,46029,,,'')":-14310.0,"BA-US^FE_ESTIMATE(FCF,MEAN,ANN_ROLL,2023,46029,,,'')":4433.0,"BA-US^FE_ESTIMATE(FCF,MEAN,ANN_ROLL,2022,46029,,,'')":2290.0,"BA-US^FE_ESTIMATE(FCF,MEAN,ANN_ROLL,2021,46029,,,'')":-3560.0,"BA-US^FE_ESTIMATE(DPS,MEAN,ANN_ROLL,2028,46029,,,'')":0.31906503,"BA-US^FE_ESTIMATE(DPS,MEAN,ANN_ROLL,2027,46029,,,'')":0.15168753,"BA-US^FE_ESTIMATE(DPS,MEAN,ANN_ROLL,2026,46029,,,'')":0.0311748,"BA-US^FE_ESTIMATE(DPS,MEAN,ANN_ROLL,2025,46029,,,'')":0.030741435,"BA-US^FE_ESTIMATE(DPS,MEAN,ANN_ROLL,2024,46029,,,'')":0.0,"BA-US^FE_ESTIMATE(DPS,MEAN,ANN_ROLL,2023,46029,,,'')":0.0,"BA-US^FE_ESTIMATE(DPS,MEAN,ANN_ROLL,2022,46029,,,'')":0.0,"BA-US^FE_ESTIMATE(DPS,MEAN,ANN_ROLL,2021,46029,,,'')":0.0,"BA-US^FE_ESTIMATE(EPS_GAAP,MEAN,ANN_ROLL,2028,46029,,,'')":9.924982,"BA-US^FE_ESTIMATE(EPS_GAAP,MEAN,ANN_ROLL,2027,46029,,,'')":6.862964,"BA-US^FE_ESTIMATE(EPS_GAAP,MEAN,ANN_ROLL,2026,46029,,,'')":3.2602248,"BA-US^FE_ESTIMATE(EPS_GAAP,MEAN,ANN_ROLL,2025,46029,,,'')":-8.1384325,"BA-US^FE_ESTIMATE(EPS_GAAP,MEAN,ANN_ROLL,2024,46029,,,'')":-18.36,"BA-US^FE_ESTIMATE(EPS_GAAP,MEAN,ANN_ROLL,2023,46029,,,'')":-3.67,"BA-US^FE_ESTIMATE(EPS_GAAP,MEAN,ANN_ROLL,2022,46029,,,'')":-8.3,"BA-US^FE_ESTIMATE(EPS_GAAP,MEAN,ANN_ROLL,2021,46029,,,'')":-7.15,"BA-US^FE_ESTIMATE(NET_INC_REP,MEAN,ANN_ROLL,2028,46029,,,'')":8192.775,"BA-US^FE_ESTIMATE(NET_INC_REP,MEAN,ANN_ROLL,2027,46029,,,'')":5691.6987,"BA-US^FE_ESTIMATE(NET_INC_REP,MEAN,ANN_ROLL,2026,46029,,,'')":2692.839,"BA-US^FE_ESTIMATE(NET_INC_REP,MEAN,ANN_ROLL,2025,46029,,,'')":-6143.8984,"BA-US^FE_ESTIMATE(NET_INC_REP,MEAN,ANN_ROLL,2024,46029,,,'')":-11875.0,"BA-US^FE_ESTIMATE(NET_INC_REP,MEAN,ANN_ROLL,2023,46029,,,'')":-2222.0,"BA-US^FE_ESTIMATE(NET_INC_REP,MEAN,ANN_ROLL,2022,46029,,,'')":-4935.0,"BA-US^FE_ESTIMATE(NET_INC_REP,MEAN,ANN_ROLL,2021,46029,,,'')":-4202.0,"BA-US^FE_ESTIMATE(PTX_INC_REP,MEAN,ANN_ROLL,2028,46029,,,'')":null,"BA-US^FE_ESTIMATE(PTX_INC_REP,MEAN,ANN_ROLL,2027,46029,,,'')":3093.1765,"BA-US^FE_ESTIMATE(PTX_INC_REP,MEAN,ANN_ROLL,2026,46029,,,'')":725.4228,"BA-US^FE_ESTIMATE(PTX_INC_REP,MEAN,ANN_ROLL,2025,46029,,,'')":-5852.4014,"BA-US^FE_ESTIMATE(PTX_INC_REP,MEAN,ANN_ROLL,2024,46029,,,'')":-12210.0,"BA-US^FE_ESTIMATE(PTX_INC_REP,MEAN,ANN_ROLL,2023,46029,,,'')":-2005.0,"BA-US^FE_ESTIMATE(PTX_INC_REP,MEAN,ANN_ROLL,2022,46029,,,'')":-5022.0,"BA-US^FE_ESTIMATE(PTX_INC_REP,MEAN,ANN_ROLL,2021,46029,,,'')":-6158.0,"BA-US^FE_ESTIMATE(EBITDA_REP,MEAN,ANN_ROLL,2028,46029,,,'')":12656.99,"BA-US^FE_ESTIMATE(EBITDA_REP,MEAN,ANN_ROLL,2027,46029,,,'')":10376.569,"BA-US^FE_ESTIMATE(EBITDA_REP,MEAN,ANN_ROLL,2026,46029,,,'')":6872.679,"BA-US^FE_ESTIMATE(EBITDA_REP,MEAN,ANN_ROLL,2025,46029,,,'')":-1974.6144,"BA-US^FE_ESTIMATE(EBITDA_REP,MEAN,ANN_ROLL,2024,46029,,,'')":-8474.393,"BA-US^FE_ESTIMATE(EBITDA_REP,MEAN,ANN_ROLL,2023,46029,,,'')":1085.1666,"BA-US^FE_ESTIMATE(EBITDA_REP,MEAN,ANN_ROLL,2022,46029,,,'')":-1599.0416,"BA-US^FE_ESTIMATE(EBITDA_REP,MEAN,ANN_ROLL,2021,46029,,,'')":-747.6,"BA-US^FE_ESTIMATE(EPS,MEAN,ANN_ROLL,2028,46029,,,'')":8.378462,"BA-US^FE_ESTIMATE(EPS,MEAN,ANN_ROLL,2027,46029,,,'')":6.103962,"BA-US^FE_ESTIMATE(EPS,MEAN,ANN_ROLL,2026,46029,,,'')":2.1545491,"BA-US^FE_ESTIMATE(EPS,MEAN,ANN_ROLL,2025,46029,,,'')":-9.374434,"BA-US^FE_ESTIMATE(EPS,MEAN,ANN_ROLL,2024,46029,,,'')":-20.38,"BA-US^FE_ESTIMATE(EPS,MEAN,ANN_ROLL,2023,46029,,,'')":-5.81,"BA-US^FE_ESTIMATE(EPS,MEAN,ANN_ROLL,2022,46029,,,'')":-11.06,"BA-US^FE_ESTIMATE(EPS,MEAN,ANN_ROLL,2021,46029,,,'')":-9.44,"BA-US^FE_ESTIMATE(NET_INC,MEAN,ANN_ROLL,2028,46029,,,'')":7887.553,"BA-US^FE_ESTIMATE(NET_INC,MEAN,ANN_ROLL,2027,46029,,,'')":5441.4546,"BA-US^FE_ESTIMATE(NET_INC,MEAN,ANN_ROLL,2026,46029,,,'')":2692.839,"BA-US^FE_ESTIMATE(NET_INC,MEAN,ANN_ROLL,2025,46029,,,'')":-6185.676,"BA-US^FE_ESTIMATE(NET_INC,MEAN,ANN_ROLL,2024,46029,,,'')":-11875.0,"BA-US^FE_ESTIMATE(NET_INC,MEAN,ANN_ROLL,2023,46029,,,'')":-2222.0,"BA-US^FE_ESTIMATE(NET_INC,MEAN,ANN_ROLL,2022,46029,,,'')":-4935.0,"BA-US^FE_ESTIMATE(NET_INC,MEAN,ANN_ROLL,2021,46029,,,'')":-4202.0,"BA-US^FE_VALUATION(TAX_RATE,MEAN,ANN_ROLL,2028,46029,,,'')/100":0.0014166592,"BA-US^FE_VALUATION(TAX_RATE,MEAN,ANN_ROLL,2027,46029,,,'')/100":0.0013228446,"BA-US^FE_VALUATION(TAX_RATE,MEAN,ANN_ROLL,2026,46029,,,'')/100":0.0012191971,"BA-US^FE_VALUATION(TAX_RATE,MEAN,ANN_ROLL,2025,46029,,,'')/100":-0.00057924946,"BA-US^FE_VALUATION(TAX_RATE,MEAN,ANN_ROLL,2024,46029,,,'')/100":0.00032393957,"BA-US^FE_VALUATION(TAX_RATE,MEAN,ANN_ROLL,2023,46029,,,'')/100":-0.0012102099,"BA-US^FE_VALUATION(TAX_RATE,MEAN,ANN_ROLL,2022,46029,,,'')/100":3.8287817E-06,"BA-US^FE_VALUATION(TAX_RATE,MEAN,ANN_ROLL,2021,46029,,,'')/100":0.0014517867,"BA-US^FE_ESTIMATE(INC_TAX,MEAN,ANN_ROLL,2028,46029,,,'')":1365.0,"BA-US^FE_ESTIMATE(INC_TAX,MEAN,ANN_ROLL,2027,46029,,,'')":899.0697,"BA-US^FE_ESTIMATE(INC_TAX,MEAN,ANN_ROLL,2026,46029,,,'')":388.32004,"BA-US^FE_ESTIMATE(INC_TAX,MEAN,ANN_ROLL,2025,46029,,,'')":330.45197,"BA-US^FE_ESTIMATE(INC_TAX,MEAN,ANN_ROLL,2024,46029,,,'')":-381.0,"BA-US^FE_ESTIMATE(INC_TAX,MEAN,ANN_ROLL,2023,46029,,,'')":232.16667,"BA-US^FE_ESTIMATE(INC_TAX,MEAN,ANN_ROLL,2022,46029,,,'')":-1.9166666,"BA-US^FE_ESTIMATE(INC_TAX,MEAN,ANN_ROLL,2021,46029,,,'')":-743.0,"BA-US^FE_ESTIMATE(PTX_INC,MEAN,ANN_ROLL,2028,46029,,,'')":9635.345,"BA-US^FE_ESTIMATE(PTX_INC,MEAN,ANN_ROLL,2027,46029,,,'')":6796.488,"BA-US^FE_ESTIMATE(PTX_INC,MEAN,ANN_ROLL,2026,46029,,,'')":3185.0474,"BA-US^FE_ESTIMATE(PTX_INC,MEAN,ANN_ROLL,2025,46029,,,'')":-5704.83,"BA-US^FE_ESTIMATE(PTX_INC,MEAN,ANN_ROLL,2024,46029,,,'')":-11761.452,"BA-US^FE_ESTIMATE(PTX_INC,MEAN,ANN_ROLL,2023,46029,,,'')":-1918.4,"BA-US^FE_ESTIMATE(PTX_INC,MEAN,ANN_ROLL,2022,46029,,,'')":-5005.9443,"BA-US^FE_ESTIMATE(PTX_INC,MEAN,ANN_ROLL,2021,46029,,,'')":-5117.8315,"BA-US^FE_ESTIMATE(INT_EXP,MEAN,ANN_ROLL,2028,46029,,,'')":2015.0,"BA-US^FE_ESTIMATE(INT_EXP,MEAN,ANN_ROLL,2027,46029,,,'')":2246.6755,"BA-US^FE_ESTIMATE(INT_EXP,MEAN,ANN_ROLL,2026,46029,,,'')":2617.4436,"BA-US^FE_ESTIMATE(INT_EXP,MEAN,ANN_ROLL,2025,46029,,,'')":2809.5364,"BA-US^FE_ESTIMATE(INT_EXP,MEAN,ANN_ROLL,2024,46029,,,'')":2725.0,"BA-US^FE_ESTIMATE(INT_EXP,MEAN,ANN_ROLL,2023,46029,,,'')":2459.0,"BA-US^FE_ESTIMATE(INT_EXP,MEAN,ANN_ROLL,2022,46029,,,'')":2533.0,"BA-US^FE_ESTIMATE(INT_EXP,MEAN,ANN_ROLL,2021,46029,,,'')":2682.0,"BA-US^FE_ESTIMATE(EBIT,MEAN,ANN_ROLL,2028,46029,,,'')":10173.672,"BA-US^FE_ESTIMATE(EBIT,MEAN,ANN_ROLL,2027,46029,,,'')":8106.4434,"BA-US^FE_ESTIMATE(EBIT,MEAN,ANN_ROLL,2026,46029,,,'')":5126.8896,"BA-US^FE_ESTIMATE(EBIT,MEAN,ANN_ROLL,2025,46029,,,'')":-3949.0896,"BA-US^FE_ESTIMATE(EBIT,MEAN,ANN_ROLL,2024,46029,,,'')":-10224.7,"BA-US^FE_ESTIMATE(EBIT,MEAN,ANN_ROLL,2023,46029,,,'')":-775.0,"BA-US^FE_ESTIMATE(EBIT,MEAN,ANN_ROLL,2022,46029,,,'')":-3547.0,"BA-US^FE_ESTIMATE(EBIT,MEAN,ANN_ROLL,2021,46029,,,'')":-2896.4656,"BA-US^FE_ESTIMATE(DEP_AMORT_EXP,MEAN,ANN_ROLL,2028,46029,,,'')":2098.0,"BA-US^FE_ESTIMATE(DEP_AMORT_EXP,MEAN,ANN_ROLL,2027,46029,,,'')":2137.8237,"BA-US^FE_ESTIMATE(DEP_AMORT_EXP,MEAN,ANN_ROLL,2026,46029,,,'')":2050.1448,"BA-US^FE_ESTIMATE(DEP_AMORT_EXP,MEAN,ANN_ROLL,2025,46029,,,'')":1903.2352,"BA-US^FE_ESTIMATE(DEP_AMORT_EXP,MEAN,ANN_ROLL,2024,46029,,,'')":1808.625,"BA-US^FE_ESTIMATE(DEP_AMORT_EXP,MEAN,ANN_ROLL,2023,46029,,,'')":1861.0,"BA-US^FE_ESTIMATE(DEP_AMORT_EXP,MEAN,ANN_ROLL,2022,46029,,,'')":1951.7778,"BA-US^FE_ESTIMATE(DEP_AMORT_EXP,MEAN,ANN_ROLL,2021,46029,,,'')":2154.889,"BA-US^FE_ESTIMATE(EBITDAR,MEAN,ANN_ROLL,2028,46029,,,'')":null,"BA-US^FE_ESTIMATE(EBITDAR,MEAN,ANN_ROLL,2027,46029,,,'')":null,"BA-US^FE_ESTIMATE(EBITDAR,MEAN,ANN_ROLL,2026,46029,,,'')":null,"BA-US^FE_ESTIMATE(EBITDAR,MEAN,ANN_ROLL,2025,46029,,,'')":null,"BA-US^FE_ESTIMATE(EBITDAR,MEAN,ANN_ROLL,2024,46029,,,'')":null,"BA-US^FE_ESTIMATE(EBITDAR,MEAN,ANN_ROLL,2023,46029,,,'')":null,"BA-US^FE_ESTIMATE(EBITDAR,MEAN,ANN_ROLL,2022,46029,,,'')":null,"BA-US^FE_ESTIMATE(EBITDAR,MEAN,ANN_ROLL,2021,46029,,,'')":null,"BA-US^FE_ESTIMATE(OPER_EXP,MEAN,ANN_ROLL,2028,46029,,,'')":null,"BA-US^FE_ESTIMATE(OPER_EXP,MEAN,ANN_ROLL,2027,46029,,,'')":null,"BA-US^FE_ESTIMATE(OPER_EXP,MEAN,ANN_ROLL,2026,46029,,,'')":null,"BA-US^FE_ESTIMATE(OPER_EXP,MEAN,ANN_ROLL,2025,46029,,,'')":null,"BA-US^FE_ESTIMATE(OPER_EXP,MEAN,ANN_ROLL,2024,46029,,,'')":null,"BA-US^FE_ESTIMATE(OPER_EXP,MEAN,ANN_ROLL,2023,46029,,,'')":null,"BA-US^FE_ESTIMATE(OPER_EXP,MEAN,ANN_ROLL,2022,46029,,,'')":null,"BA-US^FE_ESTIMATE(OPER_EXP,MEAN,ANN_ROLL,2021,46029,,,'')":null,"BA-US^FE_ESTIMATE(RD_EXP,MEAN,ANN_ROLL,2028,46029,,,'')":4215.3335,"BA-US^FE_ESTIMATE(RD_EXP,MEAN,ANN_ROLL,2027,46029,,,'')":3990.8,"BA-US^FE_ESTIMATE(RD_EXP,MEAN,ANN_ROLL,2026,46029,,,'')":3922.3333,"BA-US^FE_ESTIMATE(RD_EXP,MEAN,ANN_ROLL,2025,46029,,,'')":3702.6667,"BA-US^FE_ESTIMATE(RD_EXP,MEAN,ANN_ROLL,2024,46029,,,'')":3779.6667,"BA-US^FE_ESTIMATE(RD_EXP,MEAN,ANN_ROLL,2023,46029,,,'')":3200.25,"BA-US^FE_ESTIMATE(RD_EXP,MEAN,ANN_ROLL,2022,46029,,,'')":2825.3333,"BA-US^FE_ESTIMATE(RD_EXP,MEAN,ANN_ROLL,2021,46029,,,'')":2249.0,"BA-US^FE_ESTIMATE(G_A_EXP,MEAN,ANN_ROLL,2028,46029,,,'')":9288.0,"BA-US^FE_ESTIMATE(G_A_EXP,MEAN,ANN_ROLL,2027,46029,,,'')":6360.25,"BA-US^FE_ESTIMATE(G_A_EXP,MEAN,ANN_ROLL,2026,46029,,,'')":5831.5,"BA-US^FE_ESTIMATE(G_A_EXP,MEAN,ANN_ROLL,2025,46029,,,'')":5789.0,"BA-US^FE_ESTIMATE(G_A_EXP,MEAN,ANN_ROLL,2024,46029,,,'')":5021.0,"BA-US^FE_ESTIMATE(G_A_EXP,MEAN,ANN_ROLL,2023,46029,,,'')":4654.0,"BA-US^FE_ESTIMATE(G_A_EXP,MEAN,ANN_ROLL,2022,46029,,,'')":4056.0,"BA-US^FE_ESTIMATE(G_A_EXP,MEAN,ANN_ROLL,2021,46029,,,'')":4157.0,"BA-US^FE_ESTIMATE(SGA,MEAN,ANN_ROLL,2028,46029,,,'')":6750.0,"BA-US^FE_ESTIMATE(SGA,MEAN,ANN_ROLL,2027,46029,,,'')":6452.7935,"BA-US^FE_ESTIMATE(SGA,MEAN,ANN_ROLL,2026,46029,,,'')":6408.2695,"BA-US^FE_ESTIMATE(SGA,MEAN,ANN_ROLL,2025,46029,,,'')":5887.641,"BA-US^FE_ESTIMATE(SGA,MEAN,ANN_ROLL,2024,46029,,,'')":5021.0,"BA-US^FE_ESTIMATE(SGA,MEAN,ANN_ROLL,2023,46029,,,'')":5168.0,"BA-US^FE_ESTIMATE(SGA,MEAN,ANN_ROLL,2022,46029,,,'')":4187.0,"BA-US^FE_ESTIMATE(SGA,MEAN,ANN_ROLL,2021,46029,,,'')":4157.0,"BA-US^FE_VALUATION(GROSS_MARGIN,MEAN,ANN_ROLL,2028,46029,,,'')/100":0.18634532,"BA-US^FE_VALUATION(GROSS_MARGIN,MEAN,ANN_ROLL,2027,46029,,,'')/100":0.18117175,"BA-US^FE_VALUATION(GROSS_MARGIN,MEAN,ANN_ROLL,2026,46029,,,'')/100":0.16044149,"BA-US^FE_VALUATION(GROSS_MARGIN,MEAN,ANN_ROLL,2025,46029,,,'')/100":0.05974256,"BA-US^FE_VALUATION(GROSS_MARGIN,MEAN,ANN_ROLL,2024,46029,,,'')/100":-0.027804922,"BA-US^FE_VALUATION(GROSS_MARGIN,MEAN,ANN_ROLL,2023,46029,,,'')/100":0.104326814,"BA-US^FE_VALUATION(GROSS_MARGIN,MEAN,ANN_ROLL,2022,46029,,,'')/100":0.05598427,"BA-US^FE_VALUATION(GROSS_MARGIN,MEAN,ANN_ROLL,2021,46029,,,'')/100":0.054560147,"BA-US^FE_ESTIMATE(GROSS_INC,MEAN,ANN_ROLL,2028,46029,,,'')":22225.0,"BA-US^FE_ESTIMATE(GROSS_INC,MEAN,ANN_ROLL,2027,46029,,,'')":19732.0,"BA-US^FE_ESTIMATE(GROSS_INC,MEAN,ANN_ROLL,2026,46029,,,'')":15528.333,"BA-US^FE_ESTIMATE(GROSS_INC,MEAN,ANN_ROLL,2025,46029,,,'')":5240.6665,"BA-US^FE_ESTIMATE(GROSS_INC,MEAN,ANN_ROLL,2024,46029,,,'')":-1849.5,"BA-US^FE_ESTIMATE(GROSS_INC,MEAN,ANN_ROLL,2023,46029,,,'')":8116.0,"BA-US^FE_ESTIMATE(GROSS_INC,MEAN,ANN_ROLL,2022,46029,,,'')":3729.0,"BA-US^FE_ESTIMATE(GROSS_INC,MEAN,ANN_ROLL,2021,46029,,,'')":3398.3333,"BA-US^FE_ESTIMATE(COS,MEAN,ANN_ROLL,2028,46029,,,'')":99046.5,"BA-US^FE_ESTIMATE(COS,MEAN,ANN_ROLL,2027,46029,,,'')":89189.81,"BA-US^FE_ESTIMATE(COS,MEAN,ANN_ROLL,2026,46029,,,'')":79985.95,"BA-US^FE_ESTIMATE(COS,MEAN,ANN_ROLL,2025,46029,,,'')":80085.414,"BA-US^FE_ESTIMATE(COS,MEAN,ANN_ROLL,2024,46029,,,'')":68172.625,"BA-US^FE_ESTIMATE(COS,MEAN,ANN_ROLL,2023,46029,,,'')":68810.37,"BA-US^FE_ESTIMATE(COS,MEAN,ANN_ROLL,2022,46029,,,'')":61865.25,"BA-US^FE_ESTIMATE(COS,MEAN,ANN_ROLL,2021,46029,,,'')":58749.145,"BA-US^FE_ESTIMATE(SALES,MEAN,ANN_ROLL,2028,46029,,,'')":119267.805,"BA-US^FE_ESTIMATE(SALES,MEAN,ANN_ROLL,2027,46029,,,'')":108913.23,"BA-US^FE_ESTIMATE(SALES,MEAN,ANN_ROLL,2026,46029,,,'')":96785.016,"BA-US^FE_ESTIMATE(SALES,MEAN,ANN_ROLL,2025,46029,,,'')":87720.82,"BA-US^FE_ESTIMATE(SALES,MEAN,ANN_ROLL,2024,46029,,,'')":66517.0,"BA-US^FE_ESTIMATE(SALES,MEAN,ANN_ROLL,2023,46029,,,'')":77794.0,"BA-US^FE_ESTIMATE(SALES,MEAN,ANN_ROLL,2022,46029,,,'')":66608.0,"BA-US^FE_ESTIMATE(SALES,MEAN,ANN_ROLL,2021,46029,,,'')":62286.0,"BA-US^FE_ESTIMATE(EBITDA,MEAN,ANN_ROLL,2021,46029,,,'')":-748.5376,"BA-US^FE_ESTIMATE(FCFPS,MEAN,QTR_ROLL,2025/4F,46029,,,'')":0.03718433,"BA-US^FE_ESTIMATE(FCF,MEAN,QTR_ROLL,2025/4F,46029,,,'')":93.264,"BA-US^FE_ESTIMATE(CAPEX,MEAN,QTR_ROLL,2025/4F,46029,,,'')":979.44366,"BA-US^FE_ESTIMATE(CF_OP,MEAN,QTR_ROLL,2025/4F,46029,,,'')":1087.1,"BA-US^FE_ESTIMATE(NET_DEBT,MEAN,QTR_ROLL,2025/4F,46029,,,'')":24432.0,"BA-US^FE_ESTIMATE(DEBT,MEAN,QTR_ROLL,2025/4F,46029,,,'')":54483.0,"BA-US^FE_ESTIMATE(CASH_ST,MEAN,QTR_ROLL,2025/4F,46029,,,'')":18395.75,"BA-US^FE_ESTIMATE(DPS,MEAN,QTR_ROLL,2025/4F,46029,,,'')":0.012222222,"BA-US^FE_ESTIMATE(EPS_GAAP,MEAN,QTR_ROLL,2025/4F,46029,,,'')":-0.061020922,"BA-US^FE_ESTIMATE(NET_INC_REP,MEAN,QTR_ROLL,2025/4F,46029,,,'')":-2.3013847,"BA-US^FE_ESTIMATE(PTX_INC_REP,MEAN,QTR_ROLL,2025/4F,46029,,,'')":-99.0,"BA-US^FE_ESTIMATE(EBITDA_REP,MEAN,QTR_ROLL,2025/4F,46029,,,'')":1004.4455,"BA-US^FE_ESTIMATE(EPS,MEAN,QTR_ROLL,2025/4F,46029,,,'')":-0.41461533,"BA-US^FE_ESTIMATE(NET_INC,MEAN,QTR_ROLL,2025/4F,46029,,,'')":-7.4146256,"BA-US^FE_VALUATION(TAX_RATE,MEAN,QTR_ROLL,2025/4F,46029,,,'')/100":3.5802273E-05,"BA-US^FE_ESTIMATE(INC_TAX,MEAN,QTR_ROLL,2025/4F,46029,,,'')":0.2,"BA-US^FE_ESTIMATE(PTX_INC,MEAN,QTR_ROLL,2025/4F,46029,,,'')":55.862373,"BA-US^FE_ESTIMATE(INT_EXP,MEAN,QTR_ROLL,2025/4F,46029,,,'')":697.55554,"BA-US^FE_ESTIMATE(EBIT,MEAN,QTR_ROLL,2025/4F,46029,,,'')":464.91495,"BA-US^FE_ESTIMATE(DEP_AMORT_EXP,MEAN,QTR_ROLL,2025/4F,46029,,,'')":510.7125,"BA-US^FE_ESTIMATE(EBITDA,MEAN,QTR_ROLL,2025/4F,46029,,,'')":996.7491,"BA-US^FE_ESTIMATE(EBITDAR,MEAN,QTR_ROLL,2025/4F,46029,,,'')":null,"BA-US^FE_ESTIMATE(OPER_EXP,MEAN,QTR_ROLL,2025/4F,46029,,,'')":null,"BA-US^FE_ESTIMATE(RD_EXP,MEAN,QTR_ROLL,2025/4F,46029,,,'')":1051.6666,"BA-US^FE_ESTIMATE(G_A_EXP,MEAN,QTR_ROLL,2025/4F,46029,,,'')":1383.3334,"BA-US^FE_ESTIMATE(SGA,MEAN,QTR_ROLL,2025/4F,46029,,,'')":1445.3334,"BA-US^FE_VALUATION(GROSS_MARGIN,MEAN,QTR_ROLL,2025/4F,46029,,,'')/100":0.12115362,"BA-US^FE_ESTIMATE(GROSS_INC,MEAN,QTR_ROLL,2025/4F,46029,,,'')":2686.2,"BA-US^FE_ESTIMATE(COS,MEAN,QTR_ROLL,2025/4F,46029,,,'')":18463.666,"BA-US^FE_ESTIMATE(SALES,MEAN,QTR_ROLL,2025/4F,46029,,,'')":22171.85,"BA-US^FE_ESTIMATE(FCFPS,MEAN,QTR_ROLL,2025/4F,46048,,,'')":0.421721,"BA-US^FE_ESTIMATE(FCF,MEAN,QTR_ROLL,2025/4F,46048,,,'')":207.216,"BA-US^FE_ESTIMATE(CAPEX,MEAN,QTR_ROLL,2025/4F,46048,,,'')":984.53503,"BA-US^FE_ESTIMATE(CF_OP,MEAN,QTR_ROLL,2025/4F,46048,,,'')":1195.6,"BA-US^FE_ESTIMATE(NET_DEBT,MEAN,QTR_ROLL,2025/4F,46048,,,'')":24334.0,"BA-US^FE_ESTIMATE(DEBT,MEAN,QTR_ROLL,2025/4F,46048,,,'')":54483.0,"BA-US^FE_ESTIMATE(CASH_ST,MEAN,QTR_ROLL,2025/4F,46048,,,'')":18420.0,"BA-US^FE_ESTIMATE(DPS,MEAN,QTR_ROLL,2025/4F,46048,,,'')":0.012222222,"BA-US^FE_ESTIMATE(EPS_GAAP,MEAN,QTR_ROLL,2025/4F,46048,,,'')":-0.0502128,"BA-US^FE_ESTIMATE(NET_INC_REP,MEAN,QTR_ROLL,2025/4F,46048,,,'')":-5.588301,"BA-US^FE_ESTIMATE(PTX_INC_REP,MEAN,QTR_ROLL,2025/4F,46048,,,'')":-94.0,"BA-US^FE_ESTIMATE(EBITDA_REP,MEAN,QTR_ROLL,2025/4F,46048,,,'')":1035.6625,"BA-US^FE_ESTIMATE(EPS,MEAN,QTR_ROLL,2025/4F,46048,,,'')":-0.43859705,"BA-US^FE_ESTIMATE(NET_INC,MEAN,QTR_ROLL,2025/4F,46048,,,'')":1.4852364,"BA-US^FE_VALUATION(TAX_RATE,MEAN,QTR_ROLL,2025/4F,46048,,,'')/100":-2.654089E-05,"BA-US^FE_ESTIMATE(INC_TAX,MEAN,QTR_ROLL,2025/4F,46048,,,'')":-0.16363636,"BA-US^FE_ESTIMATE(PTX_INC,MEAN,QTR_ROLL,2025/4F,46048,,,'')":61.65443,"BA-US^FE_ESTIMATE(INT_EXP,MEAN,QTR_ROLL,2025/4F,46048,,,'')":697.55554,"BA-US^FE_ESTIMATE(EBIT,MEAN,QTR_ROLL,2025/4F,46048,,,'')":518.13654,"BA-US^FE_ESTIMATE(DEP_AMORT_EXP,MEAN,QTR_ROLL,2025/4F,46048,,,'')":512.3375,"BA-US^FE_ESTIMATE(EBITDA,MEAN,QTR_ROLL,2025/4F,46048,,,'')":1030.1836,"BA-US^FE_ESTIMATE(EBITDAR,MEAN,QTR_ROLL,2025/4F,46048,,,'')":null,"BA-US^FE_ESTIMATE(OPER_EXP,MEAN,QTR_ROLL,2025/4F,46048,,,'')":null,"BA-US^FE_ESTIMATE(RD_EXP,MEAN,QTR_ROLL,2025/4F,46048,,,'')":1059.0,"BA-US^FE_ESTIMATE(G_A_EXP,MEAN,QTR_ROLL,2025/4F,46048,,,'')":1422.0,"BA-US^FE_ESTIMATE(SGA,MEAN,QTR_ROLL,2025/4F,46048,,,'')":1475.6666,"BA-US^FE_VALUATION(GROSS_MARGIN,MEAN,QTR_ROLL,2025/4F,46048,,,'')/100":0.11994412,"BA-US^FE_ESTIMATE(GROSS_INC,MEAN,QTR_ROLL,2025/4F,46048,,,'')":2710.6,"BA-US^FE_ESTIMATE(COS,MEAN,QTR_ROLL,2025/4F,46048,,,'')":18860.834,"BA-US^FE_ESTIMATE(SALES,MEAN,QTR_ROLL,2025/4F,46048,,,'')":22598.857,"BA-US^FE_ESTIMATE(FCFPS,MEAN,ANN_ROLL,2028,46048,,,'')":11.6925,"BA-US^FE_ESTIMATE(FCFPS,MEAN,ANN_ROLL,2027,46048,,,'')":8.382583,"BA-US^FE_ESTIMATE(FCFPS,MEAN,ANN_ROLL,2026,46048,,,'')":2.8624263,"BA-US^FE_ESTIMATE(FCFPS,MEAN,ANN_ROLL,2025,46048,,,'')":-3.506412,"BA-US^FE_ESTIMATE(FCFPS,MEAN,ANN_ROLL,2024,46048,,,'')":-22.351063,"BA-US^FE_ESTIMATE(FCFPS,MEAN,ANN_ROLL,2023,46048,,,'')":7.203665,"BA-US^FE_ESTIMATE(FCFPS,MEAN,ANN_ROLL,2022,46048,,,'')":4.023713,"BA-US^FE_ESTIMATE(FCFPS,MEAN,ANN_ROLL,2021,46048,,,'')":-6.8795238,"BA-US^FE_ESTIMATE(FCF,MEAN,ANN_ROLL,2028,46048,,,'')":10055.116,"BA-US^FE_ESTIMATE(FCF,MEAN,ANN_ROLL,2027,46048,,,'')":6654.141,"BA-US^FE_ESTIMATE(FCF,MEAN,ANN_ROLL,2026,46048,,,'')":2040.0764,"BA-US^FE_ESTIMATE(FCF,MEAN,ANN_ROLL,2025,46048,,,'')":-2101.5242,"BA-US^FE_ESTIMATE(FCF,MEAN,ANN_ROLL,2024,46048,,,'')":-14310.0,"BA-US^FE_ESTIMATE(FCF,MEAN,ANN_ROLL,2023,46048,,,'')":4433.0,"BA-US^FE_ESTIMATE(FCF,MEAN,ANN_ROLL,2022,46048,,,'')":2290.0,"BA-US^FE_ESTIMATE(FCF,MEAN,ANN_ROLL,2021,46048,,,'')":-3560.0,"BA-US^FE_ESTIMATE(DPS,MEAN,ANN_ROLL,2028,46048,,,'')":0.31906503,"BA-US^FE_ESTIMATE(DPS,MEAN,ANN_ROLL,2027,46048,,,'')":0.15187474,"BA-US^FE_ESTIMATE(DPS,MEAN,ANN_ROLL,2026,46048,,,'')":0.03142857,"BA-US^FE_ESTIMATE(DPS,MEAN,ANN_ROLL,2025,46048,,,'')":0.030714286,"BA-US^FE_ESTIMATE(DPS,MEAN,ANN_ROLL,2024,46048,,,'')":0.0,"BA-US^FE_ESTIMATE(DPS,MEAN,ANN_ROLL,2023,46048,,,'')":0.0,"BA-US^FE_ESTIMATE(DPS,MEAN,ANN_ROLL,2022,46048,,,'')":0.0,"BA-US^FE_ESTIMATE(DPS,MEAN,ANN_ROLL,2021,46048,,,'')":0.0,"BA-US^FE_ESTIMATE(EPS_GAAP,MEAN,ANN_ROLL,2028,46048,,,'')":9.953553,"BA-US^FE_ESTIMATE(EPS_GAAP,MEAN,ANN_ROLL,2027,46048,,,'')":6.8611226,"BA-US^FE_ESTIMATE(EPS_GAAP,MEAN,ANN_ROLL,2026,46048,,,'')":3.2487378,"BA-US^FE_ESTIMATE(EPS_GAAP,MEAN,ANN_ROLL,2025,46048,,,'')":-8.115978,"BA-US^FE_ESTIMATE(EPS_GAAP,MEAN,ANN_ROLL,2024,46048,,,'')":-18.36,"BA-US^FE_ESTIMATE(EPS_GAAP,MEAN,ANN_ROLL,2023,46048,,,'')":-3.67,"BA-US^FE_ESTIMATE(EPS_GAAP,MEAN,ANN_ROLL,2022,46048,,,'')":-8.3,"BA-US^FE_ESTIMATE(EPS_GAAP,MEAN,ANN_ROLL,2021,46048,,,'')":-7.15,"BA-US^FE_ESTIMATE(NET_INC_REP,MEAN,ANN_ROLL,2028,46048,,,'')":8219.497,"BA-US^FE_ESTIMATE(NET_INC_REP,MEAN,ANN_ROLL,2027,46048,,,'')":5658.16,"BA-US^FE_ESTIMATE(NET_INC_REP,MEAN,ANN_ROLL,2026,46048,,,'')":2651.963,"BA-US^FE_ESTIMATE(NET_INC_REP,MEAN,ANN_ROLL,2025,46048,,,'')":-6155.9204,"BA-US^FE_ESTIMATE(NET_INC_REP,MEAN,ANN_ROLL,2024,46048,,,'')":-11875.0,"BA-US^FE_ESTIMATE(NET_INC_REP,MEAN,ANN_ROLL,2023,46048,,,'')":-2222.0,"BA-US^FE_ESTIMATE(NET_INC_REP,MEAN,ANN_ROLL,2022,46048,,,'')":-4935.0,"BA-US^FE_ESTIMATE(NET_INC_REP,MEAN,ANN_ROLL,2021,46048,,,'')":-4202.0,"BA-US^FE_ESTIMATE(PTX_INC_REP,MEAN,ANN_ROLL,2028,46048,,,'')":null,"BA-US^FE_ESTIMATE(PTX_INC_REP,MEAN,ANN_ROLL,2027,46048,,,'')":3094.0,"BA-US^FE_ESTIMATE(PTX_INC_REP,MEAN,ANN_ROLL,2026,46048,,,'')":726.0,"BA-US^FE_ESTIMATE(PTX_INC_REP,MEAN,ANN_ROLL,2025,46048,,,'')":-5778.0,"BA-US^FE_ESTIMATE(PTX_INC_REP,MEAN,ANN_ROLL,2024,46048,,,'')":-12210.0,"BA-US^FE_ESTIMATE(PTX_INC_REP,MEAN,ANN_ROLL,2023,46048,,,'')":-2005.0,"BA-US^FE_ESTIMATE(PTX_INC_REP,MEAN,ANN_ROLL,2022,46048,,,'')":-5022.0,"BA-US^FE_ESTIMATE(PTX_INC_REP,MEAN,ANN_ROLL,2021,46048,,,'')":-6158.0,"BA-US^FE_ESTIMATE(EBITDA_REP,MEAN,ANN_ROLL,2028,46048,,,'')":12672.59,"BA-US^FE_ESTIMATE(EBITDA_REP,MEAN,ANN_ROLL,2027,46048,,,'')":10293.77,"BA-US^FE_ESTIMATE(EBITDA_REP,MEAN,ANN_ROLL,2026,46048,,,'')":6792.4214,"BA-US^FE_ESTIMATE(EBITDA_REP,MEAN,ANN_ROLL,2025,46048,,,'')":-1940.816,"BA-US^FE_ESTIMATE(EBITDA_REP,MEAN,ANN_ROLL,2024,46048,,,'')":-8474.393,"BA-US^FE_ESTIMATE(EBITDA_REP,MEAN,ANN_ROLL,2023,46048,,,'')":1085.1666,"BA-US^FE_ESTIMATE(EBITDA_REP,MEAN,ANN_ROLL,2022,46048,,,'')":-1599.0416,"BA-US^FE_ESTIMATE(EBITDA_REP,MEAN,ANN_ROLL,2021,46048,,,'')":-747.6,"BA-US^FE_ESTIMATE(EPS,MEAN,ANN_ROLL,2028,46048,,,'')":8.408574,"BA-US^FE_ESTIMATE(EPS,MEAN,ANN_ROLL,2027,46048,,,'')":5.897755,"BA-US^FE_ESTIMATE(EPS,MEAN,ANN_ROLL,2026,46048,,,'')":2.0249708,"BA-US^FE_ESTIMATE(EPS,MEAN,ANN_ROLL,2025,46048,,,'')":-9.303602,"BA-US^FE_ESTIMATE(EPS,MEAN,ANN_ROLL,2024,46048,,,'')":-20.38,"BA-US^FE_ESTIMATE(EPS,MEAN,ANN_ROLL,2023,46048,,,'')":-5.81,"BA-US^FE_ESTIMATE(EPS,MEAN,ANN_ROLL,2022,46048,,,'')":-11.06,"BA-US^FE_ESTIMATE(EPS,MEAN,ANN_ROLL,2021,46048,,,'')":-9.44,"BA-US^FE_ESTIMATE(NET_INC,MEAN,ANN_ROLL,2028,46048,,,'')":7768.053,"BA-US^FE_ESTIMATE(NET_INC,MEAN,ANN_ROLL,2027,46048,,,'')":5496.135,"BA-US^FE_ESTIMATE(NET_INC,MEAN,ANN_ROLL,2026,46048,,,'')":2467.7068,"BA-US^FE_ESTIMATE(NET_INC,MEAN,ANN_ROLL,2025,46048,,,'')":-6149.536,"BA-US^FE_ESTIMATE(NET_INC,MEAN,ANN_ROLL,2024,46048,,,'')":-11875.0,"BA-US^FE_ESTIMATE(NET_INC,MEAN,ANN_ROLL,2023,46048,,,'')":-2222.0,"BA-US^FE_ESTIMATE(NET_INC,MEAN,ANN_ROLL,2022,46048,,,'')":-4935.0,"BA-US^FE_ESTIMATE(NET_INC,MEAN,ANN_ROLL,2021,46048,,,'')":-4202.0,"BA-US^FE_VALUATION(TAX_RATE,MEAN,ANN_ROLL,2028,46048,,,'')/100":0.001415796,"BA-US^FE_VALUATION(TAX_RATE,MEAN,ANN_ROLL,2027,46048,,,'')/100":0.0013197272,"BA-US^FE_VALUATION(TAX_RATE,MEAN,ANN_ROLL,2026,46048,,,'')/100":0.0012130829,"BA-US^FE_VALUATION(TAX_RATE,MEAN,ANN_ROLL,2025,46048,,,'')/100":-0.00057999924,"BA-US^FE_VALUATION(TAX_RATE,MEAN,ANN_ROLL,2024,46048,,,'')/100":0.00032393957,"BA-US^FE_VALUATION(TAX_RATE,MEAN,ANN_ROLL,2023,46048,,,'')/100":-0.0012102099,"BA-US^FE_VALUATION(TAX_RATE,MEAN,ANN_ROLL,2022,46048,,,'')/100":3.8287817E-06,"BA-US^FE_VALUATION(TAX_RATE,MEAN,ANN_ROLL,2021,46048,,,'')/100":0.0014517867,"BA-US^FE_ESTIMATE(INC_TAX,MEAN,ANN_ROLL,2028,46048,,,'')":1365.0,"BA-US^FE_ESTIMATE(INC_TAX,MEAN,ANN_ROLL,2027,46048,,,'')":897.0,"BA-US^FE_ESTIMATE(INC_TAX,MEAN,ANN_ROLL,2026,46048,,,'')":385.28333,"BA-US^FE_ESTIMATE(INC_TAX,MEAN,ANN_ROLL,2025,46048,,,'')":331.42,"BA-US^FE_ESTIMATE(INC_TAX,MEAN,ANN_ROLL,2024,46048,,,'')":-381.0,"BA-US^FE_ESTIMATE(INC_TAX,MEAN,ANN_ROLL,2023,46048,,,'')":232.16667,"BA-US^FE_ESTIMATE(INC_TAX,MEAN,ANN_ROLL,2022,46048,,,'')":-1.9166666,"BA-US^FE_ESTIMATE(INC_TAX,MEAN,ANN_ROLL,2021,46048,,,'')":-743.0,"BA-US^FE_ESTIMATE(PTX_INC,MEAN,ANN_ROLL,2028,46048,,,'')":9641.22,"BA-US^FE_ESTIMATE(PTX_INC,MEAN,ANN_ROLL,2027,46048,,,'')":6796.8594,"BA-US^FE_ESTIMATE(PTX_INC,MEAN,ANN_ROLL,2026,46048,,,'')":3176.0676,"BA-US^FE_ESTIMATE(PTX_INC,MEAN,ANN_ROLL,2025,46048,,,'')":-5714.1455,"BA-US^FE_ESTIMATE(PTX_INC,MEAN,ANN_ROLL,2024,46048,,,'')":-11761.452,"BA-US^FE_ESTIMATE(PTX_INC,MEAN,ANN_ROLL,2023,46048,,,'')":-1918.4,"BA-US^FE_ESTIMATE(PTX_INC,MEAN,ANN_ROLL,2022,46048,,,'')":-5005.9443,"BA-US^FE_ESTIMATE(PTX_INC,MEAN,ANN_ROLL,2021,46048,,,'')":-5117.8315,"BA-US^FE_ESTIMATE(INT_EXP,MEAN,ANN_ROLL,2028,46048,,,'')":2015.0,"BA-US^FE_ESTIMATE(INT_EXP,MEAN,ANN_ROLL,2027,46048,,,'')":2246.6755,"BA-US^FE_ESTIMATE(INT_EXP,MEAN,ANN_ROLL,2026,46048,,,'')":2617.4436,"BA-US^FE_ESTIMATE(INT_EXP,MEAN,ANN_ROLL,2025,46048,,,'')":2809.5364,"BA-US^FE_ESTIMATE(INT_EXP,MEAN,ANN_ROLL,2024,46048,,,'')":2725.0,"BA-US^FE_ESTIMATE(INT_EXP,MEAN,ANN_ROLL,2023,46048,,,'')":2459.0,"BA-US^FE_ESTIMATE(INT_EXP,MEAN,ANN_ROLL,2022,46048,,,'')":2533.0,"BA-US^FE_ESTIMATE(INT_EXP,MEAN,ANN_ROLL,2021,46048,,,'')":2682.0,"BA-US^FE_ESTIMATE(EBIT,MEAN,ANN_ROLL,2028,46048,,,'')":10205.392,"BA-US^FE_ESTIMATE(EBIT,MEAN,ANN_ROLL,2027,46048,,,'')":8139.3203,"BA-US^FE_ESTIMATE(EBIT,MEAN,ANN_ROLL,2026,46048,,,'')":5074.4473,"BA-US^FE_ESTIMATE(EBIT,MEAN,ANN_ROLL,2025,46048,,,'')":-3941.2275,"BA-US^FE_ESTIMATE(EBIT,MEAN,ANN_ROLL,2024,46048,,,'')":-10224.7,"BA-US^FE_ESTIMATE(EBIT,MEAN,ANN_ROLL,2023,46048,,,'')":-775.0,"BA-US^FE_ESTIMATE(EBIT,MEAN,ANN_ROLL,2022,46048,,,'')":-3547.0,"BA-US^FE_ESTIMATE(EBIT,MEAN,ANN_ROLL,2021,46048,,,'')":-2896.4656,"BA-US^FE_ESTIMATE(DEP_AMORT_EXP,MEAN,ANN_ROLL,2028,46048,,,'')":2110.6667,"BA-US^FE_ESTIMATE(DEP_AMORT_EXP,MEAN,ANN_ROLL,2027,46048,,,'')":2163.5,"BA-US^FE_ESTIMATE(DEP_AMORT_EXP,MEAN,ANN_ROLL,2026,46048,,,'')":2073.889,"BA-US^FE_ESTIMATE(DEP_AMORT_EXP,MEAN,ANN_ROLL,2025,46048,,,'')":1932.1888,"BA-US^FE_ESTIMATE(DEP_AMORT_EXP,MEAN,ANN_ROLL,2024,46048,,,'')":1808.625,"BA-US^FE_ESTIMATE(DEP_AMORT_EXP,MEAN,ANN_ROLL,2023,46048,,,'')":1861.0,"BA-US^FE_ESTIMATE(DEP_AMORT_EXP,MEAN,ANN_ROLL,2022,46048,,,'')":1951.7778,"BA-US^FE_ESTIMATE(DEP_AMORT_EXP,MEAN,ANN_ROLL,2021,46048,,,'')":2154.889,"BA-US^FE_ESTIMATE(EBITDAR,MEAN,ANN_ROLL,2028,46048,,,'')":null,"BA-US^FE_ESTIMATE(EBITDAR,MEAN,ANN_ROLL,2027,46048,,,'')":null,"BA-US^FE_ESTIMATE(EBITDAR,MEAN,ANN_ROLL,2026,46048,,,'')":null,"BA-US^FE_ESTIMATE(EBITDAR,MEAN,ANN_ROLL,2025,46048,,,'')":null,"BA-US^FE_ESTIMATE(EBITDAR,MEAN,ANN_ROLL,2024,46048,,,'')":null,"BA-US^FE_ESTIMATE(EBITDAR,MEAN,ANN_ROLL,2023,46048,,,'')":null,"BA-US^FE_ESTIMATE(EBITDAR,MEAN,ANN_ROLL,2022,46048,,,'')":null,"BA-US^FE_ESTIMATE(EBITDAR,MEAN,ANN_ROLL,2021,46048,,,'')":null,"BA-US^FE_ESTIMATE(OPER_EXP,MEAN,ANN_ROLL,2028,46048,,,'')":null,"BA-US^FE_ESTIMATE(OPER_EXP,MEAN,ANN_ROLL,2027,46048,,,'')":null,"BA-US^FE_ESTIMATE(OPER_EXP,MEAN,ANN_ROLL,2026,46048,,,'')":null,"BA-US^FE_ESTIMATE(OPER_EXP,MEAN,ANN_ROLL,2025,46048,,,'')":null,"BA-US^FE_ESTIMATE(OPER_EXP,MEAN,ANN_ROLL,2024,46048,,,'')":null,"BA-US^FE_ESTIMATE(OPER_EXP,MEAN,ANN_ROLL,2023,46048,,,'')":null,"BA-US^FE_ESTIMATE(OPER_EXP,MEAN,ANN_ROLL,2022,46048,,,'')":null,"BA-US^FE_ESTIMATE(OPER_EXP,MEAN,ANN_ROLL,2021,46048,,,'')":null,"BA-US^FE_ESTIMATE(RD_EXP,MEAN,ANN_ROLL,2028,46048,,,'')":4215.3335,"BA-US^FE_ESTIMATE(RD_EXP,MEAN,ANN_ROLL,2027,46048,,,'')":3990.8,"BA-US^FE_ESTIMATE(RD_EXP,MEAN,ANN_ROLL,2026,46048,,,'')":3922.3333,"BA-US^FE_ESTIMATE(RD_EXP,MEAN,ANN_ROLL,2025,46048,,,'')":3710.0,"BA-US^FE_ESTIMATE(RD_EXP,MEAN,ANN_ROLL,2024,46048,,,'')":3779.6667,"BA-US^FE_ESTIMATE(RD_EXP,MEAN,ANN_ROLL,2023,46048,,,'')":3200.25,"BA-US^FE_ESTIMATE(RD_EXP,MEAN,ANN_ROLL,2022,46048,,,'')":2825.3333,"BA-US^FE_ESTIMATE(RD_EXP,MEAN,ANN_ROLL,2021,46048,,,'')":2249.0,"BA-US^FE_ESTIMATE(G_A_EXP,MEAN,ANN_ROLL,2028,46048,,,'')":9288.0,"BA-US^FE_ESTIMATE(G_A_EXP,MEAN,ANN_ROLL,2027,46048,,,'')":6360.25,"BA-US^FE_ESTIMATE(G_A_EXP,MEAN,ANN_ROLL,2026,46048,,,'')":5831.5,"BA-US^FE_ESTIMATE(G_A_EXP,MEAN,ANN_ROLL,2025,46048,,,'')":5818.0,"BA-US^FE_ESTIMATE(G_A_EXP,MEAN,ANN_ROLL,2024,46048,,,'')":5021.0,"BA-US^FE_ESTIMATE(G_A_EXP,MEAN,ANN_ROLL,2023,46048,,,'')":4654.0,"BA-US^FE_ESTIMATE(G_A_EXP,MEAN,ANN_ROLL,2022,46048,,,'')":4056.0,"BA-US^FE_ESTIMATE(G_A_EXP,MEAN,ANN_ROLL,2021,46048,,,'')":4157.0,"BA-US^FE_ESTIMATE(SGA,MEAN,ANN_ROLL,2028,46048,,,'')":6750.0,"BA-US^FE_ESTIMATE(SGA,MEAN,ANN_ROLL,2027,46048,,,'')":6452.7935,"BA-US^FE_ESTIMATE(SGA,MEAN,ANN_ROLL,2026,46048,,,'')":6408.2695,"BA-US^FE_ESTIMATE(SGA,MEAN,ANN_ROLL,2025,46048,,,'')":5925.321,"BA-US^FE_ESTIMATE(SGA,MEAN,ANN_ROLL,2024,46048,,,'')":5021.0,"BA-US^FE_ESTIMATE(SGA,MEAN,ANN_ROLL,2023,46048,,,'')":5168.0,"BA-US^FE_ESTIMATE(SGA,MEAN,ANN_ROLL,2022,46048,,,'')":4187.0,"BA-US^FE_ESTIMATE(SGA,MEAN,ANN_ROLL,2021,46048,,,'')":4157.0,"BA-US^FE_VALUATION(GROSS_MARGIN,MEAN,ANN_ROLL,2028,46048,,,'')/100":0.18591166,"BA-US^FE_VALUATION(GROSS_MARGIN,MEAN,ANN_ROLL,2027,46048,,,'')/100":0.18112603,"BA-US^FE_VALUATION(GROSS_MARGIN,MEAN,ANN_ROLL,2026,46048,,,'')/100":0.16042662,"BA-US^FE_VALUATION(GROSS_MARGIN,MEAN,ANN_ROLL,2025,46048,,,'')/100":0.0596846,"BA-US^FE_VALUATION(GROSS_MARGIN,MEAN,ANN_ROLL,2024,46048,,,'')/100":-0.027804922,"BA-US^FE_VALUATION(GROSS_MARGIN,MEAN,ANN_ROLL,2023,46048,,,'')/100":0.104326814,"BA-US^FE_VALUATION(GROSS_MARGIN,MEAN,ANN_ROLL,2022,46048,,,'')/100":0.05598427,"BA-US^FE_VALUATION(GROSS_MARGIN,MEAN,ANN_ROLL,2021,46048,,,'')/100":0.054560147,"BA-US^FE_ESTIMATE(GROSS_INC,MEAN,ANN_ROLL,2028,46048,,,'')":22225.0,"BA-US^FE_ESTIMATE(GROSS_INC,MEAN,ANN_ROLL,2027,46048,,,'')":19732.0,"BA-US^FE_ESTIMATE(GROSS_INC,MEAN,ANN_ROLL,2026,46048,,,'')":15528.333,"BA-US^FE_ESTIMATE(GROSS_INC,MEAN,ANN_ROLL,2025,46048,,,'')":5261.0,"BA-US^FE_ESTIMATE(GROSS_INC,MEAN,ANN_ROLL,2024,46048,,,'')":-1849.5,"BA-US^FE_ESTIMATE(GROSS_INC,MEAN,ANN_ROLL,2023,46048,,,'')":8116.0,"BA-US^FE_ESTIMATE(GROSS_INC,MEAN,ANN_ROLL,2022,46048,,,'')":3729.0,"BA-US^FE_ESTIMATE(GROSS_INC,MEAN,ANN_ROLL,2021,46048,,,'')":3398.3333,"BA-US^FE_ESTIMATE(COS,MEAN,ANN_ROLL,2028,46048,,,'')":99046.5,"BA-US^FE_ESTIMATE(COS,MEAN,ANN_ROLL,2027,46048,,,'')":89189.81,"BA-US^FE_ESTIMATE(COS,MEAN,ANN_ROLL,2026,46048,,,'')":79985.95,"BA-US^FE_ESTIMATE(COS,MEAN,ANN_ROLL,2025,46048,,,'')":80482.484,"BA-US^FE_ESTIMATE(COS,MEAN,ANN_ROLL,2024,46048,,,'')":68172.625,"BA-US^FE_ESTIMATE(COS,MEAN,ANN_ROLL,2023,46048,,,'')":68810.37,"BA-US^FE_ESTIMATE(COS,MEAN,ANN_ROLL,2022,46048,,,'')":61865.25,"BA-US^FE_ESTIMATE(COS,MEAN,ANN_ROLL,2021,46048,,,'')":58749.145,"BA-US^FE_ESTIMATE(SALES,MEAN,ANN_ROLL,2028,46048,,,'')":119546.02,"BA-US^FE_ESTIMATE(SALES,MEAN,ANN_ROLL,2027,46048,,,'')":108940.73,"BA-US^FE_ESTIMATE(SALES,MEAN,ANN_ROLL,2026,46048,,,'')":96793.99,"BA-US^FE_ESTIMATE(SALES,MEAN,ANN_ROLL,2025,46048,,,'')":88146.69,"BA-US^FE_ESTIMATE(SALES,MEAN,ANN_ROLL,2024,46048,,,'')":66517.0,"BA-US^FE_ESTIMATE(SALES,MEAN,ANN_ROLL,2023,46048,,,'')":77794.0,"BA-US^FE_ESTIMATE(SALES,MEAN,ANN_ROLL,2022,46048,,,'')":66608.0,"BA-US^FE_ESTIMATE(SALES,MEAN,ANN_ROLL,2021,46048,,,'')":62286.0,"BA-US^FE_ESTIMATE(EBITDA,MEAN,ANN_ROLL,2021,46048,,,'')":-748.5376}]]></FdsFormulaCach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A8006B7F5F1B8428AB8F548696BA1CF" ma:contentTypeVersion="13" ma:contentTypeDescription="Create a new document." ma:contentTypeScope="" ma:versionID="7c5f38e833e8f66fe53748442bb9cfbf">
  <xsd:schema xmlns:xsd="http://www.w3.org/2001/XMLSchema" xmlns:xs="http://www.w3.org/2001/XMLSchema" xmlns:p="http://schemas.microsoft.com/office/2006/metadata/properties" xmlns:ns2="56e1b230-dfcf-4621-9ec8-bb22b04c093f" xmlns:ns3="225a36bd-7c78-479a-93d9-5fd3c824ce61" targetNamespace="http://schemas.microsoft.com/office/2006/metadata/properties" ma:root="true" ma:fieldsID="71cac3f10745d520e27ab4eb5270f77d" ns2:_="" ns3:_="">
    <xsd:import namespace="56e1b230-dfcf-4621-9ec8-bb22b04c093f"/>
    <xsd:import namespace="225a36bd-7c78-479a-93d9-5fd3c824ce61"/>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3:SharedWithUsers" minOccurs="0"/>
                <xsd:element ref="ns3:SharedWithDetails" minOccurs="0"/>
                <xsd:element ref="ns2:Status"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e1b230-dfcf-4621-9ec8-bb22b04c09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Status" ma:index="14" nillable="true" ma:displayName="Status" ma:format="Dropdown" ma:internalName="Status">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82cea0f-ebb1-42b3-8730-1d3f7453b1af"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5a36bd-7c78-479a-93d9-5fd3c824ce6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a37508de-971e-4d7c-ba0c-4a594c71e459}" ma:internalName="TaxCatchAll" ma:showField="CatchAllData" ma:web="225a36bd-7c78-479a-93d9-5fd3c824ce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Status xmlns="56e1b230-dfcf-4621-9ec8-bb22b04c093f" xsi:nil="true"/>
    <lcf76f155ced4ddcb4097134ff3c332f xmlns="56e1b230-dfcf-4621-9ec8-bb22b04c093f">
      <Terms xmlns="http://schemas.microsoft.com/office/infopath/2007/PartnerControls"/>
    </lcf76f155ced4ddcb4097134ff3c332f>
    <TaxCatchAll xmlns="225a36bd-7c78-479a-93d9-5fd3c824ce61" xsi:nil="true"/>
  </documentManagement>
</p:properties>
</file>

<file path=customXml/itemProps1.xml><?xml version="1.0" encoding="utf-8"?>
<ds:datastoreItem xmlns:ds="http://schemas.openxmlformats.org/officeDocument/2006/customXml" ds:itemID="{5E9F36D9-6C28-4472-B110-31A5472E5A4C}">
  <ds:schemaRefs>
    <ds:schemaRef ds:uri="urn:fdsformulacache"/>
  </ds:schemaRefs>
</ds:datastoreItem>
</file>

<file path=customXml/itemProps2.xml><?xml version="1.0" encoding="utf-8"?>
<ds:datastoreItem xmlns:ds="http://schemas.openxmlformats.org/officeDocument/2006/customXml" ds:itemID="{6B471391-D7E5-4AAC-B570-C4AFB7255120}">
  <ds:schemaRefs>
    <ds:schemaRef ds:uri="http://schemas.microsoft.com/sharepoint/v3/contenttype/forms"/>
  </ds:schemaRefs>
</ds:datastoreItem>
</file>

<file path=customXml/itemProps3.xml><?xml version="1.0" encoding="utf-8"?>
<ds:datastoreItem xmlns:ds="http://schemas.openxmlformats.org/officeDocument/2006/customXml" ds:itemID="{BF23654A-E92B-440E-8F1E-ADAB7EFEB6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e1b230-dfcf-4621-9ec8-bb22b04c093f"/>
    <ds:schemaRef ds:uri="225a36bd-7c78-479a-93d9-5fd3c824ce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8F318C5-CFBC-4C51-A60D-F58A5A7A95CD}">
  <ds:schemaRefs>
    <ds:schemaRef ds:uri="http://schemas.microsoft.com/office/2006/metadata/properties"/>
    <ds:schemaRef ds:uri="http://schemas.microsoft.com/office/infopath/2007/PartnerControls"/>
    <ds:schemaRef ds:uri="56e1b230-dfcf-4621-9ec8-bb22b04c093f"/>
    <ds:schemaRef ds:uri="225a36bd-7c78-479a-93d9-5fd3c824ce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CircularReferenceAlert</vt:lpstr>
      <vt:lpstr>ImportantDisclosures</vt:lpstr>
      <vt:lpstr>Financial Summary</vt:lpstr>
      <vt:lpstr>Income_Statement_Annual</vt:lpstr>
      <vt:lpstr>Income_Statement_Qtr</vt:lpstr>
      <vt:lpstr>Balance_Sheet_Annual</vt:lpstr>
      <vt:lpstr>Balance_Sheet_Qtr</vt:lpstr>
      <vt:lpstr>Cash_Flow_Annual</vt:lpstr>
      <vt:lpstr>Cash_Flow_Qtr</vt:lpstr>
      <vt:lpstr>Debt_Annual</vt:lpstr>
      <vt:lpstr>Debt_Qtr </vt:lpstr>
      <vt:lpstr>Inventory</vt:lpstr>
      <vt:lpstr>Customer Advances</vt:lpstr>
      <vt:lpstr>BCA_Annual</vt:lpstr>
      <vt:lpstr>BCA_Qtr</vt:lpstr>
      <vt:lpstr>BCA_Deliveries_Annual</vt:lpstr>
      <vt:lpstr>BCA_Deliveries_Qtr</vt:lpstr>
      <vt:lpstr>BCA_Model_Annual</vt:lpstr>
      <vt:lpstr>BDS_Annual</vt:lpstr>
      <vt:lpstr>BDS_Qtr</vt:lpstr>
      <vt:lpstr>BDS_Driver_Annual</vt:lpstr>
      <vt:lpstr>BDS_Deliveries_Annual</vt:lpstr>
      <vt:lpstr>BDS_Deliveries_Qtr</vt:lpstr>
      <vt:lpstr>BGS_Annual</vt:lpstr>
      <vt:lpstr>BGS_Qtr</vt:lpstr>
      <vt:lpstr>IndexInformation</vt:lpstr>
      <vt:lpstr>ModPubIndex</vt:lpstr>
      <vt:lpstr>Linking_2</vt:lpstr>
    </vt:vector>
  </TitlesOfParts>
  <Company>Morgan Stanley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Aguilar, Leyla (Research)</dc:creator>
  <cp:lastModifiedBy>Nunes De Souza (US), Luiz Fernando</cp:lastModifiedBy>
  <cp:lastPrinted>2022-08-09T17:36:14Z</cp:lastPrinted>
  <dcterms:created xsi:type="dcterms:W3CDTF">2020-05-12T21:40:30Z</dcterms:created>
  <dcterms:modified xsi:type="dcterms:W3CDTF">2026-01-29T22:41:57Z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{5E1C6C5D-3FA2-473E-ABF5-AEFC942FFACA}</vt:lpwstr>
  </property>
  <property fmtid="{D5CDD505-2E9C-101B-9397-08002B2CF9AE}" pid="3" name="MSIP_Label_07f119e6-c6cd-44b0-a5ee-ac1aff68c56e_Enabled">
    <vt:lpwstr>true</vt:lpwstr>
  </property>
  <property fmtid="{D5CDD505-2E9C-101B-9397-08002B2CF9AE}" pid="4" name="MSIP_Label_07f119e6-c6cd-44b0-a5ee-ac1aff68c56e_SetDate">
    <vt:lpwstr>2022-04-27T16:11:11Z</vt:lpwstr>
  </property>
  <property fmtid="{D5CDD505-2E9C-101B-9397-08002B2CF9AE}" pid="5" name="MSIP_Label_07f119e6-c6cd-44b0-a5ee-ac1aff68c56e_Method">
    <vt:lpwstr>Standard</vt:lpwstr>
  </property>
  <property fmtid="{D5CDD505-2E9C-101B-9397-08002B2CF9AE}" pid="6" name="MSIP_Label_07f119e6-c6cd-44b0-a5ee-ac1aff68c56e_Name">
    <vt:lpwstr>Confidential v1</vt:lpwstr>
  </property>
  <property fmtid="{D5CDD505-2E9C-101B-9397-08002B2CF9AE}" pid="7" name="MSIP_Label_07f119e6-c6cd-44b0-a5ee-ac1aff68c56e_SiteId">
    <vt:lpwstr>e29b8111-49f8-418d-ac2a-935335a52614</vt:lpwstr>
  </property>
  <property fmtid="{D5CDD505-2E9C-101B-9397-08002B2CF9AE}" pid="8" name="MSIP_Label_07f119e6-c6cd-44b0-a5ee-ac1aff68c56e_ActionId">
    <vt:lpwstr>33f27991-312a-49ab-9425-fdc9410a871c</vt:lpwstr>
  </property>
  <property fmtid="{D5CDD505-2E9C-101B-9397-08002B2CF9AE}" pid="9" name="MSIP_Label_07f119e6-c6cd-44b0-a5ee-ac1aff68c56e_ContentBits">
    <vt:lpwstr>0</vt:lpwstr>
  </property>
  <property fmtid="{D5CDD505-2E9C-101B-9397-08002B2CF9AE}" pid="10" name="ContentTypeId">
    <vt:lpwstr>0x010100FA8006B7F5F1B8428AB8F548696BA1CF</vt:lpwstr>
  </property>
  <property fmtid="{D5CDD505-2E9C-101B-9397-08002B2CF9AE}" pid="11" name="=fdsSearchOrder">
    <vt:i4>0</vt:i4>
  </property>
  <property fmtid="{D5CDD505-2E9C-101B-9397-08002B2CF9AE}" pid="12" name="ERModPubTicket">
    <vt:lpwstr>NA</vt:lpwstr>
  </property>
  <property fmtid="{D5CDD505-2E9C-101B-9397-08002B2CF9AE}" pid="13" name="ERModPubConfirmEmail">
    <vt:bool>false</vt:bool>
  </property>
  <property fmtid="{D5CDD505-2E9C-101B-9397-08002B2CF9AE}" pid="14" name="ERModPubUserEmail">
    <vt:lpwstr>knafegab@ms.com</vt:lpwstr>
  </property>
  <property fmtid="{D5CDD505-2E9C-101B-9397-08002B2CF9AE}" pid="15" name="ERModPubGCIMTagged">
    <vt:bool>true</vt:bool>
  </property>
  <property fmtid="{D5CDD505-2E9C-101B-9397-08002B2CF9AE}" pid="16" name="ERCompanyUploadState">
    <vt:lpwstr>P</vt:lpwstr>
  </property>
  <property fmtid="{D5CDD505-2E9C-101B-9397-08002B2CF9AE}" pid="17" name="ERModPubCurrentYear">
    <vt:i4>2026</vt:i4>
  </property>
  <property fmtid="{D5CDD505-2E9C-101B-9397-08002B2CF9AE}" pid="18" name="ModelId">
    <vt:lpwstr>9778906</vt:lpwstr>
  </property>
  <property fmtid="{D5CDD505-2E9C-101B-9397-08002B2CF9AE}" pid="19" name="ERModPubCompanyName">
    <vt:lpwstr>Boeing Co.</vt:lpwstr>
  </property>
</Properties>
</file>